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EE13F6E0-13A4-4319-BBA3-4C718A62FAEA}" xr6:coauthVersionLast="47" xr6:coauthVersionMax="47" xr10:uidLastSave="{00000000-0000-0000-0000-000000000000}"/>
  <bookViews>
    <workbookView xWindow="-120" yWindow="-120" windowWidth="29040" windowHeight="15840" tabRatio="872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升级" sheetId="3" r:id="rId9"/>
    <sheet name="官印" sheetId="5" r:id="rId10"/>
    <sheet name="官职" sheetId="4" r:id="rId11"/>
    <sheet name="转生" sheetId="6" r:id="rId12"/>
    <sheet name="基本装备" sheetId="7" r:id="rId13"/>
    <sheet name="龙魂炼体" sheetId="8" r:id="rId14"/>
    <sheet name="附件合成" sheetId="9" r:id="rId15"/>
    <sheet name="特戒" sheetId="10" r:id="rId16"/>
    <sheet name="星座装备" sheetId="11" r:id="rId17"/>
    <sheet name="装备强化" sheetId="12" r:id="rId18"/>
    <sheet name="装备注灵" sheetId="13" r:id="rId19"/>
    <sheet name="火龙元神" sheetId="14" r:id="rId20"/>
    <sheet name="天尊洗炼" sheetId="15" r:id="rId21"/>
    <sheet name="称号" sheetId="16" r:id="rId22"/>
    <sheet name="宝石镶嵌" sheetId="17" r:id="rId23"/>
    <sheet name="材料价格" sheetId="22" r:id="rId24"/>
    <sheet name="新养成线1" sheetId="25" r:id="rId25"/>
    <sheet name="新养成线2" sheetId="26" r:id="rId26"/>
    <sheet name="新养成线3" sheetId="27" r:id="rId27"/>
    <sheet name="新养成线4" sheetId="28" r:id="rId28"/>
    <sheet name="新养成线5" sheetId="29" r:id="rId29"/>
    <sheet name="新养成线6" sheetId="30" r:id="rId30"/>
    <sheet name="新养成线7" sheetId="31" r:id="rId31"/>
    <sheet name="新养成线8" sheetId="32" r:id="rId32"/>
    <sheet name="新养成线9" sheetId="33" r:id="rId33"/>
    <sheet name="新养成线10" sheetId="34" r:id="rId34"/>
    <sheet name="新养成线11" sheetId="35" r:id="rId35"/>
    <sheet name="新养成线12" sheetId="36" r:id="rId36"/>
    <sheet name="新养成线13" sheetId="37" r:id="rId37"/>
  </sheets>
  <definedNames>
    <definedName name="_xlnm._FilterDatabase" localSheetId="2" hidden="1">怪物掉落配置方案!$A$2:$D$12314</definedName>
    <definedName name="_xlnm._FilterDatabase" localSheetId="12" hidden="1">基本装备!$A$2:$J$841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P30" i="1" l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X30" i="1"/>
  <c r="BW30" i="1"/>
  <c r="BU30" i="1"/>
  <c r="BV30" i="1"/>
  <c r="AA30" i="37"/>
  <c r="AB30" i="37"/>
  <c r="Q30" i="37" s="1"/>
  <c r="AC30" i="37"/>
  <c r="R30" i="37" s="1"/>
  <c r="Z30" i="37"/>
  <c r="Z23" i="37" s="1"/>
  <c r="AJ30" i="37"/>
  <c r="AE30" i="37"/>
  <c r="U30" i="37"/>
  <c r="P30" i="37"/>
  <c r="K30" i="37"/>
  <c r="Y30" i="37"/>
  <c r="T30" i="37"/>
  <c r="L30" i="37"/>
  <c r="AJ29" i="37"/>
  <c r="AE29" i="37"/>
  <c r="AC29" i="37"/>
  <c r="U29" i="37" s="1"/>
  <c r="AB29" i="37"/>
  <c r="P29" i="37" s="1"/>
  <c r="AA29" i="37"/>
  <c r="K29" i="37" s="1"/>
  <c r="Y29" i="37"/>
  <c r="R29" i="37"/>
  <c r="Q29" i="37"/>
  <c r="L29" i="37"/>
  <c r="AJ28" i="37"/>
  <c r="AE28" i="37"/>
  <c r="AC28" i="37"/>
  <c r="U28" i="37" s="1"/>
  <c r="AB28" i="37"/>
  <c r="P28" i="37" s="1"/>
  <c r="AA28" i="37"/>
  <c r="K28" i="37" s="1"/>
  <c r="Z28" i="37"/>
  <c r="AD28" i="37" s="1"/>
  <c r="Y28" i="37"/>
  <c r="T28" i="37"/>
  <c r="R28" i="37"/>
  <c r="Q28" i="37"/>
  <c r="N28" i="37"/>
  <c r="L28" i="37"/>
  <c r="J28" i="37"/>
  <c r="AJ27" i="37"/>
  <c r="AE27" i="37"/>
  <c r="AC27" i="37"/>
  <c r="U27" i="37" s="1"/>
  <c r="AB27" i="37"/>
  <c r="P27" i="37" s="1"/>
  <c r="AA27" i="37"/>
  <c r="K27" i="37" s="1"/>
  <c r="Y27" i="37"/>
  <c r="R27" i="37"/>
  <c r="Q27" i="37"/>
  <c r="L27" i="37"/>
  <c r="AJ26" i="37"/>
  <c r="AE26" i="37"/>
  <c r="AC26" i="37"/>
  <c r="U26" i="37" s="1"/>
  <c r="AB26" i="37"/>
  <c r="P26" i="37" s="1"/>
  <c r="AA26" i="37"/>
  <c r="K26" i="37" s="1"/>
  <c r="Y26" i="37"/>
  <c r="R26" i="37"/>
  <c r="Q26" i="37"/>
  <c r="N26" i="37"/>
  <c r="L26" i="37"/>
  <c r="AJ25" i="37"/>
  <c r="AE25" i="37"/>
  <c r="AC25" i="37"/>
  <c r="U25" i="37" s="1"/>
  <c r="AB25" i="37"/>
  <c r="P25" i="37" s="1"/>
  <c r="AA25" i="37"/>
  <c r="K25" i="37" s="1"/>
  <c r="Z25" i="37"/>
  <c r="Y25" i="37"/>
  <c r="Q25" i="37"/>
  <c r="N25" i="37"/>
  <c r="L25" i="37"/>
  <c r="AJ24" i="37"/>
  <c r="AE24" i="37"/>
  <c r="AC24" i="37"/>
  <c r="U24" i="37" s="1"/>
  <c r="AB24" i="37"/>
  <c r="P24" i="37" s="1"/>
  <c r="AA24" i="37"/>
  <c r="K24" i="37" s="1"/>
  <c r="Y24" i="37"/>
  <c r="T24" i="37"/>
  <c r="N24" i="37"/>
  <c r="L24" i="37"/>
  <c r="AJ23" i="37"/>
  <c r="AE23" i="37"/>
  <c r="AC23" i="37"/>
  <c r="U23" i="37" s="1"/>
  <c r="AB23" i="37"/>
  <c r="P23" i="37" s="1"/>
  <c r="AA23" i="37"/>
  <c r="K23" i="37" s="1"/>
  <c r="Y23" i="37"/>
  <c r="AJ22" i="37"/>
  <c r="AE22" i="37"/>
  <c r="AC22" i="37"/>
  <c r="U22" i="37" s="1"/>
  <c r="AB22" i="37"/>
  <c r="P22" i="37" s="1"/>
  <c r="AA22" i="37"/>
  <c r="K22" i="37" s="1"/>
  <c r="Y22" i="37"/>
  <c r="R22" i="37"/>
  <c r="Q22" i="37"/>
  <c r="AJ21" i="37"/>
  <c r="AE21" i="37"/>
  <c r="AC21" i="37"/>
  <c r="U21" i="37" s="1"/>
  <c r="AB21" i="37"/>
  <c r="P21" i="37" s="1"/>
  <c r="AA21" i="37"/>
  <c r="K21" i="37" s="1"/>
  <c r="Y21" i="37"/>
  <c r="R21" i="37"/>
  <c r="Q21" i="37"/>
  <c r="N21" i="37"/>
  <c r="L21" i="37"/>
  <c r="AJ20" i="37"/>
  <c r="AE20" i="37"/>
  <c r="AC20" i="37"/>
  <c r="U20" i="37" s="1"/>
  <c r="AB20" i="37"/>
  <c r="P20" i="37" s="1"/>
  <c r="AA20" i="37"/>
  <c r="K20" i="37" s="1"/>
  <c r="Z20" i="37"/>
  <c r="Y20" i="37"/>
  <c r="Q20" i="37"/>
  <c r="N20" i="37"/>
  <c r="L20" i="37"/>
  <c r="J20" i="37"/>
  <c r="AJ19" i="37"/>
  <c r="AE19" i="37"/>
  <c r="AC19" i="37"/>
  <c r="U19" i="37" s="1"/>
  <c r="AB19" i="37"/>
  <c r="P19" i="37" s="1"/>
  <c r="AA19" i="37"/>
  <c r="K19" i="37" s="1"/>
  <c r="Y19" i="37"/>
  <c r="R19" i="37"/>
  <c r="Q19" i="37"/>
  <c r="L19" i="37"/>
  <c r="AJ18" i="37"/>
  <c r="AE18" i="37"/>
  <c r="AC18" i="37"/>
  <c r="U18" i="37" s="1"/>
  <c r="AB18" i="37"/>
  <c r="P18" i="37" s="1"/>
  <c r="AA18" i="37"/>
  <c r="K18" i="37" s="1"/>
  <c r="Y18" i="37"/>
  <c r="Q18" i="37"/>
  <c r="N18" i="37"/>
  <c r="L18" i="37"/>
  <c r="AJ17" i="37"/>
  <c r="AE17" i="37"/>
  <c r="AC17" i="37"/>
  <c r="U17" i="37" s="1"/>
  <c r="AB17" i="37"/>
  <c r="P17" i="37" s="1"/>
  <c r="AA17" i="37"/>
  <c r="K17" i="37" s="1"/>
  <c r="Z17" i="37"/>
  <c r="Y17" i="37"/>
  <c r="T17" i="37"/>
  <c r="N17" i="37"/>
  <c r="L17" i="37"/>
  <c r="AJ16" i="37"/>
  <c r="AE16" i="37"/>
  <c r="AC16" i="37"/>
  <c r="U16" i="37" s="1"/>
  <c r="AB16" i="37"/>
  <c r="P16" i="37" s="1"/>
  <c r="AA16" i="37"/>
  <c r="K16" i="37" s="1"/>
  <c r="Y16" i="37"/>
  <c r="AJ15" i="37"/>
  <c r="AE15" i="37"/>
  <c r="AC15" i="37"/>
  <c r="U15" i="37" s="1"/>
  <c r="AB15" i="37"/>
  <c r="P15" i="37" s="1"/>
  <c r="AA15" i="37"/>
  <c r="K15" i="37" s="1"/>
  <c r="Y15" i="37"/>
  <c r="T15" i="37"/>
  <c r="R15" i="37"/>
  <c r="Q15" i="37"/>
  <c r="AJ14" i="37"/>
  <c r="AE14" i="37"/>
  <c r="AC14" i="37"/>
  <c r="U14" i="37" s="1"/>
  <c r="AB14" i="37"/>
  <c r="P14" i="37" s="1"/>
  <c r="AA14" i="37"/>
  <c r="K14" i="37" s="1"/>
  <c r="Y14" i="37"/>
  <c r="T14" i="37"/>
  <c r="R14" i="37"/>
  <c r="Q14" i="37"/>
  <c r="AJ13" i="37"/>
  <c r="AE13" i="37"/>
  <c r="AC13" i="37"/>
  <c r="U13" i="37" s="1"/>
  <c r="AB13" i="37"/>
  <c r="P13" i="37" s="1"/>
  <c r="AA13" i="37"/>
  <c r="K13" i="37" s="1"/>
  <c r="Z13" i="37"/>
  <c r="Y13" i="37"/>
  <c r="Q13" i="37"/>
  <c r="N13" i="37"/>
  <c r="L13" i="37"/>
  <c r="AJ12" i="37"/>
  <c r="AE12" i="37"/>
  <c r="AC12" i="37"/>
  <c r="U12" i="37" s="1"/>
  <c r="AB12" i="37"/>
  <c r="P12" i="37" s="1"/>
  <c r="AA12" i="37"/>
  <c r="K12" i="37" s="1"/>
  <c r="Z12" i="37"/>
  <c r="AD12" i="37" s="1"/>
  <c r="Y12" i="37"/>
  <c r="T12" i="37"/>
  <c r="R12" i="37"/>
  <c r="Q12" i="37"/>
  <c r="N12" i="37"/>
  <c r="L12" i="37"/>
  <c r="J12" i="37"/>
  <c r="AJ11" i="37"/>
  <c r="AE11" i="37"/>
  <c r="AC11" i="37"/>
  <c r="U11" i="37" s="1"/>
  <c r="AB11" i="37"/>
  <c r="P11" i="37" s="1"/>
  <c r="AA11" i="37"/>
  <c r="K11" i="37" s="1"/>
  <c r="Z11" i="37"/>
  <c r="Y11" i="37"/>
  <c r="R11" i="37"/>
  <c r="Q11" i="37"/>
  <c r="N11" i="37"/>
  <c r="L11" i="37"/>
  <c r="AJ10" i="37"/>
  <c r="AE10" i="37"/>
  <c r="AC10" i="37"/>
  <c r="U10" i="37" s="1"/>
  <c r="AB10" i="37"/>
  <c r="P10" i="37" s="1"/>
  <c r="AA10" i="37"/>
  <c r="K10" i="37" s="1"/>
  <c r="Z10" i="37"/>
  <c r="AD10" i="37" s="1"/>
  <c r="Y10" i="37"/>
  <c r="T10" i="37"/>
  <c r="R10" i="37"/>
  <c r="Q10" i="37"/>
  <c r="N10" i="37"/>
  <c r="L10" i="37"/>
  <c r="AJ9" i="37"/>
  <c r="AE9" i="37"/>
  <c r="AC9" i="37"/>
  <c r="U9" i="37" s="1"/>
  <c r="AB9" i="37"/>
  <c r="P9" i="37" s="1"/>
  <c r="AA9" i="37"/>
  <c r="K9" i="37" s="1"/>
  <c r="Z9" i="37"/>
  <c r="Y9" i="37"/>
  <c r="T9" i="37"/>
  <c r="R9" i="37"/>
  <c r="Q9" i="37"/>
  <c r="N9" i="37"/>
  <c r="L9" i="37"/>
  <c r="AJ8" i="37"/>
  <c r="AE8" i="37"/>
  <c r="AC8" i="37"/>
  <c r="U8" i="37" s="1"/>
  <c r="AB8" i="37"/>
  <c r="P8" i="37" s="1"/>
  <c r="AA8" i="37"/>
  <c r="K8" i="37" s="1"/>
  <c r="Z8" i="37"/>
  <c r="AD8" i="37" s="1"/>
  <c r="Y8" i="37"/>
  <c r="T8" i="37"/>
  <c r="R8" i="37"/>
  <c r="Q8" i="37"/>
  <c r="N8" i="37"/>
  <c r="L8" i="37"/>
  <c r="J8" i="37"/>
  <c r="AJ7" i="37"/>
  <c r="AE7" i="37"/>
  <c r="AC7" i="37"/>
  <c r="U7" i="37" s="1"/>
  <c r="AB7" i="37"/>
  <c r="P7" i="37" s="1"/>
  <c r="AA7" i="37"/>
  <c r="K7" i="37" s="1"/>
  <c r="Z7" i="37"/>
  <c r="Y7" i="37"/>
  <c r="T7" i="37"/>
  <c r="R7" i="37"/>
  <c r="L7" i="37"/>
  <c r="J7" i="37"/>
  <c r="AJ6" i="37"/>
  <c r="AE6" i="37"/>
  <c r="AC6" i="37"/>
  <c r="U6" i="37" s="1"/>
  <c r="AB6" i="37"/>
  <c r="P6" i="37" s="1"/>
  <c r="AA6" i="37"/>
  <c r="K6" i="37" s="1"/>
  <c r="Z6" i="37"/>
  <c r="Y6" i="37"/>
  <c r="L6" i="37"/>
  <c r="J6" i="37"/>
  <c r="AJ5" i="37"/>
  <c r="AE5" i="37"/>
  <c r="AC5" i="37"/>
  <c r="U5" i="37" s="1"/>
  <c r="AB5" i="37"/>
  <c r="P5" i="37" s="1"/>
  <c r="AA5" i="37"/>
  <c r="K5" i="37" s="1"/>
  <c r="Z5" i="37"/>
  <c r="AD5" i="37" s="1"/>
  <c r="Y5" i="37"/>
  <c r="N5" i="37"/>
  <c r="L5" i="37"/>
  <c r="AJ4" i="37"/>
  <c r="AE4" i="37"/>
  <c r="AC4" i="37"/>
  <c r="U4" i="37" s="1"/>
  <c r="AB4" i="37"/>
  <c r="P4" i="37" s="1"/>
  <c r="AA4" i="37"/>
  <c r="K4" i="37" s="1"/>
  <c r="Z4" i="37"/>
  <c r="Y4" i="37"/>
  <c r="Q4" i="37"/>
  <c r="N4" i="37"/>
  <c r="L4" i="37"/>
  <c r="J4" i="37"/>
  <c r="AA30" i="36"/>
  <c r="AA27" i="36" s="1"/>
  <c r="K27" i="36" s="1"/>
  <c r="AB30" i="36"/>
  <c r="N30" i="36" s="1"/>
  <c r="AC30" i="36"/>
  <c r="Z30" i="36"/>
  <c r="Z23" i="36" s="1"/>
  <c r="J23" i="36" s="1"/>
  <c r="AJ30" i="36"/>
  <c r="AE30" i="36"/>
  <c r="M30" i="36"/>
  <c r="Y30" i="36"/>
  <c r="R30" i="36"/>
  <c r="Q30" i="36"/>
  <c r="P30" i="36"/>
  <c r="O30" i="36"/>
  <c r="L30" i="36"/>
  <c r="K30" i="36"/>
  <c r="AJ29" i="36"/>
  <c r="AE29" i="36"/>
  <c r="AB29" i="36"/>
  <c r="N29" i="36" s="1"/>
  <c r="Y29" i="36"/>
  <c r="P29" i="36"/>
  <c r="O29" i="36"/>
  <c r="L29" i="36"/>
  <c r="AJ28" i="36"/>
  <c r="AE28" i="36"/>
  <c r="AC28" i="36"/>
  <c r="R28" i="36" s="1"/>
  <c r="AB28" i="36"/>
  <c r="N28" i="36" s="1"/>
  <c r="Z28" i="36"/>
  <c r="J28" i="36" s="1"/>
  <c r="Y28" i="36"/>
  <c r="Q28" i="36"/>
  <c r="L28" i="36"/>
  <c r="AJ27" i="36"/>
  <c r="AE27" i="36"/>
  <c r="AC27" i="36"/>
  <c r="AB27" i="36"/>
  <c r="N27" i="36" s="1"/>
  <c r="Y27" i="36"/>
  <c r="L27" i="36"/>
  <c r="AJ26" i="36"/>
  <c r="AE26" i="36"/>
  <c r="AC26" i="36"/>
  <c r="AB26" i="36"/>
  <c r="O26" i="36" s="1"/>
  <c r="Y26" i="36"/>
  <c r="Q26" i="36"/>
  <c r="P26" i="36"/>
  <c r="AJ25" i="36"/>
  <c r="AE25" i="36"/>
  <c r="AC25" i="36"/>
  <c r="AB25" i="36"/>
  <c r="N25" i="36" s="1"/>
  <c r="AA25" i="36"/>
  <c r="K25" i="36" s="1"/>
  <c r="Y25" i="36"/>
  <c r="R25" i="36"/>
  <c r="O25" i="36"/>
  <c r="AJ24" i="36"/>
  <c r="AE24" i="36"/>
  <c r="AC24" i="36"/>
  <c r="R24" i="36" s="1"/>
  <c r="AB24" i="36"/>
  <c r="N24" i="36" s="1"/>
  <c r="Y24" i="36"/>
  <c r="Q24" i="36"/>
  <c r="P24" i="36"/>
  <c r="O24" i="36"/>
  <c r="L24" i="36"/>
  <c r="AJ23" i="36"/>
  <c r="AE23" i="36"/>
  <c r="AC23" i="36"/>
  <c r="AB23" i="36"/>
  <c r="N23" i="36" s="1"/>
  <c r="Y23" i="36"/>
  <c r="Q23" i="36"/>
  <c r="P23" i="36"/>
  <c r="AJ22" i="36"/>
  <c r="AE22" i="36"/>
  <c r="AC22" i="36"/>
  <c r="AB22" i="36"/>
  <c r="N22" i="36" s="1"/>
  <c r="AA22" i="36"/>
  <c r="Y22" i="36"/>
  <c r="K22" i="36"/>
  <c r="AJ21" i="36"/>
  <c r="AE21" i="36"/>
  <c r="AC21" i="36"/>
  <c r="AB21" i="36"/>
  <c r="O21" i="36" s="1"/>
  <c r="AA21" i="36"/>
  <c r="K21" i="36" s="1"/>
  <c r="Y21" i="36"/>
  <c r="R21" i="36"/>
  <c r="Q21" i="36"/>
  <c r="P21" i="36"/>
  <c r="L21" i="36"/>
  <c r="AJ20" i="36"/>
  <c r="AE20" i="36"/>
  <c r="AC20" i="36"/>
  <c r="S20" i="36" s="1"/>
  <c r="AB20" i="36"/>
  <c r="N20" i="36" s="1"/>
  <c r="AA20" i="36"/>
  <c r="K20" i="36" s="1"/>
  <c r="Z20" i="36"/>
  <c r="J20" i="36" s="1"/>
  <c r="Y20" i="36"/>
  <c r="O20" i="36"/>
  <c r="AJ19" i="36"/>
  <c r="AE19" i="36"/>
  <c r="AC19" i="36"/>
  <c r="S19" i="36" s="1"/>
  <c r="AB19" i="36"/>
  <c r="N19" i="36" s="1"/>
  <c r="Y19" i="36"/>
  <c r="Q19" i="36"/>
  <c r="P19" i="36"/>
  <c r="O19" i="36"/>
  <c r="L19" i="36"/>
  <c r="AJ18" i="36"/>
  <c r="AE18" i="36"/>
  <c r="AC18" i="36"/>
  <c r="S18" i="36" s="1"/>
  <c r="AB18" i="36"/>
  <c r="O18" i="36" s="1"/>
  <c r="AA18" i="36"/>
  <c r="K18" i="36" s="1"/>
  <c r="Y18" i="36"/>
  <c r="Q18" i="36"/>
  <c r="P18" i="36"/>
  <c r="AJ17" i="36"/>
  <c r="AE17" i="36"/>
  <c r="AC17" i="36"/>
  <c r="S17" i="36" s="1"/>
  <c r="AB17" i="36"/>
  <c r="O17" i="36" s="1"/>
  <c r="AA17" i="36"/>
  <c r="K17" i="36" s="1"/>
  <c r="Y17" i="36"/>
  <c r="AJ16" i="36"/>
  <c r="AE16" i="36"/>
  <c r="AC16" i="36"/>
  <c r="AB16" i="36"/>
  <c r="O16" i="36" s="1"/>
  <c r="AA16" i="36"/>
  <c r="Y16" i="36"/>
  <c r="Q16" i="36"/>
  <c r="K16" i="36"/>
  <c r="AJ15" i="36"/>
  <c r="AE15" i="36"/>
  <c r="AC15" i="36"/>
  <c r="AB15" i="36"/>
  <c r="O15" i="36" s="1"/>
  <c r="AA15" i="36"/>
  <c r="K15" i="36" s="1"/>
  <c r="Y15" i="36"/>
  <c r="Q15" i="36"/>
  <c r="P15" i="36"/>
  <c r="L15" i="36"/>
  <c r="AJ14" i="36"/>
  <c r="AE14" i="36"/>
  <c r="AC14" i="36"/>
  <c r="AB14" i="36"/>
  <c r="O14" i="36" s="1"/>
  <c r="AA14" i="36"/>
  <c r="K14" i="36" s="1"/>
  <c r="Y14" i="36"/>
  <c r="Q14" i="36"/>
  <c r="P14" i="36"/>
  <c r="L14" i="36"/>
  <c r="AJ13" i="36"/>
  <c r="AE13" i="36"/>
  <c r="AC13" i="36"/>
  <c r="S13" i="36" s="1"/>
  <c r="AB13" i="36"/>
  <c r="O13" i="36" s="1"/>
  <c r="AA13" i="36"/>
  <c r="K13" i="36" s="1"/>
  <c r="Y13" i="36"/>
  <c r="AJ12" i="36"/>
  <c r="AE12" i="36"/>
  <c r="AC12" i="36"/>
  <c r="S12" i="36" s="1"/>
  <c r="AB12" i="36"/>
  <c r="O12" i="36" s="1"/>
  <c r="AA12" i="36"/>
  <c r="Y12" i="36"/>
  <c r="Q12" i="36"/>
  <c r="P12" i="36"/>
  <c r="L12" i="36"/>
  <c r="K12" i="36"/>
  <c r="AJ11" i="36"/>
  <c r="AE11" i="36"/>
  <c r="AC11" i="36"/>
  <c r="AB11" i="36"/>
  <c r="O11" i="36" s="1"/>
  <c r="AA11" i="36"/>
  <c r="K11" i="36" s="1"/>
  <c r="Y11" i="36"/>
  <c r="S11" i="36"/>
  <c r="R11" i="36"/>
  <c r="P11" i="36"/>
  <c r="AJ10" i="36"/>
  <c r="AE10" i="36"/>
  <c r="AC10" i="36"/>
  <c r="AB10" i="36"/>
  <c r="O10" i="36" s="1"/>
  <c r="AA10" i="36"/>
  <c r="Y10" i="36"/>
  <c r="P10" i="36"/>
  <c r="L10" i="36"/>
  <c r="K10" i="36"/>
  <c r="AJ9" i="36"/>
  <c r="AE9" i="36"/>
  <c r="AC9" i="36"/>
  <c r="AB9" i="36"/>
  <c r="O9" i="36" s="1"/>
  <c r="AA9" i="36"/>
  <c r="Y9" i="36"/>
  <c r="Q9" i="36"/>
  <c r="P9" i="36"/>
  <c r="L9" i="36"/>
  <c r="K9" i="36"/>
  <c r="AJ8" i="36"/>
  <c r="AE8" i="36"/>
  <c r="AC8" i="36"/>
  <c r="AB8" i="36"/>
  <c r="O8" i="36" s="1"/>
  <c r="AA8" i="36"/>
  <c r="K8" i="36" s="1"/>
  <c r="Y8" i="36"/>
  <c r="Q8" i="36"/>
  <c r="AJ7" i="36"/>
  <c r="AE7" i="36"/>
  <c r="AC7" i="36"/>
  <c r="AB7" i="36"/>
  <c r="O7" i="36" s="1"/>
  <c r="AA7" i="36"/>
  <c r="Z7" i="36"/>
  <c r="J7" i="36" s="1"/>
  <c r="Y7" i="36"/>
  <c r="K7" i="36"/>
  <c r="AJ6" i="36"/>
  <c r="AE6" i="36"/>
  <c r="AC6" i="36"/>
  <c r="AB6" i="36"/>
  <c r="O6" i="36" s="1"/>
  <c r="AA6" i="36"/>
  <c r="K6" i="36" s="1"/>
  <c r="Z6" i="36"/>
  <c r="Y6" i="36"/>
  <c r="Q6" i="36"/>
  <c r="P6" i="36"/>
  <c r="L6" i="36"/>
  <c r="J6" i="36"/>
  <c r="AJ5" i="36"/>
  <c r="AE5" i="36"/>
  <c r="AC5" i="36"/>
  <c r="AB5" i="36"/>
  <c r="O5" i="36" s="1"/>
  <c r="AA5" i="36"/>
  <c r="K5" i="36" s="1"/>
  <c r="Z5" i="36"/>
  <c r="J5" i="36" s="1"/>
  <c r="Y5" i="36"/>
  <c r="S5" i="36"/>
  <c r="AJ4" i="36"/>
  <c r="AE4" i="36"/>
  <c r="AC4" i="36"/>
  <c r="AB4" i="36"/>
  <c r="O4" i="36" s="1"/>
  <c r="AA4" i="36"/>
  <c r="Z4" i="36"/>
  <c r="Y4" i="36"/>
  <c r="S4" i="36"/>
  <c r="R4" i="36"/>
  <c r="Q4" i="36"/>
  <c r="P4" i="36"/>
  <c r="L4" i="36"/>
  <c r="K4" i="36"/>
  <c r="J4" i="36"/>
  <c r="AA30" i="35"/>
  <c r="AB30" i="35"/>
  <c r="O30" i="35" s="1"/>
  <c r="AC30" i="35"/>
  <c r="AC28" i="35" s="1"/>
  <c r="Z30" i="35"/>
  <c r="Z27" i="35" s="1"/>
  <c r="J27" i="35" s="1"/>
  <c r="AJ30" i="35"/>
  <c r="AE30" i="35"/>
  <c r="M30" i="35"/>
  <c r="Y30" i="35"/>
  <c r="Q30" i="35"/>
  <c r="P30" i="35"/>
  <c r="L30" i="35"/>
  <c r="K30" i="35"/>
  <c r="AJ29" i="35"/>
  <c r="AE29" i="35"/>
  <c r="AB29" i="35"/>
  <c r="N29" i="35" s="1"/>
  <c r="AA29" i="35"/>
  <c r="K29" i="35" s="1"/>
  <c r="Y29" i="35"/>
  <c r="P29" i="35"/>
  <c r="L29" i="35"/>
  <c r="AJ28" i="35"/>
  <c r="AE28" i="35"/>
  <c r="AB28" i="35"/>
  <c r="O28" i="35" s="1"/>
  <c r="AA28" i="35"/>
  <c r="Y28" i="35"/>
  <c r="P28" i="35"/>
  <c r="K28" i="35"/>
  <c r="AJ27" i="35"/>
  <c r="AE27" i="35"/>
  <c r="AB27" i="35"/>
  <c r="O27" i="35" s="1"/>
  <c r="AA27" i="35"/>
  <c r="K27" i="35" s="1"/>
  <c r="Y27" i="35"/>
  <c r="Q27" i="35"/>
  <c r="AJ26" i="35"/>
  <c r="AE26" i="35"/>
  <c r="AC26" i="35"/>
  <c r="R26" i="35" s="1"/>
  <c r="AB26" i="35"/>
  <c r="O26" i="35" s="1"/>
  <c r="AA26" i="35"/>
  <c r="K26" i="35" s="1"/>
  <c r="Y26" i="35"/>
  <c r="Q26" i="35"/>
  <c r="P26" i="35"/>
  <c r="L26" i="35"/>
  <c r="AJ25" i="35"/>
  <c r="AE25" i="35"/>
  <c r="AC25" i="35"/>
  <c r="R25" i="35" s="1"/>
  <c r="AB25" i="35"/>
  <c r="O25" i="35" s="1"/>
  <c r="AA25" i="35"/>
  <c r="K25" i="35" s="1"/>
  <c r="Y25" i="35"/>
  <c r="Q25" i="35"/>
  <c r="P25" i="35"/>
  <c r="L25" i="35"/>
  <c r="AJ24" i="35"/>
  <c r="AE24" i="35"/>
  <c r="AC24" i="35"/>
  <c r="R24" i="35" s="1"/>
  <c r="AB24" i="35"/>
  <c r="O24" i="35" s="1"/>
  <c r="AA24" i="35"/>
  <c r="K24" i="35" s="1"/>
  <c r="Y24" i="35"/>
  <c r="Q24" i="35"/>
  <c r="L24" i="35"/>
  <c r="AJ23" i="35"/>
  <c r="AE23" i="35"/>
  <c r="AC23" i="35"/>
  <c r="U23" i="35" s="1"/>
  <c r="AB23" i="35"/>
  <c r="O23" i="35" s="1"/>
  <c r="AA23" i="35"/>
  <c r="K23" i="35" s="1"/>
  <c r="Y23" i="35"/>
  <c r="Q23" i="35"/>
  <c r="L23" i="35"/>
  <c r="AJ22" i="35"/>
  <c r="AE22" i="35"/>
  <c r="AC22" i="35"/>
  <c r="U22" i="35" s="1"/>
  <c r="AB22" i="35"/>
  <c r="O22" i="35" s="1"/>
  <c r="AA22" i="35"/>
  <c r="K22" i="35" s="1"/>
  <c r="Y22" i="35"/>
  <c r="Q22" i="35"/>
  <c r="P22" i="35"/>
  <c r="L22" i="35"/>
  <c r="AJ21" i="35"/>
  <c r="AE21" i="35"/>
  <c r="AC21" i="35"/>
  <c r="U21" i="35" s="1"/>
  <c r="AB21" i="35"/>
  <c r="O21" i="35" s="1"/>
  <c r="AA21" i="35"/>
  <c r="K21" i="35" s="1"/>
  <c r="Y21" i="35"/>
  <c r="Q21" i="35"/>
  <c r="P21" i="35"/>
  <c r="L21" i="35"/>
  <c r="AJ20" i="35"/>
  <c r="AE20" i="35"/>
  <c r="AC20" i="35"/>
  <c r="R20" i="35" s="1"/>
  <c r="AB20" i="35"/>
  <c r="O20" i="35" s="1"/>
  <c r="AA20" i="35"/>
  <c r="K20" i="35" s="1"/>
  <c r="Y20" i="35"/>
  <c r="Q20" i="35"/>
  <c r="P20" i="35"/>
  <c r="L20" i="35"/>
  <c r="AJ19" i="35"/>
  <c r="AE19" i="35"/>
  <c r="AC19" i="35"/>
  <c r="U19" i="35" s="1"/>
  <c r="AB19" i="35"/>
  <c r="O19" i="35" s="1"/>
  <c r="AA19" i="35"/>
  <c r="K19" i="35" s="1"/>
  <c r="Z19" i="35"/>
  <c r="J19" i="35" s="1"/>
  <c r="Y19" i="35"/>
  <c r="P19" i="35"/>
  <c r="AJ18" i="35"/>
  <c r="AE18" i="35"/>
  <c r="AC18" i="35"/>
  <c r="U18" i="35" s="1"/>
  <c r="AB18" i="35"/>
  <c r="O18" i="35" s="1"/>
  <c r="AA18" i="35"/>
  <c r="Z18" i="35"/>
  <c r="J18" i="35" s="1"/>
  <c r="Y18" i="35"/>
  <c r="K18" i="35"/>
  <c r="AJ17" i="35"/>
  <c r="AE17" i="35"/>
  <c r="AC17" i="35"/>
  <c r="U17" i="35" s="1"/>
  <c r="AB17" i="35"/>
  <c r="O17" i="35" s="1"/>
  <c r="AA17" i="35"/>
  <c r="Z17" i="35"/>
  <c r="J17" i="35" s="1"/>
  <c r="Y17" i="35"/>
  <c r="Q17" i="35"/>
  <c r="P17" i="35"/>
  <c r="L17" i="35"/>
  <c r="K17" i="35"/>
  <c r="AJ16" i="35"/>
  <c r="AE16" i="35"/>
  <c r="AC16" i="35"/>
  <c r="U16" i="35" s="1"/>
  <c r="AB16" i="35"/>
  <c r="O16" i="35" s="1"/>
  <c r="AA16" i="35"/>
  <c r="Z16" i="35"/>
  <c r="J16" i="35" s="1"/>
  <c r="Y16" i="35"/>
  <c r="K16" i="35"/>
  <c r="AJ15" i="35"/>
  <c r="AE15" i="35"/>
  <c r="AC15" i="35"/>
  <c r="AB15" i="35"/>
  <c r="O15" i="35" s="1"/>
  <c r="AA15" i="35"/>
  <c r="Z15" i="35"/>
  <c r="J15" i="35" s="1"/>
  <c r="Y15" i="35"/>
  <c r="Q15" i="35"/>
  <c r="P15" i="35"/>
  <c r="L15" i="35"/>
  <c r="K15" i="35"/>
  <c r="AJ14" i="35"/>
  <c r="AE14" i="35"/>
  <c r="AC14" i="35"/>
  <c r="AB14" i="35"/>
  <c r="O14" i="35" s="1"/>
  <c r="AA14" i="35"/>
  <c r="Z14" i="35"/>
  <c r="J14" i="35" s="1"/>
  <c r="Y14" i="35"/>
  <c r="Q14" i="35"/>
  <c r="L14" i="35"/>
  <c r="K14" i="35"/>
  <c r="AJ13" i="35"/>
  <c r="AE13" i="35"/>
  <c r="AC13" i="35"/>
  <c r="R13" i="35" s="1"/>
  <c r="AB13" i="35"/>
  <c r="O13" i="35" s="1"/>
  <c r="AA13" i="35"/>
  <c r="K13" i="35" s="1"/>
  <c r="Z13" i="35"/>
  <c r="J13" i="35" s="1"/>
  <c r="Y13" i="35"/>
  <c r="Q13" i="35"/>
  <c r="P13" i="35"/>
  <c r="L13" i="35"/>
  <c r="AJ12" i="35"/>
  <c r="AE12" i="35"/>
  <c r="AC12" i="35"/>
  <c r="AB12" i="35"/>
  <c r="N12" i="35" s="1"/>
  <c r="AA12" i="35"/>
  <c r="Z12" i="35"/>
  <c r="Y12" i="35"/>
  <c r="R12" i="35"/>
  <c r="P12" i="35"/>
  <c r="L12" i="35"/>
  <c r="K12" i="35"/>
  <c r="J12" i="35"/>
  <c r="AJ11" i="35"/>
  <c r="AE11" i="35"/>
  <c r="AC11" i="35"/>
  <c r="AB11" i="35"/>
  <c r="N11" i="35" s="1"/>
  <c r="AA11" i="35"/>
  <c r="Z11" i="35"/>
  <c r="J11" i="35" s="1"/>
  <c r="Y11" i="35"/>
  <c r="K11" i="35"/>
  <c r="AJ10" i="35"/>
  <c r="AE10" i="35"/>
  <c r="AC10" i="35"/>
  <c r="AB10" i="35"/>
  <c r="N10" i="35" s="1"/>
  <c r="AA10" i="35"/>
  <c r="Z10" i="35"/>
  <c r="Y10" i="35"/>
  <c r="R10" i="35"/>
  <c r="Q10" i="35"/>
  <c r="P10" i="35"/>
  <c r="O10" i="35"/>
  <c r="L10" i="35"/>
  <c r="K10" i="35"/>
  <c r="J10" i="35"/>
  <c r="AJ9" i="35"/>
  <c r="AE9" i="35"/>
  <c r="AC9" i="35"/>
  <c r="R9" i="35" s="1"/>
  <c r="AB9" i="35"/>
  <c r="N9" i="35" s="1"/>
  <c r="AA9" i="35"/>
  <c r="Z9" i="35"/>
  <c r="Y9" i="35"/>
  <c r="Q9" i="35"/>
  <c r="O9" i="35"/>
  <c r="L9" i="35"/>
  <c r="K9" i="35"/>
  <c r="J9" i="35"/>
  <c r="AJ8" i="35"/>
  <c r="AE8" i="35"/>
  <c r="AC8" i="35"/>
  <c r="R8" i="35" s="1"/>
  <c r="AB8" i="35"/>
  <c r="N8" i="35" s="1"/>
  <c r="AA8" i="35"/>
  <c r="Z8" i="35"/>
  <c r="Y8" i="35"/>
  <c r="O8" i="35"/>
  <c r="L8" i="35"/>
  <c r="K8" i="35"/>
  <c r="J8" i="35"/>
  <c r="AJ7" i="35"/>
  <c r="AE7" i="35"/>
  <c r="AC7" i="35"/>
  <c r="AB7" i="35"/>
  <c r="N7" i="35" s="1"/>
  <c r="AA7" i="35"/>
  <c r="K7" i="35" s="1"/>
  <c r="Z7" i="35"/>
  <c r="J7" i="35" s="1"/>
  <c r="Y7" i="35"/>
  <c r="Q7" i="35"/>
  <c r="P7" i="35"/>
  <c r="O7" i="35"/>
  <c r="L7" i="35"/>
  <c r="AJ6" i="35"/>
  <c r="AE6" i="35"/>
  <c r="AC6" i="35"/>
  <c r="R6" i="35" s="1"/>
  <c r="AB6" i="35"/>
  <c r="N6" i="35" s="1"/>
  <c r="AA6" i="35"/>
  <c r="Z6" i="35"/>
  <c r="Y6" i="35"/>
  <c r="Q6" i="35"/>
  <c r="O6" i="35"/>
  <c r="L6" i="35"/>
  <c r="K6" i="35"/>
  <c r="J6" i="35"/>
  <c r="AJ5" i="35"/>
  <c r="AE5" i="35"/>
  <c r="AC5" i="35"/>
  <c r="R5" i="35" s="1"/>
  <c r="AB5" i="35"/>
  <c r="N5" i="35" s="1"/>
  <c r="AA5" i="35"/>
  <c r="K5" i="35" s="1"/>
  <c r="Z5" i="35"/>
  <c r="Y5" i="35"/>
  <c r="L5" i="35"/>
  <c r="J5" i="35"/>
  <c r="AJ4" i="35"/>
  <c r="AE4" i="35"/>
  <c r="AC4" i="35"/>
  <c r="AB4" i="35"/>
  <c r="N4" i="35" s="1"/>
  <c r="AA4" i="35"/>
  <c r="Z4" i="35"/>
  <c r="Y4" i="35"/>
  <c r="R4" i="35"/>
  <c r="Q4" i="35"/>
  <c r="P4" i="35"/>
  <c r="O4" i="35"/>
  <c r="L4" i="35"/>
  <c r="K4" i="35"/>
  <c r="J4" i="35"/>
  <c r="AA30" i="34"/>
  <c r="AA22" i="34" s="1"/>
  <c r="K22" i="34" s="1"/>
  <c r="AB30" i="34"/>
  <c r="Q30" i="34" s="1"/>
  <c r="AC30" i="34"/>
  <c r="U30" i="34" s="1"/>
  <c r="Z30" i="34"/>
  <c r="Z27" i="34" s="1"/>
  <c r="AJ30" i="34"/>
  <c r="AE30" i="34"/>
  <c r="K30" i="34"/>
  <c r="Y30" i="34"/>
  <c r="R30" i="34"/>
  <c r="O30" i="34"/>
  <c r="N30" i="34"/>
  <c r="L30" i="34"/>
  <c r="AJ29" i="34"/>
  <c r="AE29" i="34"/>
  <c r="AC29" i="34"/>
  <c r="T29" i="34" s="1"/>
  <c r="AA29" i="34"/>
  <c r="K29" i="34" s="1"/>
  <c r="Y29" i="34"/>
  <c r="AJ28" i="34"/>
  <c r="AE28" i="34"/>
  <c r="AC28" i="34"/>
  <c r="U28" i="34" s="1"/>
  <c r="AB28" i="34"/>
  <c r="N28" i="34" s="1"/>
  <c r="AA28" i="34"/>
  <c r="K28" i="34" s="1"/>
  <c r="Y28" i="34"/>
  <c r="R28" i="34"/>
  <c r="L28" i="34"/>
  <c r="AJ27" i="34"/>
  <c r="AE27" i="34"/>
  <c r="AC27" i="34"/>
  <c r="T27" i="34" s="1"/>
  <c r="AA27" i="34"/>
  <c r="K27" i="34" s="1"/>
  <c r="Y27" i="34"/>
  <c r="AJ26" i="34"/>
  <c r="AE26" i="34"/>
  <c r="AC26" i="34"/>
  <c r="T26" i="34" s="1"/>
  <c r="AB26" i="34"/>
  <c r="N26" i="34" s="1"/>
  <c r="AA26" i="34"/>
  <c r="K26" i="34" s="1"/>
  <c r="Y26" i="34"/>
  <c r="R26" i="34"/>
  <c r="L26" i="34"/>
  <c r="AJ25" i="34"/>
  <c r="AE25" i="34"/>
  <c r="AC25" i="34"/>
  <c r="U25" i="34" s="1"/>
  <c r="AA25" i="34"/>
  <c r="K25" i="34" s="1"/>
  <c r="Y25" i="34"/>
  <c r="AJ24" i="34"/>
  <c r="AE24" i="34"/>
  <c r="AC24" i="34"/>
  <c r="U24" i="34" s="1"/>
  <c r="AB24" i="34"/>
  <c r="N24" i="34" s="1"/>
  <c r="AA24" i="34"/>
  <c r="K24" i="34" s="1"/>
  <c r="Y24" i="34"/>
  <c r="R24" i="34"/>
  <c r="AJ23" i="34"/>
  <c r="AE23" i="34"/>
  <c r="AC23" i="34"/>
  <c r="T23" i="34" s="1"/>
  <c r="AA23" i="34"/>
  <c r="K23" i="34" s="1"/>
  <c r="Z23" i="34"/>
  <c r="Y23" i="34"/>
  <c r="R23" i="34"/>
  <c r="J23" i="34"/>
  <c r="AJ22" i="34"/>
  <c r="AE22" i="34"/>
  <c r="AC22" i="34"/>
  <c r="U22" i="34" s="1"/>
  <c r="AB22" i="34"/>
  <c r="N22" i="34" s="1"/>
  <c r="Z22" i="34"/>
  <c r="Y22" i="34"/>
  <c r="R22" i="34"/>
  <c r="P22" i="34"/>
  <c r="O22" i="34"/>
  <c r="M22" i="34"/>
  <c r="J22" i="34"/>
  <c r="AJ21" i="34"/>
  <c r="AE21" i="34"/>
  <c r="AC21" i="34"/>
  <c r="U21" i="34" s="1"/>
  <c r="AB21" i="34"/>
  <c r="N21" i="34" s="1"/>
  <c r="AA21" i="34"/>
  <c r="K21" i="34" s="1"/>
  <c r="Z21" i="34"/>
  <c r="Y21" i="34"/>
  <c r="M21" i="34"/>
  <c r="J21" i="34"/>
  <c r="AJ20" i="34"/>
  <c r="AE20" i="34"/>
  <c r="AC20" i="34"/>
  <c r="T20" i="34" s="1"/>
  <c r="AB20" i="34"/>
  <c r="N20" i="34" s="1"/>
  <c r="Z20" i="34"/>
  <c r="Y20" i="34"/>
  <c r="M20" i="34"/>
  <c r="J20" i="34"/>
  <c r="AJ19" i="34"/>
  <c r="AE19" i="34"/>
  <c r="AC19" i="34"/>
  <c r="T19" i="34" s="1"/>
  <c r="AA19" i="34"/>
  <c r="K19" i="34" s="1"/>
  <c r="Z19" i="34"/>
  <c r="Y19" i="34"/>
  <c r="R19" i="34"/>
  <c r="J19" i="34"/>
  <c r="AJ18" i="34"/>
  <c r="AE18" i="34"/>
  <c r="AC18" i="34"/>
  <c r="T18" i="34" s="1"/>
  <c r="AB18" i="34"/>
  <c r="N18" i="34" s="1"/>
  <c r="Z18" i="34"/>
  <c r="Y18" i="34"/>
  <c r="R18" i="34"/>
  <c r="P18" i="34"/>
  <c r="O18" i="34"/>
  <c r="L18" i="34"/>
  <c r="AJ17" i="34"/>
  <c r="AE17" i="34"/>
  <c r="AC17" i="34"/>
  <c r="T17" i="34" s="1"/>
  <c r="AB17" i="34"/>
  <c r="N17" i="34" s="1"/>
  <c r="Y17" i="34"/>
  <c r="AJ16" i="34"/>
  <c r="AE16" i="34"/>
  <c r="AC16" i="34"/>
  <c r="U16" i="34" s="1"/>
  <c r="AB16" i="34"/>
  <c r="N16" i="34" s="1"/>
  <c r="AA16" i="34"/>
  <c r="K16" i="34" s="1"/>
  <c r="Z16" i="34"/>
  <c r="Y16" i="34"/>
  <c r="Q16" i="34"/>
  <c r="O16" i="34"/>
  <c r="L16" i="34"/>
  <c r="AJ15" i="34"/>
  <c r="AE15" i="34"/>
  <c r="AC15" i="34"/>
  <c r="T15" i="34" s="1"/>
  <c r="AB15" i="34"/>
  <c r="N15" i="34" s="1"/>
  <c r="AA15" i="34"/>
  <c r="K15" i="34" s="1"/>
  <c r="Z15" i="34"/>
  <c r="Y15" i="34"/>
  <c r="R15" i="34"/>
  <c r="L15" i="34"/>
  <c r="J15" i="34"/>
  <c r="AJ14" i="34"/>
  <c r="AE14" i="34"/>
  <c r="AC14" i="34"/>
  <c r="T14" i="34" s="1"/>
  <c r="AB14" i="34"/>
  <c r="N14" i="34" s="1"/>
  <c r="Z14" i="34"/>
  <c r="Y14" i="34"/>
  <c r="R14" i="34"/>
  <c r="P14" i="34"/>
  <c r="O14" i="34"/>
  <c r="L14" i="34"/>
  <c r="AJ13" i="34"/>
  <c r="AE13" i="34"/>
  <c r="AC13" i="34"/>
  <c r="T13" i="34" s="1"/>
  <c r="AB13" i="34"/>
  <c r="P13" i="34" s="1"/>
  <c r="Z13" i="34"/>
  <c r="Y13" i="34"/>
  <c r="J13" i="34"/>
  <c r="AJ12" i="34"/>
  <c r="AE12" i="34"/>
  <c r="AC12" i="34"/>
  <c r="T12" i="34" s="1"/>
  <c r="AB12" i="34"/>
  <c r="N12" i="34" s="1"/>
  <c r="Y12" i="34"/>
  <c r="R12" i="34"/>
  <c r="Q12" i="34"/>
  <c r="O12" i="34"/>
  <c r="L12" i="34"/>
  <c r="AJ11" i="34"/>
  <c r="AE11" i="34"/>
  <c r="AC11" i="34"/>
  <c r="T11" i="34" s="1"/>
  <c r="AB11" i="34"/>
  <c r="N11" i="34" s="1"/>
  <c r="AA11" i="34"/>
  <c r="K11" i="34" s="1"/>
  <c r="Z11" i="34"/>
  <c r="Y11" i="34"/>
  <c r="R11" i="34"/>
  <c r="L11" i="34"/>
  <c r="AJ10" i="34"/>
  <c r="AE10" i="34"/>
  <c r="AC10" i="34"/>
  <c r="T10" i="34" s="1"/>
  <c r="AB10" i="34"/>
  <c r="N10" i="34" s="1"/>
  <c r="AA10" i="34"/>
  <c r="K10" i="34" s="1"/>
  <c r="Z10" i="34"/>
  <c r="Y10" i="34"/>
  <c r="Q10" i="34"/>
  <c r="O10" i="34"/>
  <c r="L10" i="34"/>
  <c r="J10" i="34"/>
  <c r="AJ9" i="34"/>
  <c r="AE9" i="34"/>
  <c r="AC9" i="34"/>
  <c r="T9" i="34" s="1"/>
  <c r="AB9" i="34"/>
  <c r="N9" i="34" s="1"/>
  <c r="Z9" i="34"/>
  <c r="Y9" i="34"/>
  <c r="L9" i="34"/>
  <c r="AJ8" i="34"/>
  <c r="AE8" i="34"/>
  <c r="AC8" i="34"/>
  <c r="U8" i="34" s="1"/>
  <c r="AB8" i="34"/>
  <c r="N8" i="34" s="1"/>
  <c r="Z8" i="34"/>
  <c r="Y8" i="34"/>
  <c r="R8" i="34"/>
  <c r="P8" i="34"/>
  <c r="O8" i="34"/>
  <c r="L8" i="34"/>
  <c r="J8" i="34"/>
  <c r="AJ7" i="34"/>
  <c r="AE7" i="34"/>
  <c r="AC7" i="34"/>
  <c r="U7" i="34" s="1"/>
  <c r="AA7" i="34"/>
  <c r="K7" i="34" s="1"/>
  <c r="Z7" i="34"/>
  <c r="Y7" i="34"/>
  <c r="AJ6" i="34"/>
  <c r="AE6" i="34"/>
  <c r="AC6" i="34"/>
  <c r="U6" i="34" s="1"/>
  <c r="Z6" i="34"/>
  <c r="Y6" i="34"/>
  <c r="J6" i="34"/>
  <c r="AJ5" i="34"/>
  <c r="AE5" i="34"/>
  <c r="AC5" i="34"/>
  <c r="T5" i="34" s="1"/>
  <c r="AB5" i="34"/>
  <c r="N5" i="34" s="1"/>
  <c r="AA5" i="34"/>
  <c r="K5" i="34" s="1"/>
  <c r="Z5" i="34"/>
  <c r="Y5" i="34"/>
  <c r="L5" i="34"/>
  <c r="AJ4" i="34"/>
  <c r="AE4" i="34"/>
  <c r="AC4" i="34"/>
  <c r="T4" i="34" s="1"/>
  <c r="AA4" i="34"/>
  <c r="K4" i="34" s="1"/>
  <c r="Z4" i="34"/>
  <c r="Y4" i="34"/>
  <c r="R4" i="34"/>
  <c r="J4" i="34"/>
  <c r="AA30" i="33"/>
  <c r="AB30" i="33"/>
  <c r="O30" i="33" s="1"/>
  <c r="AC30" i="33"/>
  <c r="Z30" i="33"/>
  <c r="Z29" i="33" s="1"/>
  <c r="J29" i="33" s="1"/>
  <c r="AJ30" i="33"/>
  <c r="AE30" i="33"/>
  <c r="M30" i="33"/>
  <c r="Y30" i="33"/>
  <c r="R30" i="33"/>
  <c r="Q30" i="33"/>
  <c r="P30" i="33"/>
  <c r="K30" i="33"/>
  <c r="AJ29" i="33"/>
  <c r="AE29" i="33"/>
  <c r="AB29" i="33"/>
  <c r="N29" i="33" s="1"/>
  <c r="AA29" i="33"/>
  <c r="K29" i="33" s="1"/>
  <c r="Y29" i="33"/>
  <c r="O29" i="33"/>
  <c r="L29" i="33"/>
  <c r="AJ28" i="33"/>
  <c r="AE28" i="33"/>
  <c r="AC28" i="33"/>
  <c r="AB28" i="33"/>
  <c r="N28" i="33" s="1"/>
  <c r="AA28" i="33"/>
  <c r="Z28" i="33"/>
  <c r="J28" i="33" s="1"/>
  <c r="Y28" i="33"/>
  <c r="P28" i="33"/>
  <c r="O28" i="33"/>
  <c r="L28" i="33"/>
  <c r="K28" i="33"/>
  <c r="AJ27" i="33"/>
  <c r="AE27" i="33"/>
  <c r="AC27" i="33"/>
  <c r="AB27" i="33"/>
  <c r="O27" i="33" s="1"/>
  <c r="AA27" i="33"/>
  <c r="Z27" i="33"/>
  <c r="J27" i="33" s="1"/>
  <c r="Y27" i="33"/>
  <c r="Q27" i="33"/>
  <c r="P27" i="33"/>
  <c r="L27" i="33"/>
  <c r="K27" i="33"/>
  <c r="AJ26" i="33"/>
  <c r="AE26" i="33"/>
  <c r="AC26" i="33"/>
  <c r="AB26" i="33"/>
  <c r="N26" i="33" s="1"/>
  <c r="AA26" i="33"/>
  <c r="Z26" i="33"/>
  <c r="Y26" i="33"/>
  <c r="R26" i="33"/>
  <c r="L26" i="33"/>
  <c r="K26" i="33"/>
  <c r="J26" i="33"/>
  <c r="AJ25" i="33"/>
  <c r="AE25" i="33"/>
  <c r="AB25" i="33"/>
  <c r="N25" i="33" s="1"/>
  <c r="AA25" i="33"/>
  <c r="Y25" i="33"/>
  <c r="Q25" i="33"/>
  <c r="P25" i="33"/>
  <c r="L25" i="33"/>
  <c r="K25" i="33"/>
  <c r="AJ24" i="33"/>
  <c r="AE24" i="33"/>
  <c r="AC24" i="33"/>
  <c r="AB24" i="33"/>
  <c r="N24" i="33" s="1"/>
  <c r="AA24" i="33"/>
  <c r="Y24" i="33"/>
  <c r="Q24" i="33"/>
  <c r="P24" i="33"/>
  <c r="K24" i="33"/>
  <c r="AJ23" i="33"/>
  <c r="AE23" i="33"/>
  <c r="AC23" i="33"/>
  <c r="AB23" i="33"/>
  <c r="N23" i="33" s="1"/>
  <c r="AA23" i="33"/>
  <c r="K23" i="33" s="1"/>
  <c r="Z23" i="33"/>
  <c r="J23" i="33" s="1"/>
  <c r="Y23" i="33"/>
  <c r="AJ22" i="33"/>
  <c r="AE22" i="33"/>
  <c r="AC22" i="33"/>
  <c r="AB22" i="33"/>
  <c r="N22" i="33" s="1"/>
  <c r="AA22" i="33"/>
  <c r="Z22" i="33"/>
  <c r="Y22" i="33"/>
  <c r="R22" i="33"/>
  <c r="Q22" i="33"/>
  <c r="O22" i="33"/>
  <c r="L22" i="33"/>
  <c r="K22" i="33"/>
  <c r="J22" i="33"/>
  <c r="AJ21" i="33"/>
  <c r="AE21" i="33"/>
  <c r="AB21" i="33"/>
  <c r="N21" i="33" s="1"/>
  <c r="AA21" i="33"/>
  <c r="Z21" i="33"/>
  <c r="Y21" i="33"/>
  <c r="K21" i="33"/>
  <c r="J21" i="33"/>
  <c r="AJ20" i="33"/>
  <c r="AE20" i="33"/>
  <c r="AC20" i="33"/>
  <c r="AB20" i="33"/>
  <c r="N20" i="33" s="1"/>
  <c r="AA20" i="33"/>
  <c r="Z20" i="33"/>
  <c r="J20" i="33" s="1"/>
  <c r="Y20" i="33"/>
  <c r="Q20" i="33"/>
  <c r="O20" i="33"/>
  <c r="L20" i="33"/>
  <c r="K20" i="33"/>
  <c r="AJ19" i="33"/>
  <c r="AE19" i="33"/>
  <c r="AC19" i="33"/>
  <c r="AB19" i="33"/>
  <c r="N19" i="33" s="1"/>
  <c r="AA19" i="33"/>
  <c r="Y19" i="33"/>
  <c r="Q19" i="33"/>
  <c r="L19" i="33"/>
  <c r="K19" i="33"/>
  <c r="AJ18" i="33"/>
  <c r="AE18" i="33"/>
  <c r="AC18" i="33"/>
  <c r="AB18" i="33"/>
  <c r="O18" i="33" s="1"/>
  <c r="AA18" i="33"/>
  <c r="Z18" i="33"/>
  <c r="AD18" i="33" s="1"/>
  <c r="Y18" i="33"/>
  <c r="Q18" i="33"/>
  <c r="K18" i="33"/>
  <c r="J18" i="33"/>
  <c r="AJ17" i="33"/>
  <c r="AE17" i="33"/>
  <c r="AC17" i="33"/>
  <c r="R17" i="33" s="1"/>
  <c r="AB17" i="33"/>
  <c r="N17" i="33" s="1"/>
  <c r="AA17" i="33"/>
  <c r="Z17" i="33"/>
  <c r="Y17" i="33"/>
  <c r="K17" i="33"/>
  <c r="J17" i="33"/>
  <c r="AJ16" i="33"/>
  <c r="AE16" i="33"/>
  <c r="AC16" i="33"/>
  <c r="S16" i="33" s="1"/>
  <c r="AB16" i="33"/>
  <c r="O16" i="33" s="1"/>
  <c r="AA16" i="33"/>
  <c r="K16" i="33" s="1"/>
  <c r="Z16" i="33"/>
  <c r="Y16" i="33"/>
  <c r="J16" i="33"/>
  <c r="AJ15" i="33"/>
  <c r="AE15" i="33"/>
  <c r="AC15" i="33"/>
  <c r="R15" i="33" s="1"/>
  <c r="AB15" i="33"/>
  <c r="O15" i="33" s="1"/>
  <c r="AA15" i="33"/>
  <c r="K15" i="33" s="1"/>
  <c r="Z15" i="33"/>
  <c r="Y15" i="33"/>
  <c r="J15" i="33"/>
  <c r="AJ14" i="33"/>
  <c r="AE14" i="33"/>
  <c r="AC14" i="33"/>
  <c r="AB14" i="33"/>
  <c r="P14" i="33" s="1"/>
  <c r="AA14" i="33"/>
  <c r="Z14" i="33"/>
  <c r="AD14" i="33" s="1"/>
  <c r="Y14" i="33"/>
  <c r="Q14" i="33"/>
  <c r="L14" i="33"/>
  <c r="K14" i="33"/>
  <c r="AJ13" i="33"/>
  <c r="AE13" i="33"/>
  <c r="AC13" i="33"/>
  <c r="AB13" i="33"/>
  <c r="P13" i="33" s="1"/>
  <c r="AA13" i="33"/>
  <c r="Z13" i="33"/>
  <c r="Y13" i="33"/>
  <c r="R13" i="33"/>
  <c r="K13" i="33"/>
  <c r="J13" i="33"/>
  <c r="AJ12" i="33"/>
  <c r="AE12" i="33"/>
  <c r="AC12" i="33"/>
  <c r="R12" i="33" s="1"/>
  <c r="AB12" i="33"/>
  <c r="N12" i="33" s="1"/>
  <c r="AA12" i="33"/>
  <c r="Z12" i="33"/>
  <c r="Y12" i="33"/>
  <c r="Q12" i="33"/>
  <c r="P12" i="33"/>
  <c r="O12" i="33"/>
  <c r="L12" i="33"/>
  <c r="K12" i="33"/>
  <c r="J12" i="33"/>
  <c r="AJ11" i="33"/>
  <c r="AE11" i="33"/>
  <c r="AC11" i="33"/>
  <c r="AB11" i="33"/>
  <c r="N11" i="33" s="1"/>
  <c r="AA11" i="33"/>
  <c r="K11" i="33" s="1"/>
  <c r="Z11" i="33"/>
  <c r="J11" i="33" s="1"/>
  <c r="Y11" i="33"/>
  <c r="AJ10" i="33"/>
  <c r="AE10" i="33"/>
  <c r="AC10" i="33"/>
  <c r="AB10" i="33"/>
  <c r="N10" i="33" s="1"/>
  <c r="AA10" i="33"/>
  <c r="K10" i="33" s="1"/>
  <c r="Z10" i="33"/>
  <c r="Y10" i="33"/>
  <c r="Q10" i="33"/>
  <c r="P10" i="33"/>
  <c r="J10" i="33"/>
  <c r="AJ9" i="33"/>
  <c r="AE9" i="33"/>
  <c r="AC9" i="33"/>
  <c r="AD9" i="33" s="1"/>
  <c r="AB9" i="33"/>
  <c r="P9" i="33" s="1"/>
  <c r="AA9" i="33"/>
  <c r="Z9" i="33"/>
  <c r="J9" i="33" s="1"/>
  <c r="Y9" i="33"/>
  <c r="O9" i="33"/>
  <c r="L9" i="33"/>
  <c r="K9" i="33"/>
  <c r="AJ8" i="33"/>
  <c r="AE8" i="33"/>
  <c r="AC8" i="33"/>
  <c r="S8" i="33" s="1"/>
  <c r="AB8" i="33"/>
  <c r="P8" i="33" s="1"/>
  <c r="AA8" i="33"/>
  <c r="Z8" i="33"/>
  <c r="J8" i="33" s="1"/>
  <c r="Y8" i="33"/>
  <c r="Q8" i="33"/>
  <c r="K8" i="33"/>
  <c r="AJ7" i="33"/>
  <c r="AE7" i="33"/>
  <c r="AC7" i="33"/>
  <c r="S7" i="33" s="1"/>
  <c r="AB7" i="33"/>
  <c r="P7" i="33" s="1"/>
  <c r="AA7" i="33"/>
  <c r="K7" i="33" s="1"/>
  <c r="Z7" i="33"/>
  <c r="Y7" i="33"/>
  <c r="R7" i="33"/>
  <c r="J7" i="33"/>
  <c r="AJ6" i="33"/>
  <c r="AE6" i="33"/>
  <c r="AC6" i="33"/>
  <c r="S6" i="33" s="1"/>
  <c r="AB6" i="33"/>
  <c r="P6" i="33" s="1"/>
  <c r="AA6" i="33"/>
  <c r="K6" i="33" s="1"/>
  <c r="Z6" i="33"/>
  <c r="Y6" i="33"/>
  <c r="R6" i="33"/>
  <c r="Q6" i="33"/>
  <c r="L6" i="33"/>
  <c r="J6" i="33"/>
  <c r="AJ5" i="33"/>
  <c r="AE5" i="33"/>
  <c r="AC5" i="33"/>
  <c r="AB5" i="33"/>
  <c r="P5" i="33" s="1"/>
  <c r="AA5" i="33"/>
  <c r="Z5" i="33"/>
  <c r="Y5" i="33"/>
  <c r="R5" i="33"/>
  <c r="K5" i="33"/>
  <c r="J5" i="33"/>
  <c r="AJ4" i="33"/>
  <c r="AE4" i="33"/>
  <c r="AC4" i="33"/>
  <c r="AB4" i="33"/>
  <c r="P4" i="33" s="1"/>
  <c r="AA4" i="33"/>
  <c r="Z4" i="33"/>
  <c r="Y4" i="33"/>
  <c r="Q4" i="33"/>
  <c r="O4" i="33"/>
  <c r="L4" i="33"/>
  <c r="K4" i="33"/>
  <c r="AA30" i="32"/>
  <c r="AB30" i="32"/>
  <c r="P30" i="32" s="1"/>
  <c r="AC30" i="32"/>
  <c r="AC28" i="32" s="1"/>
  <c r="Z30" i="32"/>
  <c r="Z24" i="32" s="1"/>
  <c r="AJ30" i="32"/>
  <c r="AE30" i="32"/>
  <c r="M30" i="32"/>
  <c r="K30" i="32"/>
  <c r="Y30" i="32"/>
  <c r="Q30" i="32"/>
  <c r="L30" i="32"/>
  <c r="AJ29" i="32"/>
  <c r="AE29" i="32"/>
  <c r="AC29" i="32"/>
  <c r="R29" i="32" s="1"/>
  <c r="AB29" i="32"/>
  <c r="N29" i="32" s="1"/>
  <c r="AA29" i="32"/>
  <c r="K29" i="32" s="1"/>
  <c r="Y29" i="32"/>
  <c r="O29" i="32"/>
  <c r="AJ28" i="32"/>
  <c r="AE28" i="32"/>
  <c r="AB28" i="32"/>
  <c r="O28" i="32" s="1"/>
  <c r="AA28" i="32"/>
  <c r="K28" i="32" s="1"/>
  <c r="Y28" i="32"/>
  <c r="P28" i="32"/>
  <c r="AJ27" i="32"/>
  <c r="AE27" i="32"/>
  <c r="AB27" i="32"/>
  <c r="O27" i="32" s="1"/>
  <c r="AA27" i="32"/>
  <c r="K27" i="32" s="1"/>
  <c r="Z27" i="32"/>
  <c r="J27" i="32" s="1"/>
  <c r="Y27" i="32"/>
  <c r="Q27" i="32"/>
  <c r="AJ26" i="32"/>
  <c r="AE26" i="32"/>
  <c r="AB26" i="32"/>
  <c r="N26" i="32" s="1"/>
  <c r="AA26" i="32"/>
  <c r="K26" i="32" s="1"/>
  <c r="Y26" i="32"/>
  <c r="Q26" i="32"/>
  <c r="AJ25" i="32"/>
  <c r="AE25" i="32"/>
  <c r="AB25" i="32"/>
  <c r="N25" i="32" s="1"/>
  <c r="AA25" i="32"/>
  <c r="K25" i="32" s="1"/>
  <c r="Y25" i="32"/>
  <c r="P25" i="32"/>
  <c r="O25" i="32"/>
  <c r="L25" i="32"/>
  <c r="AJ24" i="32"/>
  <c r="AE24" i="32"/>
  <c r="AC24" i="32"/>
  <c r="R24" i="32" s="1"/>
  <c r="AB24" i="32"/>
  <c r="O24" i="32" s="1"/>
  <c r="AA24" i="32"/>
  <c r="K24" i="32" s="1"/>
  <c r="Y24" i="32"/>
  <c r="AJ23" i="32"/>
  <c r="AE23" i="32"/>
  <c r="AC23" i="32"/>
  <c r="U23" i="32" s="1"/>
  <c r="AB23" i="32"/>
  <c r="O23" i="32" s="1"/>
  <c r="AA23" i="32"/>
  <c r="K23" i="32" s="1"/>
  <c r="Y23" i="32"/>
  <c r="Q23" i="32"/>
  <c r="P23" i="32"/>
  <c r="AJ22" i="32"/>
  <c r="AE22" i="32"/>
  <c r="AC22" i="32"/>
  <c r="R22" i="32" s="1"/>
  <c r="AB22" i="32"/>
  <c r="O22" i="32" s="1"/>
  <c r="AA22" i="32"/>
  <c r="K22" i="32" s="1"/>
  <c r="Y22" i="32"/>
  <c r="AJ21" i="32"/>
  <c r="AE21" i="32"/>
  <c r="AC21" i="32"/>
  <c r="R21" i="32" s="1"/>
  <c r="AB21" i="32"/>
  <c r="O21" i="32" s="1"/>
  <c r="AA21" i="32"/>
  <c r="K21" i="32" s="1"/>
  <c r="Y21" i="32"/>
  <c r="L21" i="32"/>
  <c r="AJ20" i="32"/>
  <c r="AE20" i="32"/>
  <c r="AC20" i="32"/>
  <c r="U20" i="32" s="1"/>
  <c r="AB20" i="32"/>
  <c r="O20" i="32" s="1"/>
  <c r="AA20" i="32"/>
  <c r="K20" i="32" s="1"/>
  <c r="Z20" i="32"/>
  <c r="AD20" i="32" s="1"/>
  <c r="Y20" i="32"/>
  <c r="R20" i="32"/>
  <c r="AJ19" i="32"/>
  <c r="AE19" i="32"/>
  <c r="AC19" i="32"/>
  <c r="U19" i="32" s="1"/>
  <c r="AB19" i="32"/>
  <c r="O19" i="32" s="1"/>
  <c r="AA19" i="32"/>
  <c r="K19" i="32" s="1"/>
  <c r="Z19" i="32"/>
  <c r="Y19" i="32"/>
  <c r="Q19" i="32"/>
  <c r="P19" i="32"/>
  <c r="L19" i="32"/>
  <c r="AJ18" i="32"/>
  <c r="AE18" i="32"/>
  <c r="AC18" i="32"/>
  <c r="U18" i="32" s="1"/>
  <c r="AB18" i="32"/>
  <c r="O18" i="32" s="1"/>
  <c r="AA18" i="32"/>
  <c r="K18" i="32" s="1"/>
  <c r="Z18" i="32"/>
  <c r="Y18" i="32"/>
  <c r="Q18" i="32"/>
  <c r="L18" i="32"/>
  <c r="AJ17" i="32"/>
  <c r="AE17" i="32"/>
  <c r="AC17" i="32"/>
  <c r="R17" i="32" s="1"/>
  <c r="AB17" i="32"/>
  <c r="O17" i="32" s="1"/>
  <c r="AA17" i="32"/>
  <c r="K17" i="32" s="1"/>
  <c r="Z17" i="32"/>
  <c r="AD17" i="32" s="1"/>
  <c r="Y17" i="32"/>
  <c r="Q17" i="32"/>
  <c r="P17" i="32"/>
  <c r="L17" i="32"/>
  <c r="J17" i="32"/>
  <c r="AJ16" i="32"/>
  <c r="AE16" i="32"/>
  <c r="AC16" i="32"/>
  <c r="R16" i="32" s="1"/>
  <c r="AB16" i="32"/>
  <c r="O16" i="32" s="1"/>
  <c r="AA16" i="32"/>
  <c r="K16" i="32" s="1"/>
  <c r="Z16" i="32"/>
  <c r="Y16" i="32"/>
  <c r="Q16" i="32"/>
  <c r="P16" i="32"/>
  <c r="L16" i="32"/>
  <c r="J16" i="32"/>
  <c r="AJ15" i="32"/>
  <c r="AE15" i="32"/>
  <c r="AC15" i="32"/>
  <c r="U15" i="32" s="1"/>
  <c r="AB15" i="32"/>
  <c r="O15" i="32" s="1"/>
  <c r="AA15" i="32"/>
  <c r="K15" i="32" s="1"/>
  <c r="Z15" i="32"/>
  <c r="Y15" i="32"/>
  <c r="Q15" i="32"/>
  <c r="L15" i="32"/>
  <c r="J15" i="32"/>
  <c r="AJ14" i="32"/>
  <c r="AE14" i="32"/>
  <c r="AC14" i="32"/>
  <c r="U14" i="32" s="1"/>
  <c r="AB14" i="32"/>
  <c r="O14" i="32" s="1"/>
  <c r="AA14" i="32"/>
  <c r="K14" i="32" s="1"/>
  <c r="Z14" i="32"/>
  <c r="Y14" i="32"/>
  <c r="Q14" i="32"/>
  <c r="P14" i="32"/>
  <c r="L14" i="32"/>
  <c r="AJ13" i="32"/>
  <c r="AE13" i="32"/>
  <c r="AC13" i="32"/>
  <c r="R13" i="32" s="1"/>
  <c r="AB13" i="32"/>
  <c r="O13" i="32" s="1"/>
  <c r="AA13" i="32"/>
  <c r="K13" i="32" s="1"/>
  <c r="Z13" i="32"/>
  <c r="Y13" i="32"/>
  <c r="Q13" i="32"/>
  <c r="P13" i="32"/>
  <c r="J13" i="32"/>
  <c r="AJ12" i="32"/>
  <c r="AE12" i="32"/>
  <c r="AC12" i="32"/>
  <c r="U12" i="32" s="1"/>
  <c r="AB12" i="32"/>
  <c r="O12" i="32" s="1"/>
  <c r="AA12" i="32"/>
  <c r="K12" i="32" s="1"/>
  <c r="Z12" i="32"/>
  <c r="AD12" i="32" s="1"/>
  <c r="Y12" i="32"/>
  <c r="R12" i="32"/>
  <c r="Q12" i="32"/>
  <c r="P12" i="32"/>
  <c r="L12" i="32"/>
  <c r="J12" i="32"/>
  <c r="AJ11" i="32"/>
  <c r="AE11" i="32"/>
  <c r="AC11" i="32"/>
  <c r="R11" i="32" s="1"/>
  <c r="AB11" i="32"/>
  <c r="P11" i="32" s="1"/>
  <c r="AA11" i="32"/>
  <c r="K11" i="32" s="1"/>
  <c r="Z11" i="32"/>
  <c r="AD11" i="32" s="1"/>
  <c r="Y11" i="32"/>
  <c r="AJ10" i="32"/>
  <c r="AE10" i="32"/>
  <c r="AC10" i="32"/>
  <c r="R10" i="32" s="1"/>
  <c r="AB10" i="32"/>
  <c r="P10" i="32" s="1"/>
  <c r="AA10" i="32"/>
  <c r="K10" i="32" s="1"/>
  <c r="Z10" i="32"/>
  <c r="Y10" i="32"/>
  <c r="L10" i="32"/>
  <c r="J10" i="32"/>
  <c r="AJ9" i="32"/>
  <c r="AE9" i="32"/>
  <c r="AC9" i="32"/>
  <c r="R9" i="32" s="1"/>
  <c r="AB9" i="32"/>
  <c r="P9" i="32" s="1"/>
  <c r="AA9" i="32"/>
  <c r="K9" i="32" s="1"/>
  <c r="Z9" i="32"/>
  <c r="Y9" i="32"/>
  <c r="L9" i="32"/>
  <c r="J9" i="32"/>
  <c r="AJ8" i="32"/>
  <c r="AE8" i="32"/>
  <c r="AC8" i="32"/>
  <c r="U8" i="32" s="1"/>
  <c r="AB8" i="32"/>
  <c r="P8" i="32" s="1"/>
  <c r="AA8" i="32"/>
  <c r="K8" i="32" s="1"/>
  <c r="Z8" i="32"/>
  <c r="Y8" i="32"/>
  <c r="L8" i="32"/>
  <c r="AJ7" i="32"/>
  <c r="AE7" i="32"/>
  <c r="AC7" i="32"/>
  <c r="R7" i="32" s="1"/>
  <c r="AB7" i="32"/>
  <c r="P7" i="32" s="1"/>
  <c r="AA7" i="32"/>
  <c r="K7" i="32" s="1"/>
  <c r="Z7" i="32"/>
  <c r="AD7" i="32" s="1"/>
  <c r="Y7" i="32"/>
  <c r="Q7" i="32"/>
  <c r="AJ6" i="32"/>
  <c r="AE6" i="32"/>
  <c r="AC6" i="32"/>
  <c r="U6" i="32" s="1"/>
  <c r="AB6" i="32"/>
  <c r="P6" i="32" s="1"/>
  <c r="AA6" i="32"/>
  <c r="K6" i="32" s="1"/>
  <c r="Z6" i="32"/>
  <c r="Y6" i="32"/>
  <c r="L6" i="32"/>
  <c r="AJ5" i="32"/>
  <c r="AE5" i="32"/>
  <c r="AC5" i="32"/>
  <c r="U5" i="32" s="1"/>
  <c r="AB5" i="32"/>
  <c r="P5" i="32" s="1"/>
  <c r="AA5" i="32"/>
  <c r="K5" i="32" s="1"/>
  <c r="Z5" i="32"/>
  <c r="Y5" i="32"/>
  <c r="Q5" i="32"/>
  <c r="L5" i="32"/>
  <c r="AJ4" i="32"/>
  <c r="AE4" i="32"/>
  <c r="AC4" i="32"/>
  <c r="U4" i="32" s="1"/>
  <c r="AB4" i="32"/>
  <c r="P4" i="32" s="1"/>
  <c r="AA4" i="32"/>
  <c r="K4" i="32" s="1"/>
  <c r="Z4" i="32"/>
  <c r="Y4" i="32"/>
  <c r="R4" i="32"/>
  <c r="J4" i="32"/>
  <c r="AA30" i="31"/>
  <c r="AB30" i="31"/>
  <c r="AC30" i="31"/>
  <c r="Z30" i="31"/>
  <c r="J30" i="31" s="1"/>
  <c r="AJ30" i="31"/>
  <c r="AE30" i="31"/>
  <c r="AC28" i="31"/>
  <c r="P30" i="31"/>
  <c r="K30" i="31"/>
  <c r="Y30" i="31"/>
  <c r="R30" i="31"/>
  <c r="Q30" i="31"/>
  <c r="AJ29" i="31"/>
  <c r="AE29" i="31"/>
  <c r="AB29" i="31"/>
  <c r="P29" i="31" s="1"/>
  <c r="AA29" i="31"/>
  <c r="K29" i="31" s="1"/>
  <c r="Y29" i="31"/>
  <c r="AJ28" i="31"/>
  <c r="AE28" i="31"/>
  <c r="AB28" i="31"/>
  <c r="P28" i="31" s="1"/>
  <c r="AA28" i="31"/>
  <c r="K28" i="31" s="1"/>
  <c r="Y28" i="31"/>
  <c r="Q28" i="31"/>
  <c r="AJ27" i="31"/>
  <c r="AE27" i="31"/>
  <c r="AB27" i="31"/>
  <c r="P27" i="31" s="1"/>
  <c r="AA27" i="31"/>
  <c r="K27" i="31" s="1"/>
  <c r="Y27" i="31"/>
  <c r="Q27" i="31"/>
  <c r="AJ26" i="31"/>
  <c r="AE26" i="31"/>
  <c r="AB26" i="31"/>
  <c r="P26" i="31" s="1"/>
  <c r="AA26" i="31"/>
  <c r="K26" i="31" s="1"/>
  <c r="Y26" i="31"/>
  <c r="Q26" i="31"/>
  <c r="AJ25" i="31"/>
  <c r="AE25" i="31"/>
  <c r="AC25" i="31"/>
  <c r="R25" i="31" s="1"/>
  <c r="AB25" i="31"/>
  <c r="P25" i="31" s="1"/>
  <c r="AA25" i="31"/>
  <c r="K25" i="31" s="1"/>
  <c r="Z25" i="31"/>
  <c r="Y25" i="31"/>
  <c r="AJ24" i="31"/>
  <c r="AE24" i="31"/>
  <c r="AC24" i="31"/>
  <c r="U24" i="31" s="1"/>
  <c r="AB24" i="31"/>
  <c r="P24" i="31" s="1"/>
  <c r="AA24" i="31"/>
  <c r="K24" i="31" s="1"/>
  <c r="Z24" i="31"/>
  <c r="Y24" i="31"/>
  <c r="AJ23" i="31"/>
  <c r="AE23" i="31"/>
  <c r="AC23" i="31"/>
  <c r="R23" i="31" s="1"/>
  <c r="AB23" i="31"/>
  <c r="P23" i="31" s="1"/>
  <c r="AA23" i="31"/>
  <c r="K23" i="31" s="1"/>
  <c r="Y23" i="31"/>
  <c r="AJ22" i="31"/>
  <c r="AE22" i="31"/>
  <c r="AC22" i="31"/>
  <c r="R22" i="31" s="1"/>
  <c r="AB22" i="31"/>
  <c r="P22" i="31" s="1"/>
  <c r="AA22" i="31"/>
  <c r="K22" i="31" s="1"/>
  <c r="Y22" i="31"/>
  <c r="AJ21" i="31"/>
  <c r="AE21" i="31"/>
  <c r="AC21" i="31"/>
  <c r="R21" i="31" s="1"/>
  <c r="AB21" i="31"/>
  <c r="P21" i="31" s="1"/>
  <c r="AA21" i="31"/>
  <c r="K21" i="31" s="1"/>
  <c r="Y21" i="31"/>
  <c r="AJ20" i="31"/>
  <c r="AE20" i="31"/>
  <c r="AC20" i="31"/>
  <c r="R20" i="31" s="1"/>
  <c r="AB20" i="31"/>
  <c r="P20" i="31" s="1"/>
  <c r="AA20" i="31"/>
  <c r="K20" i="31" s="1"/>
  <c r="Z20" i="31"/>
  <c r="AD20" i="31" s="1"/>
  <c r="Y20" i="31"/>
  <c r="AJ19" i="31"/>
  <c r="AE19" i="31"/>
  <c r="AC19" i="31"/>
  <c r="U19" i="31" s="1"/>
  <c r="AB19" i="31"/>
  <c r="P19" i="31" s="1"/>
  <c r="AA19" i="31"/>
  <c r="K19" i="31" s="1"/>
  <c r="Y19" i="31"/>
  <c r="R19" i="31"/>
  <c r="AJ18" i="31"/>
  <c r="AE18" i="31"/>
  <c r="AC18" i="31"/>
  <c r="U18" i="31" s="1"/>
  <c r="AB18" i="31"/>
  <c r="P18" i="31" s="1"/>
  <c r="AA18" i="31"/>
  <c r="K18" i="31" s="1"/>
  <c r="Z18" i="31"/>
  <c r="AD18" i="31" s="1"/>
  <c r="Y18" i="31"/>
  <c r="AJ17" i="31"/>
  <c r="AE17" i="31"/>
  <c r="AC17" i="31"/>
  <c r="R17" i="31" s="1"/>
  <c r="AB17" i="31"/>
  <c r="P17" i="31" s="1"/>
  <c r="AA17" i="31"/>
  <c r="K17" i="31" s="1"/>
  <c r="Y17" i="31"/>
  <c r="AJ16" i="31"/>
  <c r="AE16" i="31"/>
  <c r="AC16" i="31"/>
  <c r="R16" i="31" s="1"/>
  <c r="AB16" i="31"/>
  <c r="P16" i="31" s="1"/>
  <c r="AA16" i="31"/>
  <c r="K16" i="31" s="1"/>
  <c r="Y16" i="31"/>
  <c r="Q16" i="31"/>
  <c r="AJ15" i="31"/>
  <c r="AE15" i="31"/>
  <c r="AC15" i="31"/>
  <c r="R15" i="31" s="1"/>
  <c r="AB15" i="31"/>
  <c r="P15" i="31" s="1"/>
  <c r="AA15" i="31"/>
  <c r="K15" i="31" s="1"/>
  <c r="Y15" i="31"/>
  <c r="Q15" i="31"/>
  <c r="AJ14" i="31"/>
  <c r="AE14" i="31"/>
  <c r="AC14" i="31"/>
  <c r="U14" i="31" s="1"/>
  <c r="AB14" i="31"/>
  <c r="P14" i="31" s="1"/>
  <c r="AA14" i="31"/>
  <c r="K14" i="31" s="1"/>
  <c r="Z14" i="31"/>
  <c r="Y14" i="31"/>
  <c r="Q14" i="31"/>
  <c r="AJ13" i="31"/>
  <c r="AE13" i="31"/>
  <c r="AC13" i="31"/>
  <c r="U13" i="31" s="1"/>
  <c r="AB13" i="31"/>
  <c r="P13" i="31" s="1"/>
  <c r="AA13" i="31"/>
  <c r="K13" i="31" s="1"/>
  <c r="Y13" i="31"/>
  <c r="Q13" i="31"/>
  <c r="AJ12" i="31"/>
  <c r="AE12" i="31"/>
  <c r="AC12" i="31"/>
  <c r="R12" i="31" s="1"/>
  <c r="AB12" i="31"/>
  <c r="P12" i="31" s="1"/>
  <c r="AA12" i="31"/>
  <c r="K12" i="31" s="1"/>
  <c r="Y12" i="31"/>
  <c r="Q12" i="31"/>
  <c r="AJ11" i="31"/>
  <c r="AE11" i="31"/>
  <c r="AC11" i="31"/>
  <c r="U11" i="31" s="1"/>
  <c r="AB11" i="31"/>
  <c r="P11" i="31" s="1"/>
  <c r="AA11" i="31"/>
  <c r="K11" i="31" s="1"/>
  <c r="Z11" i="31"/>
  <c r="Y11" i="31"/>
  <c r="Q11" i="31"/>
  <c r="AJ10" i="31"/>
  <c r="AE10" i="31"/>
  <c r="AC10" i="31"/>
  <c r="R10" i="31" s="1"/>
  <c r="AB10" i="31"/>
  <c r="P10" i="31" s="1"/>
  <c r="AA10" i="31"/>
  <c r="K10" i="31" s="1"/>
  <c r="Y10" i="31"/>
  <c r="Q10" i="31"/>
  <c r="AJ9" i="31"/>
  <c r="AE9" i="31"/>
  <c r="AC9" i="31"/>
  <c r="U9" i="31" s="1"/>
  <c r="AB9" i="31"/>
  <c r="P9" i="31" s="1"/>
  <c r="AA9" i="31"/>
  <c r="K9" i="31" s="1"/>
  <c r="Y9" i="31"/>
  <c r="Q9" i="31"/>
  <c r="AJ8" i="31"/>
  <c r="AE8" i="31"/>
  <c r="AC8" i="31"/>
  <c r="R8" i="31" s="1"/>
  <c r="AB8" i="31"/>
  <c r="P8" i="31" s="1"/>
  <c r="AA8" i="31"/>
  <c r="K8" i="31" s="1"/>
  <c r="Z8" i="31"/>
  <c r="Y8" i="31"/>
  <c r="Q8" i="31"/>
  <c r="AJ7" i="31"/>
  <c r="AE7" i="31"/>
  <c r="AC7" i="31"/>
  <c r="R7" i="31" s="1"/>
  <c r="AB7" i="31"/>
  <c r="P7" i="31" s="1"/>
  <c r="AA7" i="31"/>
  <c r="K7" i="31" s="1"/>
  <c r="Y7" i="31"/>
  <c r="Q7" i="31"/>
  <c r="AJ6" i="31"/>
  <c r="AE6" i="31"/>
  <c r="AC6" i="31"/>
  <c r="R6" i="31" s="1"/>
  <c r="AB6" i="31"/>
  <c r="P6" i="31" s="1"/>
  <c r="AA6" i="31"/>
  <c r="K6" i="31" s="1"/>
  <c r="Y6" i="31"/>
  <c r="AJ5" i="31"/>
  <c r="AE5" i="31"/>
  <c r="AC5" i="31"/>
  <c r="U5" i="31" s="1"/>
  <c r="AB5" i="31"/>
  <c r="P5" i="31" s="1"/>
  <c r="AA5" i="31"/>
  <c r="K5" i="31" s="1"/>
  <c r="Z5" i="31"/>
  <c r="Y5" i="31"/>
  <c r="AJ4" i="31"/>
  <c r="AE4" i="31"/>
  <c r="AC4" i="31"/>
  <c r="U4" i="31" s="1"/>
  <c r="AB4" i="31"/>
  <c r="P4" i="31" s="1"/>
  <c r="AA4" i="31"/>
  <c r="K4" i="31" s="1"/>
  <c r="Z4" i="31"/>
  <c r="Y4" i="31"/>
  <c r="J4" i="31"/>
  <c r="AA30" i="30"/>
  <c r="AB30" i="30"/>
  <c r="Q30" i="30" s="1"/>
  <c r="AC30" i="30"/>
  <c r="R30" i="30" s="1"/>
  <c r="Z30" i="30"/>
  <c r="Z27" i="30" s="1"/>
  <c r="AJ30" i="30"/>
  <c r="AE30" i="30"/>
  <c r="U30" i="30"/>
  <c r="M30" i="30"/>
  <c r="K30" i="30"/>
  <c r="Y30" i="30"/>
  <c r="T30" i="30"/>
  <c r="P30" i="30"/>
  <c r="O30" i="30"/>
  <c r="N30" i="30"/>
  <c r="L30" i="30"/>
  <c r="AJ29" i="30"/>
  <c r="AE29" i="30"/>
  <c r="AB29" i="30"/>
  <c r="N29" i="30" s="1"/>
  <c r="AA29" i="30"/>
  <c r="K29" i="30" s="1"/>
  <c r="Y29" i="30"/>
  <c r="P29" i="30"/>
  <c r="L29" i="30"/>
  <c r="AJ28" i="30"/>
  <c r="AE28" i="30"/>
  <c r="AC28" i="30"/>
  <c r="U28" i="30" s="1"/>
  <c r="AB28" i="30"/>
  <c r="N28" i="30" s="1"/>
  <c r="AA28" i="30"/>
  <c r="K28" i="30" s="1"/>
  <c r="Y28" i="30"/>
  <c r="Q28" i="30"/>
  <c r="P28" i="30"/>
  <c r="O28" i="30"/>
  <c r="L28" i="30"/>
  <c r="AJ27" i="30"/>
  <c r="AE27" i="30"/>
  <c r="AB27" i="30"/>
  <c r="O27" i="30" s="1"/>
  <c r="AA27" i="30"/>
  <c r="K27" i="30" s="1"/>
  <c r="Y27" i="30"/>
  <c r="P27" i="30"/>
  <c r="AJ26" i="30"/>
  <c r="AE26" i="30"/>
  <c r="AC26" i="30"/>
  <c r="U26" i="30" s="1"/>
  <c r="AB26" i="30"/>
  <c r="O26" i="30" s="1"/>
  <c r="AA26" i="30"/>
  <c r="K26" i="30" s="1"/>
  <c r="Z26" i="30"/>
  <c r="Y26" i="30"/>
  <c r="AJ25" i="30"/>
  <c r="AE25" i="30"/>
  <c r="AC25" i="30"/>
  <c r="U25" i="30" s="1"/>
  <c r="AB25" i="30"/>
  <c r="O25" i="30" s="1"/>
  <c r="AA25" i="30"/>
  <c r="K25" i="30" s="1"/>
  <c r="Z25" i="30"/>
  <c r="AD25" i="30" s="1"/>
  <c r="Y25" i="30"/>
  <c r="T25" i="30"/>
  <c r="Q25" i="30"/>
  <c r="P25" i="30"/>
  <c r="L25" i="30"/>
  <c r="AJ24" i="30"/>
  <c r="AE24" i="30"/>
  <c r="AC24" i="30"/>
  <c r="U24" i="30" s="1"/>
  <c r="AB24" i="30"/>
  <c r="N24" i="30" s="1"/>
  <c r="AA24" i="30"/>
  <c r="K24" i="30" s="1"/>
  <c r="Z24" i="30"/>
  <c r="Y24" i="30"/>
  <c r="J24" i="30"/>
  <c r="AJ23" i="30"/>
  <c r="AE23" i="30"/>
  <c r="AC23" i="30"/>
  <c r="U23" i="30" s="1"/>
  <c r="AB23" i="30"/>
  <c r="N23" i="30" s="1"/>
  <c r="AA23" i="30"/>
  <c r="K23" i="30" s="1"/>
  <c r="Z23" i="30"/>
  <c r="AD23" i="30" s="1"/>
  <c r="Y23" i="30"/>
  <c r="R23" i="30"/>
  <c r="O23" i="30"/>
  <c r="J23" i="30"/>
  <c r="AJ22" i="30"/>
  <c r="AE22" i="30"/>
  <c r="AC22" i="30"/>
  <c r="U22" i="30" s="1"/>
  <c r="AB22" i="30"/>
  <c r="N22" i="30" s="1"/>
  <c r="AA22" i="30"/>
  <c r="K22" i="30" s="1"/>
  <c r="Y22" i="30"/>
  <c r="T22" i="30"/>
  <c r="R22" i="30"/>
  <c r="Q22" i="30"/>
  <c r="P22" i="30"/>
  <c r="O22" i="30"/>
  <c r="L22" i="30"/>
  <c r="AJ21" i="30"/>
  <c r="AE21" i="30"/>
  <c r="AC21" i="30"/>
  <c r="U21" i="30" s="1"/>
  <c r="AB21" i="30"/>
  <c r="N21" i="30" s="1"/>
  <c r="AA21" i="30"/>
  <c r="K21" i="30" s="1"/>
  <c r="Z21" i="30"/>
  <c r="Y21" i="30"/>
  <c r="J21" i="30"/>
  <c r="AJ20" i="30"/>
  <c r="AE20" i="30"/>
  <c r="AC20" i="30"/>
  <c r="U20" i="30" s="1"/>
  <c r="AB20" i="30"/>
  <c r="N20" i="30" s="1"/>
  <c r="AA20" i="30"/>
  <c r="K20" i="30" s="1"/>
  <c r="Z20" i="30"/>
  <c r="AD20" i="30" s="1"/>
  <c r="Y20" i="30"/>
  <c r="R20" i="30"/>
  <c r="O20" i="30"/>
  <c r="J20" i="30"/>
  <c r="AJ19" i="30"/>
  <c r="AE19" i="30"/>
  <c r="AC19" i="30"/>
  <c r="U19" i="30" s="1"/>
  <c r="AB19" i="30"/>
  <c r="N19" i="30" s="1"/>
  <c r="AA19" i="30"/>
  <c r="K19" i="30" s="1"/>
  <c r="Z19" i="30"/>
  <c r="AD19" i="30" s="1"/>
  <c r="Y19" i="30"/>
  <c r="T19" i="30"/>
  <c r="Q19" i="30"/>
  <c r="P19" i="30"/>
  <c r="O19" i="30"/>
  <c r="L19" i="30"/>
  <c r="J19" i="30"/>
  <c r="AJ18" i="30"/>
  <c r="AE18" i="30"/>
  <c r="AC18" i="30"/>
  <c r="U18" i="30" s="1"/>
  <c r="AB18" i="30"/>
  <c r="N18" i="30" s="1"/>
  <c r="AA18" i="30"/>
  <c r="K18" i="30" s="1"/>
  <c r="Z18" i="30"/>
  <c r="Y18" i="30"/>
  <c r="T18" i="30"/>
  <c r="R18" i="30"/>
  <c r="Q18" i="30"/>
  <c r="P18" i="30"/>
  <c r="O18" i="30"/>
  <c r="L18" i="30"/>
  <c r="J18" i="30"/>
  <c r="AJ17" i="30"/>
  <c r="AE17" i="30"/>
  <c r="AC17" i="30"/>
  <c r="U17" i="30" s="1"/>
  <c r="AB17" i="30"/>
  <c r="N17" i="30" s="1"/>
  <c r="AA17" i="30"/>
  <c r="K17" i="30" s="1"/>
  <c r="Z17" i="30"/>
  <c r="Y17" i="30"/>
  <c r="O17" i="30"/>
  <c r="J17" i="30"/>
  <c r="AJ16" i="30"/>
  <c r="AE16" i="30"/>
  <c r="AC16" i="30"/>
  <c r="U16" i="30" s="1"/>
  <c r="AB16" i="30"/>
  <c r="O16" i="30" s="1"/>
  <c r="AA16" i="30"/>
  <c r="K16" i="30" s="1"/>
  <c r="Z16" i="30"/>
  <c r="AD16" i="30" s="1"/>
  <c r="Y16" i="30"/>
  <c r="R16" i="30"/>
  <c r="L16" i="30"/>
  <c r="AJ15" i="30"/>
  <c r="AE15" i="30"/>
  <c r="AC15" i="30"/>
  <c r="U15" i="30" s="1"/>
  <c r="AB15" i="30"/>
  <c r="O15" i="30" s="1"/>
  <c r="AA15" i="30"/>
  <c r="K15" i="30" s="1"/>
  <c r="Z15" i="30"/>
  <c r="Y15" i="30"/>
  <c r="T15" i="30"/>
  <c r="R15" i="30"/>
  <c r="Q15" i="30"/>
  <c r="P15" i="30"/>
  <c r="L15" i="30"/>
  <c r="J15" i="30"/>
  <c r="AJ14" i="30"/>
  <c r="AE14" i="30"/>
  <c r="AC14" i="30"/>
  <c r="U14" i="30" s="1"/>
  <c r="AB14" i="30"/>
  <c r="O14" i="30" s="1"/>
  <c r="AA14" i="30"/>
  <c r="K14" i="30" s="1"/>
  <c r="Z14" i="30"/>
  <c r="Y14" i="30"/>
  <c r="P14" i="30"/>
  <c r="L14" i="30"/>
  <c r="AJ13" i="30"/>
  <c r="AE13" i="30"/>
  <c r="AC13" i="30"/>
  <c r="U13" i="30" s="1"/>
  <c r="AB13" i="30"/>
  <c r="O13" i="30" s="1"/>
  <c r="AA13" i="30"/>
  <c r="K13" i="30" s="1"/>
  <c r="Z13" i="30"/>
  <c r="Y13" i="30"/>
  <c r="T13" i="30"/>
  <c r="R13" i="30"/>
  <c r="L13" i="30"/>
  <c r="J13" i="30"/>
  <c r="AJ12" i="30"/>
  <c r="AE12" i="30"/>
  <c r="AC12" i="30"/>
  <c r="U12" i="30" s="1"/>
  <c r="AB12" i="30"/>
  <c r="O12" i="30" s="1"/>
  <c r="AA12" i="30"/>
  <c r="K12" i="30" s="1"/>
  <c r="Z12" i="30"/>
  <c r="Y12" i="30"/>
  <c r="AJ11" i="30"/>
  <c r="AE11" i="30"/>
  <c r="AC11" i="30"/>
  <c r="U11" i="30" s="1"/>
  <c r="AB11" i="30"/>
  <c r="O11" i="30" s="1"/>
  <c r="AA11" i="30"/>
  <c r="K11" i="30" s="1"/>
  <c r="Z11" i="30"/>
  <c r="AD11" i="30" s="1"/>
  <c r="Y11" i="30"/>
  <c r="T11" i="30"/>
  <c r="Q11" i="30"/>
  <c r="P11" i="30"/>
  <c r="L11" i="30"/>
  <c r="J11" i="30"/>
  <c r="AJ10" i="30"/>
  <c r="AE10" i="30"/>
  <c r="AC10" i="30"/>
  <c r="U10" i="30" s="1"/>
  <c r="AB10" i="30"/>
  <c r="O10" i="30" s="1"/>
  <c r="AA10" i="30"/>
  <c r="K10" i="30" s="1"/>
  <c r="Z10" i="30"/>
  <c r="Y10" i="30"/>
  <c r="Q10" i="30"/>
  <c r="P10" i="30"/>
  <c r="L10" i="30"/>
  <c r="AJ9" i="30"/>
  <c r="AE9" i="30"/>
  <c r="AC9" i="30"/>
  <c r="U9" i="30" s="1"/>
  <c r="AB9" i="30"/>
  <c r="O9" i="30" s="1"/>
  <c r="AA9" i="30"/>
  <c r="K9" i="30" s="1"/>
  <c r="Z9" i="30"/>
  <c r="Y9" i="30"/>
  <c r="T9" i="30"/>
  <c r="R9" i="30"/>
  <c r="Q9" i="30"/>
  <c r="P9" i="30"/>
  <c r="L9" i="30"/>
  <c r="J9" i="30"/>
  <c r="AJ8" i="30"/>
  <c r="AE8" i="30"/>
  <c r="AC8" i="30"/>
  <c r="U8" i="30" s="1"/>
  <c r="AB8" i="30"/>
  <c r="O8" i="30" s="1"/>
  <c r="AA8" i="30"/>
  <c r="K8" i="30" s="1"/>
  <c r="Z8" i="30"/>
  <c r="Y8" i="30"/>
  <c r="T8" i="30"/>
  <c r="R8" i="30"/>
  <c r="Q8" i="30"/>
  <c r="P8" i="30"/>
  <c r="N8" i="30"/>
  <c r="L8" i="30"/>
  <c r="J8" i="30"/>
  <c r="AJ7" i="30"/>
  <c r="AE7" i="30"/>
  <c r="AC7" i="30"/>
  <c r="U7" i="30" s="1"/>
  <c r="AB7" i="30"/>
  <c r="O7" i="30" s="1"/>
  <c r="AA7" i="30"/>
  <c r="K7" i="30" s="1"/>
  <c r="Z7" i="30"/>
  <c r="Y7" i="30"/>
  <c r="J7" i="30"/>
  <c r="AJ6" i="30"/>
  <c r="AE6" i="30"/>
  <c r="AC6" i="30"/>
  <c r="U6" i="30" s="1"/>
  <c r="AB6" i="30"/>
  <c r="M6" i="30" s="1"/>
  <c r="AA6" i="30"/>
  <c r="K6" i="30" s="1"/>
  <c r="Z6" i="30"/>
  <c r="AD6" i="30" s="1"/>
  <c r="Y6" i="30"/>
  <c r="T6" i="30"/>
  <c r="S6" i="30"/>
  <c r="R6" i="30"/>
  <c r="P6" i="30"/>
  <c r="N6" i="30"/>
  <c r="J6" i="30"/>
  <c r="AJ5" i="30"/>
  <c r="AE5" i="30"/>
  <c r="AC5" i="30"/>
  <c r="U5" i="30" s="1"/>
  <c r="AB5" i="30"/>
  <c r="O5" i="30" s="1"/>
  <c r="AA5" i="30"/>
  <c r="K5" i="30" s="1"/>
  <c r="Z5" i="30"/>
  <c r="Y5" i="30"/>
  <c r="R5" i="30"/>
  <c r="Q5" i="30"/>
  <c r="P5" i="30"/>
  <c r="J5" i="30"/>
  <c r="AJ4" i="30"/>
  <c r="AE4" i="30"/>
  <c r="AC4" i="30"/>
  <c r="U4" i="30" s="1"/>
  <c r="AB4" i="30"/>
  <c r="AA4" i="30"/>
  <c r="K4" i="30" s="1"/>
  <c r="Z4" i="30"/>
  <c r="Y4" i="30"/>
  <c r="Q4" i="30"/>
  <c r="P4" i="30"/>
  <c r="O4" i="30"/>
  <c r="N4" i="30"/>
  <c r="M4" i="30"/>
  <c r="L4" i="30"/>
  <c r="J4" i="30"/>
  <c r="AA30" i="29"/>
  <c r="AB30" i="29"/>
  <c r="P30" i="29" s="1"/>
  <c r="AC30" i="29"/>
  <c r="U30" i="29" s="1"/>
  <c r="Z30" i="29"/>
  <c r="Z28" i="29" s="1"/>
  <c r="J28" i="29" s="1"/>
  <c r="AJ30" i="29"/>
  <c r="AE30" i="29"/>
  <c r="M30" i="29"/>
  <c r="Y30" i="29"/>
  <c r="R30" i="29"/>
  <c r="Q30" i="29"/>
  <c r="K30" i="29"/>
  <c r="AJ29" i="29"/>
  <c r="AE29" i="29"/>
  <c r="AC29" i="29"/>
  <c r="U29" i="29" s="1"/>
  <c r="AB29" i="29"/>
  <c r="N29" i="29" s="1"/>
  <c r="AA29" i="29"/>
  <c r="Y29" i="29"/>
  <c r="Q29" i="29"/>
  <c r="L29" i="29"/>
  <c r="K29" i="29"/>
  <c r="AJ28" i="29"/>
  <c r="AE28" i="29"/>
  <c r="AC28" i="29"/>
  <c r="R28" i="29" s="1"/>
  <c r="AB28" i="29"/>
  <c r="O28" i="29" s="1"/>
  <c r="AA28" i="29"/>
  <c r="K28" i="29" s="1"/>
  <c r="Y28" i="29"/>
  <c r="AJ27" i="29"/>
  <c r="AE27" i="29"/>
  <c r="AC27" i="29"/>
  <c r="U27" i="29" s="1"/>
  <c r="AB27" i="29"/>
  <c r="O27" i="29" s="1"/>
  <c r="AA27" i="29"/>
  <c r="Y27" i="29"/>
  <c r="Q27" i="29"/>
  <c r="L27" i="29"/>
  <c r="K27" i="29"/>
  <c r="AJ26" i="29"/>
  <c r="AE26" i="29"/>
  <c r="AC26" i="29"/>
  <c r="U26" i="29" s="1"/>
  <c r="AB26" i="29"/>
  <c r="O26" i="29" s="1"/>
  <c r="AA26" i="29"/>
  <c r="Y26" i="29"/>
  <c r="Q26" i="29"/>
  <c r="K26" i="29"/>
  <c r="AJ25" i="29"/>
  <c r="AE25" i="29"/>
  <c r="AC25" i="29"/>
  <c r="U25" i="29" s="1"/>
  <c r="AB25" i="29"/>
  <c r="O25" i="29" s="1"/>
  <c r="AA25" i="29"/>
  <c r="K25" i="29" s="1"/>
  <c r="Z25" i="29"/>
  <c r="J25" i="29" s="1"/>
  <c r="Y25" i="29"/>
  <c r="Q25" i="29"/>
  <c r="P25" i="29"/>
  <c r="L25" i="29"/>
  <c r="AJ24" i="29"/>
  <c r="AE24" i="29"/>
  <c r="AC24" i="29"/>
  <c r="U24" i="29" s="1"/>
  <c r="AB24" i="29"/>
  <c r="AA24" i="29"/>
  <c r="Y24" i="29"/>
  <c r="R24" i="29"/>
  <c r="Q24" i="29"/>
  <c r="P24" i="29"/>
  <c r="O24" i="29"/>
  <c r="N24" i="29"/>
  <c r="M24" i="29"/>
  <c r="L24" i="29"/>
  <c r="K24" i="29"/>
  <c r="AJ23" i="29"/>
  <c r="AE23" i="29"/>
  <c r="AC23" i="29"/>
  <c r="U23" i="29" s="1"/>
  <c r="AB23" i="29"/>
  <c r="M23" i="29" s="1"/>
  <c r="AA23" i="29"/>
  <c r="Z23" i="29"/>
  <c r="J23" i="29" s="1"/>
  <c r="Y23" i="29"/>
  <c r="K23" i="29"/>
  <c r="AJ22" i="29"/>
  <c r="AE22" i="29"/>
  <c r="AC22" i="29"/>
  <c r="U22" i="29" s="1"/>
  <c r="AB22" i="29"/>
  <c r="Q22" i="29" s="1"/>
  <c r="AA22" i="29"/>
  <c r="K22" i="29" s="1"/>
  <c r="Z22" i="29"/>
  <c r="J22" i="29" s="1"/>
  <c r="Y22" i="29"/>
  <c r="R22" i="29"/>
  <c r="O22" i="29"/>
  <c r="N22" i="29"/>
  <c r="M22" i="29"/>
  <c r="L22" i="29"/>
  <c r="AJ21" i="29"/>
  <c r="AE21" i="29"/>
  <c r="AC21" i="29"/>
  <c r="U21" i="29" s="1"/>
  <c r="AB21" i="29"/>
  <c r="AA21" i="29"/>
  <c r="Z21" i="29"/>
  <c r="J21" i="29" s="1"/>
  <c r="Y21" i="29"/>
  <c r="R21" i="29"/>
  <c r="Q21" i="29"/>
  <c r="P21" i="29"/>
  <c r="O21" i="29"/>
  <c r="N21" i="29"/>
  <c r="M21" i="29"/>
  <c r="L21" i="29"/>
  <c r="K21" i="29"/>
  <c r="AJ20" i="29"/>
  <c r="AE20" i="29"/>
  <c r="AC20" i="29"/>
  <c r="U20" i="29" s="1"/>
  <c r="AB20" i="29"/>
  <c r="Q20" i="29" s="1"/>
  <c r="AA20" i="29"/>
  <c r="Z20" i="29"/>
  <c r="J20" i="29" s="1"/>
  <c r="Y20" i="29"/>
  <c r="O20" i="29"/>
  <c r="N20" i="29"/>
  <c r="M20" i="29"/>
  <c r="L20" i="29"/>
  <c r="K20" i="29"/>
  <c r="AJ19" i="29"/>
  <c r="AE19" i="29"/>
  <c r="AC19" i="29"/>
  <c r="U19" i="29" s="1"/>
  <c r="AB19" i="29"/>
  <c r="Q19" i="29" s="1"/>
  <c r="AA19" i="29"/>
  <c r="Z19" i="29"/>
  <c r="J19" i="29" s="1"/>
  <c r="Y19" i="29"/>
  <c r="R19" i="29"/>
  <c r="O19" i="29"/>
  <c r="N19" i="29"/>
  <c r="M19" i="29"/>
  <c r="L19" i="29"/>
  <c r="K19" i="29"/>
  <c r="AJ18" i="29"/>
  <c r="AE18" i="29"/>
  <c r="AC18" i="29"/>
  <c r="U18" i="29" s="1"/>
  <c r="AB18" i="29"/>
  <c r="AA18" i="29"/>
  <c r="Z18" i="29"/>
  <c r="J18" i="29" s="1"/>
  <c r="Y18" i="29"/>
  <c r="Q18" i="29"/>
  <c r="P18" i="29"/>
  <c r="O18" i="29"/>
  <c r="N18" i="29"/>
  <c r="M18" i="29"/>
  <c r="L18" i="29"/>
  <c r="K18" i="29"/>
  <c r="AJ17" i="29"/>
  <c r="AE17" i="29"/>
  <c r="AC17" i="29"/>
  <c r="U17" i="29" s="1"/>
  <c r="AB17" i="29"/>
  <c r="AA17" i="29"/>
  <c r="Z17" i="29"/>
  <c r="J17" i="29" s="1"/>
  <c r="Y17" i="29"/>
  <c r="R17" i="29"/>
  <c r="Q17" i="29"/>
  <c r="P17" i="29"/>
  <c r="O17" i="29"/>
  <c r="N17" i="29"/>
  <c r="M17" i="29"/>
  <c r="L17" i="29"/>
  <c r="K17" i="29"/>
  <c r="AJ16" i="29"/>
  <c r="AE16" i="29"/>
  <c r="AC16" i="29"/>
  <c r="U16" i="29" s="1"/>
  <c r="AB16" i="29"/>
  <c r="AA16" i="29"/>
  <c r="Z16" i="29"/>
  <c r="J16" i="29" s="1"/>
  <c r="Y16" i="29"/>
  <c r="Q16" i="29"/>
  <c r="P16" i="29"/>
  <c r="O16" i="29"/>
  <c r="N16" i="29"/>
  <c r="M16" i="29"/>
  <c r="L16" i="29"/>
  <c r="K16" i="29"/>
  <c r="AJ15" i="29"/>
  <c r="AE15" i="29"/>
  <c r="AC15" i="29"/>
  <c r="U15" i="29" s="1"/>
  <c r="AB15" i="29"/>
  <c r="M15" i="29" s="1"/>
  <c r="AA15" i="29"/>
  <c r="Z15" i="29"/>
  <c r="Y15" i="29"/>
  <c r="K15" i="29"/>
  <c r="AJ14" i="29"/>
  <c r="AE14" i="29"/>
  <c r="AC14" i="29"/>
  <c r="U14" i="29" s="1"/>
  <c r="AB14" i="29"/>
  <c r="Q14" i="29" s="1"/>
  <c r="AA14" i="29"/>
  <c r="K14" i="29" s="1"/>
  <c r="Z14" i="29"/>
  <c r="Y14" i="29"/>
  <c r="N14" i="29"/>
  <c r="M14" i="29"/>
  <c r="L14" i="29"/>
  <c r="AJ13" i="29"/>
  <c r="AE13" i="29"/>
  <c r="AC13" i="29"/>
  <c r="U13" i="29" s="1"/>
  <c r="AB13" i="29"/>
  <c r="P13" i="29" s="1"/>
  <c r="AA13" i="29"/>
  <c r="Z13" i="29"/>
  <c r="AD13" i="29" s="1"/>
  <c r="Y13" i="29"/>
  <c r="Q13" i="29"/>
  <c r="N13" i="29"/>
  <c r="M13" i="29"/>
  <c r="L13" i="29"/>
  <c r="K13" i="29"/>
  <c r="AJ12" i="29"/>
  <c r="AE12" i="29"/>
  <c r="AC12" i="29"/>
  <c r="U12" i="29" s="1"/>
  <c r="AB12" i="29"/>
  <c r="M12" i="29" s="1"/>
  <c r="AA12" i="29"/>
  <c r="K12" i="29" s="1"/>
  <c r="Z12" i="29"/>
  <c r="AD12" i="29" s="1"/>
  <c r="Y12" i="29"/>
  <c r="R12" i="29"/>
  <c r="Q12" i="29"/>
  <c r="P12" i="29"/>
  <c r="O12" i="29"/>
  <c r="N12" i="29"/>
  <c r="L12" i="29"/>
  <c r="J12" i="29"/>
  <c r="AJ11" i="29"/>
  <c r="AE11" i="29"/>
  <c r="AC11" i="29"/>
  <c r="U11" i="29" s="1"/>
  <c r="AB11" i="29"/>
  <c r="AA11" i="29"/>
  <c r="Z11" i="29"/>
  <c r="AD11" i="29" s="1"/>
  <c r="Y11" i="29"/>
  <c r="R11" i="29"/>
  <c r="Q11" i="29"/>
  <c r="P11" i="29"/>
  <c r="O11" i="29"/>
  <c r="N11" i="29"/>
  <c r="M11" i="29"/>
  <c r="L11" i="29"/>
  <c r="K11" i="29"/>
  <c r="J11" i="29"/>
  <c r="AJ10" i="29"/>
  <c r="AE10" i="29"/>
  <c r="AC10" i="29"/>
  <c r="R10" i="29" s="1"/>
  <c r="AB10" i="29"/>
  <c r="AA10" i="29"/>
  <c r="Z10" i="29"/>
  <c r="AD10" i="29" s="1"/>
  <c r="Y10" i="29"/>
  <c r="Q10" i="29"/>
  <c r="P10" i="29"/>
  <c r="O10" i="29"/>
  <c r="N10" i="29"/>
  <c r="M10" i="29"/>
  <c r="L10" i="29"/>
  <c r="K10" i="29"/>
  <c r="AJ9" i="29"/>
  <c r="AE9" i="29"/>
  <c r="AC9" i="29"/>
  <c r="R9" i="29" s="1"/>
  <c r="AB9" i="29"/>
  <c r="L9" i="29" s="1"/>
  <c r="AA9" i="29"/>
  <c r="Z9" i="29"/>
  <c r="Y9" i="29"/>
  <c r="K9" i="29"/>
  <c r="AJ8" i="29"/>
  <c r="AE8" i="29"/>
  <c r="AC8" i="29"/>
  <c r="R8" i="29" s="1"/>
  <c r="AB8" i="29"/>
  <c r="Q8" i="29" s="1"/>
  <c r="AA8" i="29"/>
  <c r="Z8" i="29"/>
  <c r="AD8" i="29" s="1"/>
  <c r="Y8" i="29"/>
  <c r="O8" i="29"/>
  <c r="N8" i="29"/>
  <c r="M8" i="29"/>
  <c r="L8" i="29"/>
  <c r="K8" i="29"/>
  <c r="J8" i="29"/>
  <c r="AJ7" i="29"/>
  <c r="AE7" i="29"/>
  <c r="AC7" i="29"/>
  <c r="R7" i="29" s="1"/>
  <c r="AB7" i="29"/>
  <c r="Q7" i="29" s="1"/>
  <c r="AA7" i="29"/>
  <c r="Z7" i="29"/>
  <c r="AD7" i="29" s="1"/>
  <c r="Y7" i="29"/>
  <c r="N7" i="29"/>
  <c r="M7" i="29"/>
  <c r="L7" i="29"/>
  <c r="K7" i="29"/>
  <c r="AJ6" i="29"/>
  <c r="AE6" i="29"/>
  <c r="AC6" i="29"/>
  <c r="T6" i="29" s="1"/>
  <c r="AB6" i="29"/>
  <c r="AA6" i="29"/>
  <c r="Z6" i="29"/>
  <c r="AD6" i="29" s="1"/>
  <c r="Y6" i="29"/>
  <c r="R6" i="29"/>
  <c r="Q6" i="29"/>
  <c r="P6" i="29"/>
  <c r="O6" i="29"/>
  <c r="N6" i="29"/>
  <c r="M6" i="29"/>
  <c r="L6" i="29"/>
  <c r="K6" i="29"/>
  <c r="J6" i="29"/>
  <c r="AJ5" i="29"/>
  <c r="AE5" i="29"/>
  <c r="AC5" i="29"/>
  <c r="U5" i="29" s="1"/>
  <c r="AB5" i="29"/>
  <c r="AA5" i="29"/>
  <c r="Z5" i="29"/>
  <c r="AD5" i="29" s="1"/>
  <c r="Y5" i="29"/>
  <c r="R5" i="29"/>
  <c r="Q5" i="29"/>
  <c r="P5" i="29"/>
  <c r="O5" i="29"/>
  <c r="N5" i="29"/>
  <c r="M5" i="29"/>
  <c r="L5" i="29"/>
  <c r="K5" i="29"/>
  <c r="AJ4" i="29"/>
  <c r="AE4" i="29"/>
  <c r="AC4" i="29"/>
  <c r="T4" i="29" s="1"/>
  <c r="AB4" i="29"/>
  <c r="AA4" i="29"/>
  <c r="Z4" i="29"/>
  <c r="AD4" i="29" s="1"/>
  <c r="Y4" i="29"/>
  <c r="Q4" i="29"/>
  <c r="P4" i="29"/>
  <c r="O4" i="29"/>
  <c r="N4" i="29"/>
  <c r="M4" i="29"/>
  <c r="L4" i="29"/>
  <c r="K4" i="29"/>
  <c r="AA30" i="28"/>
  <c r="AB30" i="28"/>
  <c r="Q30" i="28" s="1"/>
  <c r="AC30" i="28"/>
  <c r="U30" i="28" s="1"/>
  <c r="Z30" i="28"/>
  <c r="Z23" i="28" s="1"/>
  <c r="AJ30" i="28"/>
  <c r="AE30" i="28"/>
  <c r="M30" i="28"/>
  <c r="K30" i="28"/>
  <c r="Y30" i="28"/>
  <c r="R30" i="28"/>
  <c r="O30" i="28"/>
  <c r="N30" i="28"/>
  <c r="L30" i="28"/>
  <c r="AJ29" i="28"/>
  <c r="AE29" i="28"/>
  <c r="AC29" i="28"/>
  <c r="U29" i="28" s="1"/>
  <c r="AB29" i="28"/>
  <c r="N29" i="28" s="1"/>
  <c r="AA29" i="28"/>
  <c r="K29" i="28" s="1"/>
  <c r="Y29" i="28"/>
  <c r="P29" i="28"/>
  <c r="AJ28" i="28"/>
  <c r="AE28" i="28"/>
  <c r="AC28" i="28"/>
  <c r="U28" i="28" s="1"/>
  <c r="AB28" i="28"/>
  <c r="O28" i="28" s="1"/>
  <c r="AA28" i="28"/>
  <c r="K28" i="28" s="1"/>
  <c r="Z28" i="28"/>
  <c r="AD28" i="28" s="1"/>
  <c r="Y28" i="28"/>
  <c r="AJ27" i="28"/>
  <c r="AE27" i="28"/>
  <c r="AC27" i="28"/>
  <c r="U27" i="28" s="1"/>
  <c r="AB27" i="28"/>
  <c r="P27" i="28" s="1"/>
  <c r="AA27" i="28"/>
  <c r="K27" i="28" s="1"/>
  <c r="Y27" i="28"/>
  <c r="R27" i="28"/>
  <c r="AJ26" i="28"/>
  <c r="AE26" i="28"/>
  <c r="AC26" i="28"/>
  <c r="U26" i="28" s="1"/>
  <c r="AB26" i="28"/>
  <c r="O26" i="28" s="1"/>
  <c r="AA26" i="28"/>
  <c r="K26" i="28" s="1"/>
  <c r="Y26" i="28"/>
  <c r="Q26" i="28"/>
  <c r="P26" i="28"/>
  <c r="L26" i="28"/>
  <c r="AJ25" i="28"/>
  <c r="AE25" i="28"/>
  <c r="AC25" i="28"/>
  <c r="U25" i="28" s="1"/>
  <c r="AB25" i="28"/>
  <c r="O25" i="28" s="1"/>
  <c r="AA25" i="28"/>
  <c r="K25" i="28" s="1"/>
  <c r="Y25" i="28"/>
  <c r="R25" i="28"/>
  <c r="P25" i="28"/>
  <c r="AJ24" i="28"/>
  <c r="AE24" i="28"/>
  <c r="AC24" i="28"/>
  <c r="U24" i="28" s="1"/>
  <c r="AB24" i="28"/>
  <c r="P24" i="28" s="1"/>
  <c r="AA24" i="28"/>
  <c r="K24" i="28" s="1"/>
  <c r="Y24" i="28"/>
  <c r="R24" i="28"/>
  <c r="Q24" i="28"/>
  <c r="L24" i="28"/>
  <c r="AJ23" i="28"/>
  <c r="AE23" i="28"/>
  <c r="AC23" i="28"/>
  <c r="U23" i="28" s="1"/>
  <c r="AB23" i="28"/>
  <c r="O23" i="28" s="1"/>
  <c r="AA23" i="28"/>
  <c r="K23" i="28" s="1"/>
  <c r="Y23" i="28"/>
  <c r="AJ22" i="28"/>
  <c r="AE22" i="28"/>
  <c r="AC22" i="28"/>
  <c r="U22" i="28" s="1"/>
  <c r="AB22" i="28"/>
  <c r="O22" i="28" s="1"/>
  <c r="AA22" i="28"/>
  <c r="Y22" i="28"/>
  <c r="R22" i="28"/>
  <c r="K22" i="28"/>
  <c r="AJ21" i="28"/>
  <c r="AE21" i="28"/>
  <c r="AC21" i="28"/>
  <c r="R21" i="28" s="1"/>
  <c r="AB21" i="28"/>
  <c r="AA21" i="28"/>
  <c r="Y21" i="28"/>
  <c r="Q21" i="28"/>
  <c r="P21" i="28"/>
  <c r="O21" i="28"/>
  <c r="N21" i="28"/>
  <c r="M21" i="28"/>
  <c r="L21" i="28"/>
  <c r="K21" i="28"/>
  <c r="AJ20" i="28"/>
  <c r="AE20" i="28"/>
  <c r="AC20" i="28"/>
  <c r="U20" i="28" s="1"/>
  <c r="AB20" i="28"/>
  <c r="Q20" i="28" s="1"/>
  <c r="AA20" i="28"/>
  <c r="Y20" i="28"/>
  <c r="K20" i="28"/>
  <c r="AJ19" i="28"/>
  <c r="AE19" i="28"/>
  <c r="AC19" i="28"/>
  <c r="R19" i="28" s="1"/>
  <c r="AB19" i="28"/>
  <c r="AA19" i="28"/>
  <c r="Y19" i="28"/>
  <c r="Q19" i="28"/>
  <c r="P19" i="28"/>
  <c r="O19" i="28"/>
  <c r="N19" i="28"/>
  <c r="M19" i="28"/>
  <c r="L19" i="28"/>
  <c r="K19" i="28"/>
  <c r="AJ18" i="28"/>
  <c r="AE18" i="28"/>
  <c r="AC18" i="28"/>
  <c r="U18" i="28" s="1"/>
  <c r="AB18" i="28"/>
  <c r="Q18" i="28" s="1"/>
  <c r="AA18" i="28"/>
  <c r="Y18" i="28"/>
  <c r="P18" i="28"/>
  <c r="N18" i="28"/>
  <c r="M18" i="28"/>
  <c r="L18" i="28"/>
  <c r="K18" i="28"/>
  <c r="AJ17" i="28"/>
  <c r="AE17" i="28"/>
  <c r="AC17" i="28"/>
  <c r="R17" i="28" s="1"/>
  <c r="AB17" i="28"/>
  <c r="Q17" i="28" s="1"/>
  <c r="AA17" i="28"/>
  <c r="K17" i="28" s="1"/>
  <c r="Y17" i="28"/>
  <c r="P17" i="28"/>
  <c r="O17" i="28"/>
  <c r="N17" i="28"/>
  <c r="M17" i="28"/>
  <c r="L17" i="28"/>
  <c r="AJ16" i="28"/>
  <c r="AE16" i="28"/>
  <c r="AC16" i="28"/>
  <c r="U16" i="28" s="1"/>
  <c r="AB16" i="28"/>
  <c r="AA16" i="28"/>
  <c r="Y16" i="28"/>
  <c r="Q16" i="28"/>
  <c r="P16" i="28"/>
  <c r="O16" i="28"/>
  <c r="N16" i="28"/>
  <c r="M16" i="28"/>
  <c r="L16" i="28"/>
  <c r="K16" i="28"/>
  <c r="AJ15" i="28"/>
  <c r="AE15" i="28"/>
  <c r="AC15" i="28"/>
  <c r="U15" i="28" s="1"/>
  <c r="AB15" i="28"/>
  <c r="Q15" i="28" s="1"/>
  <c r="AA15" i="28"/>
  <c r="Y15" i="28"/>
  <c r="O15" i="28"/>
  <c r="M15" i="28"/>
  <c r="L15" i="28"/>
  <c r="K15" i="28"/>
  <c r="AJ14" i="28"/>
  <c r="AE14" i="28"/>
  <c r="AC14" i="28"/>
  <c r="R14" i="28" s="1"/>
  <c r="AB14" i="28"/>
  <c r="Q14" i="28" s="1"/>
  <c r="AA14" i="28"/>
  <c r="Y14" i="28"/>
  <c r="L14" i="28"/>
  <c r="K14" i="28"/>
  <c r="AJ13" i="28"/>
  <c r="AE13" i="28"/>
  <c r="AC13" i="28"/>
  <c r="U13" i="28" s="1"/>
  <c r="AB13" i="28"/>
  <c r="O13" i="28" s="1"/>
  <c r="AA13" i="28"/>
  <c r="Y13" i="28"/>
  <c r="R13" i="28"/>
  <c r="P13" i="28"/>
  <c r="N13" i="28"/>
  <c r="M13" i="28"/>
  <c r="L13" i="28"/>
  <c r="K13" i="28"/>
  <c r="AJ12" i="28"/>
  <c r="AE12" i="28"/>
  <c r="AC12" i="28"/>
  <c r="R12" i="28" s="1"/>
  <c r="AB12" i="28"/>
  <c r="AA12" i="28"/>
  <c r="Y12" i="28"/>
  <c r="Q12" i="28"/>
  <c r="P12" i="28"/>
  <c r="O12" i="28"/>
  <c r="N12" i="28"/>
  <c r="M12" i="28"/>
  <c r="L12" i="28"/>
  <c r="K12" i="28"/>
  <c r="AJ11" i="28"/>
  <c r="AE11" i="28"/>
  <c r="AC11" i="28"/>
  <c r="U11" i="28" s="1"/>
  <c r="AB11" i="28"/>
  <c r="Q11" i="28" s="1"/>
  <c r="AA11" i="28"/>
  <c r="Y11" i="28"/>
  <c r="L11" i="28"/>
  <c r="K11" i="28"/>
  <c r="AJ10" i="28"/>
  <c r="AE10" i="28"/>
  <c r="AC10" i="28"/>
  <c r="U10" i="28" s="1"/>
  <c r="AB10" i="28"/>
  <c r="O10" i="28" s="1"/>
  <c r="AA10" i="28"/>
  <c r="Y10" i="28"/>
  <c r="R10" i="28"/>
  <c r="P10" i="28"/>
  <c r="N10" i="28"/>
  <c r="M10" i="28"/>
  <c r="L10" i="28"/>
  <c r="K10" i="28"/>
  <c r="AJ9" i="28"/>
  <c r="AE9" i="28"/>
  <c r="AC9" i="28"/>
  <c r="U9" i="28" s="1"/>
  <c r="AB9" i="28"/>
  <c r="Q9" i="28" s="1"/>
  <c r="AA9" i="28"/>
  <c r="Y9" i="28"/>
  <c r="O9" i="28"/>
  <c r="N9" i="28"/>
  <c r="M9" i="28"/>
  <c r="L9" i="28"/>
  <c r="K9" i="28"/>
  <c r="AJ8" i="28"/>
  <c r="AE8" i="28"/>
  <c r="AC8" i="28"/>
  <c r="U8" i="28" s="1"/>
  <c r="AB8" i="28"/>
  <c r="Q8" i="28" s="1"/>
  <c r="AA8" i="28"/>
  <c r="Y8" i="28"/>
  <c r="L8" i="28"/>
  <c r="K8" i="28"/>
  <c r="AJ7" i="28"/>
  <c r="AE7" i="28"/>
  <c r="AC7" i="28"/>
  <c r="U7" i="28" s="1"/>
  <c r="AB7" i="28"/>
  <c r="O7" i="28" s="1"/>
  <c r="AA7" i="28"/>
  <c r="K7" i="28" s="1"/>
  <c r="Y7" i="28"/>
  <c r="R7" i="28"/>
  <c r="P7" i="28"/>
  <c r="N7" i="28"/>
  <c r="M7" i="28"/>
  <c r="L7" i="28"/>
  <c r="AJ6" i="28"/>
  <c r="AE6" i="28"/>
  <c r="AC6" i="28"/>
  <c r="R6" i="28" s="1"/>
  <c r="AB6" i="28"/>
  <c r="AA6" i="28"/>
  <c r="Y6" i="28"/>
  <c r="Q6" i="28"/>
  <c r="P6" i="28"/>
  <c r="O6" i="28"/>
  <c r="N6" i="28"/>
  <c r="M6" i="28"/>
  <c r="L6" i="28"/>
  <c r="K6" i="28"/>
  <c r="AJ5" i="28"/>
  <c r="AE5" i="28"/>
  <c r="AC5" i="28"/>
  <c r="T5" i="28" s="1"/>
  <c r="AB5" i="28"/>
  <c r="AA5" i="28"/>
  <c r="Y5" i="28"/>
  <c r="Q5" i="28"/>
  <c r="P5" i="28"/>
  <c r="O5" i="28"/>
  <c r="N5" i="28"/>
  <c r="M5" i="28"/>
  <c r="L5" i="28"/>
  <c r="K5" i="28"/>
  <c r="AJ4" i="28"/>
  <c r="AE4" i="28"/>
  <c r="AC4" i="28"/>
  <c r="R4" i="28" s="1"/>
  <c r="AB4" i="28"/>
  <c r="AA4" i="28"/>
  <c r="Y4" i="28"/>
  <c r="Q4" i="28"/>
  <c r="P4" i="28"/>
  <c r="O4" i="28"/>
  <c r="N4" i="28"/>
  <c r="M4" i="28"/>
  <c r="L4" i="28"/>
  <c r="K4" i="28"/>
  <c r="AA30" i="27"/>
  <c r="AB30" i="27"/>
  <c r="Q30" i="27" s="1"/>
  <c r="AC30" i="27"/>
  <c r="Z30" i="27"/>
  <c r="Z28" i="27" s="1"/>
  <c r="AJ30" i="27"/>
  <c r="AE30" i="27"/>
  <c r="Y30" i="27"/>
  <c r="U30" i="27"/>
  <c r="T30" i="27"/>
  <c r="S30" i="27"/>
  <c r="R30" i="27"/>
  <c r="O30" i="27"/>
  <c r="M30" i="27"/>
  <c r="L30" i="27"/>
  <c r="K30" i="27"/>
  <c r="AJ29" i="27"/>
  <c r="AE29" i="27"/>
  <c r="AC29" i="27"/>
  <c r="S29" i="27" s="1"/>
  <c r="AB29" i="27"/>
  <c r="M29" i="27" s="1"/>
  <c r="AA29" i="27"/>
  <c r="K29" i="27" s="1"/>
  <c r="Z29" i="27"/>
  <c r="AD29" i="27" s="1"/>
  <c r="Y29" i="27"/>
  <c r="Q29" i="27"/>
  <c r="P29" i="27"/>
  <c r="O29" i="27"/>
  <c r="N29" i="27"/>
  <c r="AJ28" i="27"/>
  <c r="AE28" i="27"/>
  <c r="AC28" i="27"/>
  <c r="S28" i="27" s="1"/>
  <c r="AB28" i="27"/>
  <c r="L28" i="27" s="1"/>
  <c r="AA28" i="27"/>
  <c r="K28" i="27" s="1"/>
  <c r="Y28" i="27"/>
  <c r="P28" i="27"/>
  <c r="O28" i="27"/>
  <c r="N28" i="27"/>
  <c r="M28" i="27"/>
  <c r="AJ27" i="27"/>
  <c r="AE27" i="27"/>
  <c r="AC27" i="27"/>
  <c r="S27" i="27" s="1"/>
  <c r="AB27" i="27"/>
  <c r="L27" i="27" s="1"/>
  <c r="AA27" i="27"/>
  <c r="K27" i="27" s="1"/>
  <c r="Z27" i="27"/>
  <c r="AD27" i="27" s="1"/>
  <c r="Y27" i="27"/>
  <c r="P27" i="27"/>
  <c r="O27" i="27"/>
  <c r="N27" i="27"/>
  <c r="M27" i="27"/>
  <c r="AJ26" i="27"/>
  <c r="AE26" i="27"/>
  <c r="AC26" i="27"/>
  <c r="S26" i="27" s="1"/>
  <c r="AB26" i="27"/>
  <c r="L26" i="27" s="1"/>
  <c r="AA26" i="27"/>
  <c r="K26" i="27" s="1"/>
  <c r="Z26" i="27"/>
  <c r="AD26" i="27" s="1"/>
  <c r="Y26" i="27"/>
  <c r="P26" i="27"/>
  <c r="O26" i="27"/>
  <c r="N26" i="27"/>
  <c r="M26" i="27"/>
  <c r="AJ25" i="27"/>
  <c r="AE25" i="27"/>
  <c r="AC25" i="27"/>
  <c r="S25" i="27" s="1"/>
  <c r="AB25" i="27"/>
  <c r="L25" i="27" s="1"/>
  <c r="AA25" i="27"/>
  <c r="K25" i="27" s="1"/>
  <c r="Z25" i="27"/>
  <c r="AD25" i="27" s="1"/>
  <c r="Y25" i="27"/>
  <c r="P25" i="27"/>
  <c r="O25" i="27"/>
  <c r="N25" i="27"/>
  <c r="M25" i="27"/>
  <c r="AJ24" i="27"/>
  <c r="AE24" i="27"/>
  <c r="AC24" i="27"/>
  <c r="S24" i="27" s="1"/>
  <c r="AB24" i="27"/>
  <c r="L24" i="27" s="1"/>
  <c r="AA24" i="27"/>
  <c r="K24" i="27" s="1"/>
  <c r="Z24" i="27"/>
  <c r="AD24" i="27" s="1"/>
  <c r="Y24" i="27"/>
  <c r="P24" i="27"/>
  <c r="O24" i="27"/>
  <c r="N24" i="27"/>
  <c r="M24" i="27"/>
  <c r="AJ23" i="27"/>
  <c r="AE23" i="27"/>
  <c r="AC23" i="27"/>
  <c r="S23" i="27" s="1"/>
  <c r="AB23" i="27"/>
  <c r="L23" i="27" s="1"/>
  <c r="AA23" i="27"/>
  <c r="K23" i="27" s="1"/>
  <c r="Z23" i="27"/>
  <c r="AD23" i="27" s="1"/>
  <c r="Y23" i="27"/>
  <c r="Q23" i="27"/>
  <c r="P23" i="27"/>
  <c r="O23" i="27"/>
  <c r="N23" i="27"/>
  <c r="M23" i="27"/>
  <c r="J23" i="27"/>
  <c r="AJ22" i="27"/>
  <c r="AE22" i="27"/>
  <c r="AC22" i="27"/>
  <c r="S22" i="27" s="1"/>
  <c r="AB22" i="27"/>
  <c r="M22" i="27" s="1"/>
  <c r="AA22" i="27"/>
  <c r="K22" i="27" s="1"/>
  <c r="Z22" i="27"/>
  <c r="AD22" i="27" s="1"/>
  <c r="Y22" i="27"/>
  <c r="Q22" i="27"/>
  <c r="P22" i="27"/>
  <c r="O22" i="27"/>
  <c r="N22" i="27"/>
  <c r="AJ21" i="27"/>
  <c r="AE21" i="27"/>
  <c r="AC21" i="27"/>
  <c r="S21" i="27" s="1"/>
  <c r="AB21" i="27"/>
  <c r="M21" i="27" s="1"/>
  <c r="AA21" i="27"/>
  <c r="K21" i="27" s="1"/>
  <c r="Z21" i="27"/>
  <c r="AD21" i="27" s="1"/>
  <c r="Y21" i="27"/>
  <c r="Q21" i="27"/>
  <c r="P21" i="27"/>
  <c r="O21" i="27"/>
  <c r="N21" i="27"/>
  <c r="J21" i="27"/>
  <c r="AJ20" i="27"/>
  <c r="AE20" i="27"/>
  <c r="AC20" i="27"/>
  <c r="S20" i="27" s="1"/>
  <c r="AB20" i="27"/>
  <c r="N20" i="27" s="1"/>
  <c r="AA20" i="27"/>
  <c r="K20" i="27" s="1"/>
  <c r="Z20" i="27"/>
  <c r="Y20" i="27"/>
  <c r="P20" i="27"/>
  <c r="O20" i="27"/>
  <c r="AJ19" i="27"/>
  <c r="AE19" i="27"/>
  <c r="AC19" i="27"/>
  <c r="T19" i="27" s="1"/>
  <c r="AB19" i="27"/>
  <c r="M19" i="27" s="1"/>
  <c r="AA19" i="27"/>
  <c r="K19" i="27" s="1"/>
  <c r="Z19" i="27"/>
  <c r="Y19" i="27"/>
  <c r="O19" i="27"/>
  <c r="N19" i="27"/>
  <c r="J19" i="27"/>
  <c r="AJ18" i="27"/>
  <c r="AE18" i="27"/>
  <c r="AC18" i="27"/>
  <c r="T18" i="27" s="1"/>
  <c r="AB18" i="27"/>
  <c r="M18" i="27" s="1"/>
  <c r="AA18" i="27"/>
  <c r="K18" i="27" s="1"/>
  <c r="Z18" i="27"/>
  <c r="Y18" i="27"/>
  <c r="O18" i="27"/>
  <c r="N18" i="27"/>
  <c r="J18" i="27"/>
  <c r="AJ17" i="27"/>
  <c r="AE17" i="27"/>
  <c r="AC17" i="27"/>
  <c r="T17" i="27" s="1"/>
  <c r="AB17" i="27"/>
  <c r="M17" i="27" s="1"/>
  <c r="AA17" i="27"/>
  <c r="K17" i="27" s="1"/>
  <c r="Z17" i="27"/>
  <c r="Y17" i="27"/>
  <c r="O17" i="27"/>
  <c r="N17" i="27"/>
  <c r="AJ16" i="27"/>
  <c r="AE16" i="27"/>
  <c r="AC16" i="27"/>
  <c r="T16" i="27" s="1"/>
  <c r="AB16" i="27"/>
  <c r="L16" i="27" s="1"/>
  <c r="AA16" i="27"/>
  <c r="K16" i="27" s="1"/>
  <c r="Z16" i="27"/>
  <c r="AD16" i="27" s="1"/>
  <c r="Y16" i="27"/>
  <c r="O16" i="27"/>
  <c r="N16" i="27"/>
  <c r="M16" i="27"/>
  <c r="AJ15" i="27"/>
  <c r="AE15" i="27"/>
  <c r="AC15" i="27"/>
  <c r="T15" i="27" s="1"/>
  <c r="AB15" i="27"/>
  <c r="Q15" i="27" s="1"/>
  <c r="AA15" i="27"/>
  <c r="K15" i="27" s="1"/>
  <c r="Z15" i="27"/>
  <c r="AD15" i="27" s="1"/>
  <c r="Y15" i="27"/>
  <c r="O15" i="27"/>
  <c r="N15" i="27"/>
  <c r="M15" i="27"/>
  <c r="L15" i="27"/>
  <c r="AJ14" i="27"/>
  <c r="AE14" i="27"/>
  <c r="AC14" i="27"/>
  <c r="T14" i="27" s="1"/>
  <c r="AB14" i="27"/>
  <c r="Q14" i="27" s="1"/>
  <c r="AA14" i="27"/>
  <c r="K14" i="27" s="1"/>
  <c r="Z14" i="27"/>
  <c r="AD14" i="27" s="1"/>
  <c r="Y14" i="27"/>
  <c r="U14" i="27"/>
  <c r="P14" i="27"/>
  <c r="O14" i="27"/>
  <c r="N14" i="27"/>
  <c r="M14" i="27"/>
  <c r="L14" i="27"/>
  <c r="AJ13" i="27"/>
  <c r="AE13" i="27"/>
  <c r="AC13" i="27"/>
  <c r="T13" i="27" s="1"/>
  <c r="AB13" i="27"/>
  <c r="Q13" i="27" s="1"/>
  <c r="AA13" i="27"/>
  <c r="K13" i="27" s="1"/>
  <c r="Z13" i="27"/>
  <c r="AD13" i="27" s="1"/>
  <c r="Y13" i="27"/>
  <c r="U13" i="27"/>
  <c r="R13" i="27"/>
  <c r="P13" i="27"/>
  <c r="O13" i="27"/>
  <c r="M13" i="27"/>
  <c r="L13" i="27"/>
  <c r="AJ12" i="27"/>
  <c r="AE12" i="27"/>
  <c r="AC12" i="27"/>
  <c r="S12" i="27" s="1"/>
  <c r="AB12" i="27"/>
  <c r="Q12" i="27" s="1"/>
  <c r="AA12" i="27"/>
  <c r="Z12" i="27"/>
  <c r="Y12" i="27"/>
  <c r="U12" i="27"/>
  <c r="T12" i="27"/>
  <c r="R12" i="27"/>
  <c r="P12" i="27"/>
  <c r="N12" i="27"/>
  <c r="M12" i="27"/>
  <c r="L12" i="27"/>
  <c r="K12" i="27"/>
  <c r="AJ11" i="27"/>
  <c r="AE11" i="27"/>
  <c r="AC11" i="27"/>
  <c r="S11" i="27" s="1"/>
  <c r="AB11" i="27"/>
  <c r="AA11" i="27"/>
  <c r="Z11" i="27"/>
  <c r="AD11" i="27" s="1"/>
  <c r="Y11" i="27"/>
  <c r="U11" i="27"/>
  <c r="T11" i="27"/>
  <c r="Q11" i="27"/>
  <c r="P11" i="27"/>
  <c r="O11" i="27"/>
  <c r="N11" i="27"/>
  <c r="M11" i="27"/>
  <c r="L11" i="27"/>
  <c r="K11" i="27"/>
  <c r="J11" i="27"/>
  <c r="AJ10" i="27"/>
  <c r="AE10" i="27"/>
  <c r="AC10" i="27"/>
  <c r="S10" i="27" s="1"/>
  <c r="AB10" i="27"/>
  <c r="L10" i="27" s="1"/>
  <c r="AA10" i="27"/>
  <c r="Z10" i="27"/>
  <c r="AD10" i="27" s="1"/>
  <c r="Y10" i="27"/>
  <c r="T10" i="27"/>
  <c r="R10" i="27"/>
  <c r="P10" i="27"/>
  <c r="N10" i="27"/>
  <c r="M10" i="27"/>
  <c r="K10" i="27"/>
  <c r="J10" i="27"/>
  <c r="AJ9" i="27"/>
  <c r="AE9" i="27"/>
  <c r="AC9" i="27"/>
  <c r="S9" i="27" s="1"/>
  <c r="AB9" i="27"/>
  <c r="N9" i="27" s="1"/>
  <c r="AA9" i="27"/>
  <c r="K9" i="27" s="1"/>
  <c r="Z9" i="27"/>
  <c r="Y9" i="27"/>
  <c r="R9" i="27"/>
  <c r="P9" i="27"/>
  <c r="O9" i="27"/>
  <c r="AJ8" i="27"/>
  <c r="AE8" i="27"/>
  <c r="AC8" i="27"/>
  <c r="S8" i="27" s="1"/>
  <c r="AB8" i="27"/>
  <c r="O8" i="27" s="1"/>
  <c r="AA8" i="27"/>
  <c r="Z8" i="27"/>
  <c r="Y8" i="27"/>
  <c r="P8" i="27"/>
  <c r="K8" i="27"/>
  <c r="AJ7" i="27"/>
  <c r="AE7" i="27"/>
  <c r="AC7" i="27"/>
  <c r="S7" i="27" s="1"/>
  <c r="AB7" i="27"/>
  <c r="AA7" i="27"/>
  <c r="K7" i="27" s="1"/>
  <c r="Z7" i="27"/>
  <c r="Y7" i="27"/>
  <c r="Q7" i="27"/>
  <c r="P7" i="27"/>
  <c r="O7" i="27"/>
  <c r="N7" i="27"/>
  <c r="M7" i="27"/>
  <c r="L7" i="27"/>
  <c r="J7" i="27"/>
  <c r="AJ6" i="27"/>
  <c r="AE6" i="27"/>
  <c r="AC6" i="27"/>
  <c r="S6" i="27" s="1"/>
  <c r="AB6" i="27"/>
  <c r="AA6" i="27"/>
  <c r="Z6" i="27"/>
  <c r="Y6" i="27"/>
  <c r="U6" i="27"/>
  <c r="T6" i="27"/>
  <c r="Q6" i="27"/>
  <c r="P6" i="27"/>
  <c r="O6" i="27"/>
  <c r="N6" i="27"/>
  <c r="M6" i="27"/>
  <c r="L6" i="27"/>
  <c r="K6" i="27"/>
  <c r="J6" i="27"/>
  <c r="AJ5" i="27"/>
  <c r="AE5" i="27"/>
  <c r="AC5" i="27"/>
  <c r="S5" i="27" s="1"/>
  <c r="AB5" i="27"/>
  <c r="AA5" i="27"/>
  <c r="Z5" i="27"/>
  <c r="AD5" i="27" s="1"/>
  <c r="Y5" i="27"/>
  <c r="T5" i="27"/>
  <c r="Q5" i="27"/>
  <c r="P5" i="27"/>
  <c r="O5" i="27"/>
  <c r="N5" i="27"/>
  <c r="M5" i="27"/>
  <c r="L5" i="27"/>
  <c r="K5" i="27"/>
  <c r="J5" i="27"/>
  <c r="AJ4" i="27"/>
  <c r="AE4" i="27"/>
  <c r="AC4" i="27"/>
  <c r="S4" i="27" s="1"/>
  <c r="AB4" i="27"/>
  <c r="N4" i="27" s="1"/>
  <c r="AA4" i="27"/>
  <c r="K4" i="27" s="1"/>
  <c r="Z4" i="27"/>
  <c r="Y4" i="27"/>
  <c r="T4" i="27"/>
  <c r="P4" i="27"/>
  <c r="O4" i="27"/>
  <c r="J4" i="27"/>
  <c r="AF30" i="26"/>
  <c r="AG30" i="26"/>
  <c r="AE30" i="26"/>
  <c r="AD30" i="26"/>
  <c r="AA30" i="26"/>
  <c r="AB30" i="26"/>
  <c r="Q30" i="26" s="1"/>
  <c r="AC30" i="26"/>
  <c r="R30" i="26" s="1"/>
  <c r="Z30" i="26"/>
  <c r="J30" i="26" s="1"/>
  <c r="AJ30" i="26"/>
  <c r="U30" i="26"/>
  <c r="M30" i="26"/>
  <c r="K30" i="26"/>
  <c r="Y30" i="26"/>
  <c r="O30" i="26"/>
  <c r="N30" i="26"/>
  <c r="L30" i="26"/>
  <c r="AJ29" i="26"/>
  <c r="AE29" i="26"/>
  <c r="AC29" i="26"/>
  <c r="U29" i="26" s="1"/>
  <c r="AB29" i="26"/>
  <c r="N29" i="26" s="1"/>
  <c r="AA29" i="26"/>
  <c r="K29" i="26" s="1"/>
  <c r="Y29" i="26"/>
  <c r="R29" i="26"/>
  <c r="L29" i="26"/>
  <c r="AJ28" i="26"/>
  <c r="AE28" i="26"/>
  <c r="AC28" i="26"/>
  <c r="U28" i="26" s="1"/>
  <c r="AB28" i="26"/>
  <c r="N28" i="26" s="1"/>
  <c r="AA28" i="26"/>
  <c r="K28" i="26" s="1"/>
  <c r="Z28" i="26"/>
  <c r="Y28" i="26"/>
  <c r="AJ27" i="26"/>
  <c r="AE27" i="26"/>
  <c r="AC27" i="26"/>
  <c r="U27" i="26" s="1"/>
  <c r="AB27" i="26"/>
  <c r="N27" i="26" s="1"/>
  <c r="AA27" i="26"/>
  <c r="K27" i="26" s="1"/>
  <c r="Y27" i="26"/>
  <c r="R27" i="26"/>
  <c r="Q27" i="26"/>
  <c r="AJ26" i="26"/>
  <c r="AE26" i="26"/>
  <c r="AC26" i="26"/>
  <c r="R26" i="26" s="1"/>
  <c r="AB26" i="26"/>
  <c r="O26" i="26" s="1"/>
  <c r="AA26" i="26"/>
  <c r="K26" i="26" s="1"/>
  <c r="Z26" i="26"/>
  <c r="Y26" i="26"/>
  <c r="AJ25" i="26"/>
  <c r="AE25" i="26"/>
  <c r="AC25" i="26"/>
  <c r="U25" i="26" s="1"/>
  <c r="AB25" i="26"/>
  <c r="O25" i="26" s="1"/>
  <c r="AA25" i="26"/>
  <c r="K25" i="26" s="1"/>
  <c r="Z25" i="26"/>
  <c r="Y25" i="26"/>
  <c r="L25" i="26"/>
  <c r="J25" i="26"/>
  <c r="AJ24" i="26"/>
  <c r="AE24" i="26"/>
  <c r="AC24" i="26"/>
  <c r="U24" i="26" s="1"/>
  <c r="AB24" i="26"/>
  <c r="O24" i="26" s="1"/>
  <c r="AA24" i="26"/>
  <c r="K24" i="26" s="1"/>
  <c r="Z24" i="26"/>
  <c r="Y24" i="26"/>
  <c r="R24" i="26"/>
  <c r="J24" i="26"/>
  <c r="AJ23" i="26"/>
  <c r="AE23" i="26"/>
  <c r="AC23" i="26"/>
  <c r="U23" i="26" s="1"/>
  <c r="AB23" i="26"/>
  <c r="O23" i="26" s="1"/>
  <c r="AA23" i="26"/>
  <c r="K23" i="26" s="1"/>
  <c r="Z23" i="26"/>
  <c r="Y23" i="26"/>
  <c r="J23" i="26"/>
  <c r="AJ22" i="26"/>
  <c r="AE22" i="26"/>
  <c r="AC22" i="26"/>
  <c r="U22" i="26" s="1"/>
  <c r="AB22" i="26"/>
  <c r="O22" i="26" s="1"/>
  <c r="AA22" i="26"/>
  <c r="K22" i="26" s="1"/>
  <c r="Z22" i="26"/>
  <c r="Y22" i="26"/>
  <c r="R22" i="26"/>
  <c r="J22" i="26"/>
  <c r="AJ21" i="26"/>
  <c r="AE21" i="26"/>
  <c r="AC21" i="26"/>
  <c r="U21" i="26" s="1"/>
  <c r="AB21" i="26"/>
  <c r="O21" i="26" s="1"/>
  <c r="AA21" i="26"/>
  <c r="K21" i="26" s="1"/>
  <c r="Z21" i="26"/>
  <c r="Y21" i="26"/>
  <c r="AJ20" i="26"/>
  <c r="AE20" i="26"/>
  <c r="AC20" i="26"/>
  <c r="U20" i="26" s="1"/>
  <c r="AB20" i="26"/>
  <c r="O20" i="26" s="1"/>
  <c r="AA20" i="26"/>
  <c r="K20" i="26" s="1"/>
  <c r="Z20" i="26"/>
  <c r="AD20" i="26" s="1"/>
  <c r="Y20" i="26"/>
  <c r="Q20" i="26"/>
  <c r="P20" i="26"/>
  <c r="L20" i="26"/>
  <c r="J20" i="26"/>
  <c r="AJ19" i="26"/>
  <c r="AE19" i="26"/>
  <c r="AC19" i="26"/>
  <c r="R19" i="26" s="1"/>
  <c r="AB19" i="26"/>
  <c r="O19" i="26" s="1"/>
  <c r="AA19" i="26"/>
  <c r="K19" i="26" s="1"/>
  <c r="Z19" i="26"/>
  <c r="AD19" i="26" s="1"/>
  <c r="Y19" i="26"/>
  <c r="Q19" i="26"/>
  <c r="L19" i="26"/>
  <c r="J19" i="26"/>
  <c r="AJ18" i="26"/>
  <c r="AE18" i="26"/>
  <c r="AC18" i="26"/>
  <c r="R18" i="26" s="1"/>
  <c r="AB18" i="26"/>
  <c r="O18" i="26" s="1"/>
  <c r="AA18" i="26"/>
  <c r="K18" i="26" s="1"/>
  <c r="Z18" i="26"/>
  <c r="Y18" i="26"/>
  <c r="P18" i="26"/>
  <c r="L18" i="26"/>
  <c r="AJ17" i="26"/>
  <c r="AE17" i="26"/>
  <c r="AC17" i="26"/>
  <c r="R17" i="26" s="1"/>
  <c r="AB17" i="26"/>
  <c r="O17" i="26" s="1"/>
  <c r="AA17" i="26"/>
  <c r="K17" i="26" s="1"/>
  <c r="Z17" i="26"/>
  <c r="Y17" i="26"/>
  <c r="Q17" i="26"/>
  <c r="P17" i="26"/>
  <c r="L17" i="26"/>
  <c r="J17" i="26"/>
  <c r="AJ16" i="26"/>
  <c r="AE16" i="26"/>
  <c r="AC16" i="26"/>
  <c r="R16" i="26" s="1"/>
  <c r="AB16" i="26"/>
  <c r="O16" i="26" s="1"/>
  <c r="AA16" i="26"/>
  <c r="K16" i="26" s="1"/>
  <c r="Z16" i="26"/>
  <c r="AD16" i="26" s="1"/>
  <c r="Y16" i="26"/>
  <c r="Q16" i="26"/>
  <c r="P16" i="26"/>
  <c r="L16" i="26"/>
  <c r="AJ15" i="26"/>
  <c r="AE15" i="26"/>
  <c r="AC15" i="26"/>
  <c r="R15" i="26" s="1"/>
  <c r="AB15" i="26"/>
  <c r="O15" i="26" s="1"/>
  <c r="AA15" i="26"/>
  <c r="K15" i="26" s="1"/>
  <c r="Z15" i="26"/>
  <c r="Y15" i="26"/>
  <c r="J15" i="26"/>
  <c r="AJ14" i="26"/>
  <c r="AE14" i="26"/>
  <c r="AC14" i="26"/>
  <c r="R14" i="26" s="1"/>
  <c r="AB14" i="26"/>
  <c r="O14" i="26" s="1"/>
  <c r="AA14" i="26"/>
  <c r="K14" i="26" s="1"/>
  <c r="Z14" i="26"/>
  <c r="Y14" i="26"/>
  <c r="Q14" i="26"/>
  <c r="P14" i="26"/>
  <c r="J14" i="26"/>
  <c r="AJ13" i="26"/>
  <c r="AE13" i="26"/>
  <c r="AC13" i="26"/>
  <c r="R13" i="26" s="1"/>
  <c r="AB13" i="26"/>
  <c r="O13" i="26" s="1"/>
  <c r="AA13" i="26"/>
  <c r="K13" i="26" s="1"/>
  <c r="Z13" i="26"/>
  <c r="AD13" i="26" s="1"/>
  <c r="Y13" i="26"/>
  <c r="Q13" i="26"/>
  <c r="P13" i="26"/>
  <c r="L13" i="26"/>
  <c r="J13" i="26"/>
  <c r="AJ12" i="26"/>
  <c r="AE12" i="26"/>
  <c r="AC12" i="26"/>
  <c r="U12" i="26" s="1"/>
  <c r="AB12" i="26"/>
  <c r="O12" i="26" s="1"/>
  <c r="AA12" i="26"/>
  <c r="K12" i="26" s="1"/>
  <c r="Z12" i="26"/>
  <c r="Y12" i="26"/>
  <c r="Q12" i="26"/>
  <c r="P12" i="26"/>
  <c r="L12" i="26"/>
  <c r="AJ11" i="26"/>
  <c r="AE11" i="26"/>
  <c r="AC11" i="26"/>
  <c r="R11" i="26" s="1"/>
  <c r="AB11" i="26"/>
  <c r="O11" i="26" s="1"/>
  <c r="AA11" i="26"/>
  <c r="K11" i="26" s="1"/>
  <c r="Z11" i="26"/>
  <c r="AD11" i="26" s="1"/>
  <c r="Y11" i="26"/>
  <c r="Q11" i="26"/>
  <c r="P11" i="26"/>
  <c r="J11" i="26"/>
  <c r="AJ10" i="26"/>
  <c r="AE10" i="26"/>
  <c r="AC10" i="26"/>
  <c r="T10" i="26" s="1"/>
  <c r="AB10" i="26"/>
  <c r="O10" i="26" s="1"/>
  <c r="AA10" i="26"/>
  <c r="K10" i="26" s="1"/>
  <c r="Z10" i="26"/>
  <c r="AD10" i="26" s="1"/>
  <c r="Y10" i="26"/>
  <c r="Q10" i="26"/>
  <c r="P10" i="26"/>
  <c r="L10" i="26"/>
  <c r="AJ9" i="26"/>
  <c r="AE9" i="26"/>
  <c r="AC9" i="26"/>
  <c r="T9" i="26" s="1"/>
  <c r="AB9" i="26"/>
  <c r="O9" i="26" s="1"/>
  <c r="AA9" i="26"/>
  <c r="K9" i="26" s="1"/>
  <c r="Z9" i="26"/>
  <c r="Y9" i="26"/>
  <c r="J9" i="26"/>
  <c r="AJ8" i="26"/>
  <c r="AE8" i="26"/>
  <c r="AC8" i="26"/>
  <c r="R8" i="26" s="1"/>
  <c r="AB8" i="26"/>
  <c r="O8" i="26" s="1"/>
  <c r="AA8" i="26"/>
  <c r="K8" i="26" s="1"/>
  <c r="Z8" i="26"/>
  <c r="AD8" i="26" s="1"/>
  <c r="Y8" i="26"/>
  <c r="Q8" i="26"/>
  <c r="P8" i="26"/>
  <c r="AJ7" i="26"/>
  <c r="AE7" i="26"/>
  <c r="AC7" i="26"/>
  <c r="T7" i="26" s="1"/>
  <c r="AB7" i="26"/>
  <c r="O7" i="26" s="1"/>
  <c r="AA7" i="26"/>
  <c r="K7" i="26" s="1"/>
  <c r="Z7" i="26"/>
  <c r="AD7" i="26" s="1"/>
  <c r="Y7" i="26"/>
  <c r="AJ6" i="26"/>
  <c r="AE6" i="26"/>
  <c r="AC6" i="26"/>
  <c r="R6" i="26" s="1"/>
  <c r="AB6" i="26"/>
  <c r="O6" i="26" s="1"/>
  <c r="AA6" i="26"/>
  <c r="K6" i="26" s="1"/>
  <c r="Z6" i="26"/>
  <c r="J6" i="26" s="1"/>
  <c r="Y6" i="26"/>
  <c r="AJ5" i="26"/>
  <c r="AE5" i="26"/>
  <c r="AC5" i="26"/>
  <c r="AB5" i="26"/>
  <c r="O5" i="26" s="1"/>
  <c r="AA5" i="26"/>
  <c r="K5" i="26" s="1"/>
  <c r="Z5" i="26"/>
  <c r="Y5" i="26"/>
  <c r="Q5" i="26"/>
  <c r="P5" i="26"/>
  <c r="L5" i="26"/>
  <c r="J5" i="26"/>
  <c r="AJ4" i="26"/>
  <c r="AE4" i="26"/>
  <c r="AC4" i="26"/>
  <c r="R4" i="26" s="1"/>
  <c r="AB4" i="26"/>
  <c r="O4" i="26" s="1"/>
  <c r="AA4" i="26"/>
  <c r="K4" i="26" s="1"/>
  <c r="Z4" i="26"/>
  <c r="AD4" i="26" s="1"/>
  <c r="Y4" i="26"/>
  <c r="Q4" i="26"/>
  <c r="P4" i="26"/>
  <c r="L4" i="26"/>
  <c r="J4" i="26"/>
  <c r="T4" i="21"/>
  <c r="S4" i="21"/>
  <c r="R4" i="21"/>
  <c r="Q4" i="21"/>
  <c r="EF4" i="2"/>
  <c r="EG4" i="2"/>
  <c r="EH4" i="2"/>
  <c r="EH31" i="2" s="1"/>
  <c r="EE4" i="2"/>
  <c r="EB4" i="2"/>
  <c r="EC4" i="2"/>
  <c r="EC31" i="2" s="1"/>
  <c r="ED4" i="2"/>
  <c r="EA4" i="2"/>
  <c r="EA31" i="2" s="1"/>
  <c r="DX4" i="2"/>
  <c r="DY4" i="2"/>
  <c r="DZ4" i="2"/>
  <c r="DZ31" i="2" s="1"/>
  <c r="DW4" i="2"/>
  <c r="DT4" i="2"/>
  <c r="DU4" i="2"/>
  <c r="DU31" i="2" s="1"/>
  <c r="DV4" i="2"/>
  <c r="DS4" i="2"/>
  <c r="DS31" i="2" s="1"/>
  <c r="DP4" i="2"/>
  <c r="DQ4" i="2"/>
  <c r="DR4" i="2"/>
  <c r="DO4" i="2"/>
  <c r="DL4" i="2"/>
  <c r="DM4" i="2"/>
  <c r="DN4" i="2"/>
  <c r="DN31" i="2" s="1"/>
  <c r="DK4" i="2"/>
  <c r="DK31" i="2" s="1"/>
  <c r="DH4" i="2"/>
  <c r="DI4" i="2"/>
  <c r="DJ4" i="2"/>
  <c r="DG4" i="2"/>
  <c r="DD4" i="2"/>
  <c r="DE4" i="2"/>
  <c r="DF4" i="2"/>
  <c r="DC4" i="2"/>
  <c r="DC31" i="2" s="1"/>
  <c r="CZ4" i="2"/>
  <c r="DA4" i="2"/>
  <c r="DA31" i="2" s="1"/>
  <c r="DB4" i="2"/>
  <c r="CY4" i="2"/>
  <c r="CV4" i="2"/>
  <c r="CW4" i="2"/>
  <c r="CX4" i="2"/>
  <c r="CX31" i="2" s="1"/>
  <c r="CU4" i="2"/>
  <c r="CU31" i="2" s="1"/>
  <c r="CR4" i="2"/>
  <c r="CS4" i="2"/>
  <c r="CT4" i="2"/>
  <c r="CQ4" i="2"/>
  <c r="CN4" i="2"/>
  <c r="CO4" i="2"/>
  <c r="CP4" i="2"/>
  <c r="CM4" i="2"/>
  <c r="CJ4" i="2"/>
  <c r="CK4" i="2"/>
  <c r="CL4" i="2"/>
  <c r="CI4" i="2"/>
  <c r="CF4" i="2"/>
  <c r="CG4" i="2"/>
  <c r="CH4" i="2"/>
  <c r="CE4" i="2"/>
  <c r="CB4" i="2"/>
  <c r="CC4" i="2"/>
  <c r="CD4" i="2"/>
  <c r="CA4" i="2"/>
  <c r="BX4" i="2"/>
  <c r="BY4" i="2"/>
  <c r="BZ4" i="2"/>
  <c r="BW4" i="2"/>
  <c r="BT4" i="2"/>
  <c r="BU4" i="2"/>
  <c r="BV4" i="2"/>
  <c r="BS4" i="2"/>
  <c r="BP4" i="2"/>
  <c r="BQ4" i="2"/>
  <c r="BR4" i="2"/>
  <c r="BO4" i="2"/>
  <c r="BL4" i="2"/>
  <c r="BM4" i="2"/>
  <c r="BN4" i="2"/>
  <c r="BK4" i="2"/>
  <c r="BH4" i="2"/>
  <c r="BI4" i="2"/>
  <c r="BJ4" i="2"/>
  <c r="BG4" i="2"/>
  <c r="BD4" i="2"/>
  <c r="BE4" i="2"/>
  <c r="BF4" i="2"/>
  <c r="BC4" i="2"/>
  <c r="BB4" i="2"/>
  <c r="BA4" i="2"/>
  <c r="AW4" i="2"/>
  <c r="AX4" i="2"/>
  <c r="AY4" i="2"/>
  <c r="AV4" i="2"/>
  <c r="AU4" i="2"/>
  <c r="AT4" i="2"/>
  <c r="AQ4" i="2"/>
  <c r="AR4" i="2"/>
  <c r="AS4" i="2"/>
  <c r="AP4" i="2"/>
  <c r="AL4" i="2"/>
  <c r="AM4" i="2"/>
  <c r="AN4" i="2"/>
  <c r="AK4" i="2"/>
  <c r="AH4" i="2"/>
  <c r="AI4" i="2"/>
  <c r="AJ4" i="2"/>
  <c r="AG4" i="2"/>
  <c r="AD4" i="2"/>
  <c r="AE4" i="2"/>
  <c r="AF4" i="2"/>
  <c r="AF31" i="2" s="1"/>
  <c r="AC4" i="2"/>
  <c r="AA4" i="2"/>
  <c r="AB4" i="2"/>
  <c r="Z4" i="2"/>
  <c r="W4" i="2"/>
  <c r="W7" i="2" s="1"/>
  <c r="X4" i="2"/>
  <c r="X6" i="2" s="1"/>
  <c r="Y4" i="2"/>
  <c r="V4" i="2"/>
  <c r="V6" i="2" s="1"/>
  <c r="T4" i="2"/>
  <c r="U4" i="2"/>
  <c r="U21" i="2" s="1"/>
  <c r="S4" i="2"/>
  <c r="S26" i="2" s="1"/>
  <c r="P4" i="2"/>
  <c r="Q4" i="2"/>
  <c r="R4" i="2"/>
  <c r="R21" i="2" s="1"/>
  <c r="O4" i="2"/>
  <c r="L4" i="2"/>
  <c r="M4" i="2"/>
  <c r="N4" i="2"/>
  <c r="K4" i="2"/>
  <c r="V5" i="2"/>
  <c r="Y5" i="2"/>
  <c r="W6" i="2"/>
  <c r="Y6" i="2"/>
  <c r="V7" i="2"/>
  <c r="Y7" i="2"/>
  <c r="V8" i="2"/>
  <c r="W8" i="2"/>
  <c r="Y8" i="2"/>
  <c r="V9" i="2"/>
  <c r="W9" i="2"/>
  <c r="Y9" i="2"/>
  <c r="V10" i="2"/>
  <c r="W10" i="2"/>
  <c r="Y10" i="2"/>
  <c r="V11" i="2"/>
  <c r="W11" i="2"/>
  <c r="Y11" i="2"/>
  <c r="V12" i="2"/>
  <c r="W12" i="2"/>
  <c r="Y12" i="2"/>
  <c r="V13" i="2"/>
  <c r="W13" i="2"/>
  <c r="Y13" i="2"/>
  <c r="V14" i="2"/>
  <c r="W14" i="2"/>
  <c r="Y14" i="2"/>
  <c r="V15" i="2"/>
  <c r="W15" i="2"/>
  <c r="Y15" i="2"/>
  <c r="V16" i="2"/>
  <c r="W16" i="2"/>
  <c r="Y16" i="2"/>
  <c r="V17" i="2"/>
  <c r="W17" i="2"/>
  <c r="Y17" i="2"/>
  <c r="V18" i="2"/>
  <c r="W18" i="2"/>
  <c r="X18" i="2"/>
  <c r="Y18" i="2"/>
  <c r="V19" i="2"/>
  <c r="W19" i="2"/>
  <c r="Y19" i="2"/>
  <c r="V20" i="2"/>
  <c r="W20" i="2"/>
  <c r="X20" i="2"/>
  <c r="Y20" i="2"/>
  <c r="V21" i="2"/>
  <c r="W21" i="2"/>
  <c r="Y21" i="2"/>
  <c r="V22" i="2"/>
  <c r="W22" i="2"/>
  <c r="X22" i="2"/>
  <c r="Y22" i="2"/>
  <c r="V23" i="2"/>
  <c r="W23" i="2"/>
  <c r="X23" i="2"/>
  <c r="Y23" i="2"/>
  <c r="V24" i="2"/>
  <c r="W24" i="2"/>
  <c r="X24" i="2"/>
  <c r="Y24" i="2"/>
  <c r="V25" i="2"/>
  <c r="W25" i="2"/>
  <c r="X25" i="2"/>
  <c r="Y25" i="2"/>
  <c r="V26" i="2"/>
  <c r="W26" i="2"/>
  <c r="X26" i="2"/>
  <c r="Y26" i="2"/>
  <c r="V27" i="2"/>
  <c r="W27" i="2"/>
  <c r="X27" i="2"/>
  <c r="Y27" i="2"/>
  <c r="V28" i="2"/>
  <c r="W28" i="2"/>
  <c r="X28" i="2"/>
  <c r="Y28" i="2"/>
  <c r="V29" i="2"/>
  <c r="W29" i="2"/>
  <c r="X29" i="2"/>
  <c r="Y29" i="2"/>
  <c r="Y30" i="2"/>
  <c r="X30" i="2"/>
  <c r="W30" i="2"/>
  <c r="U26" i="2"/>
  <c r="U12" i="2"/>
  <c r="T26" i="2"/>
  <c r="T21" i="2"/>
  <c r="T12" i="2"/>
  <c r="R26" i="2"/>
  <c r="R12" i="2"/>
  <c r="Q26" i="2"/>
  <c r="Q21" i="2"/>
  <c r="Q12" i="2"/>
  <c r="P26" i="2"/>
  <c r="P21" i="2"/>
  <c r="P12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P31" i="2"/>
  <c r="Q31" i="2"/>
  <c r="R31" i="2"/>
  <c r="S31" i="2"/>
  <c r="T31" i="2"/>
  <c r="V31" i="2"/>
  <c r="W31" i="2"/>
  <c r="X31" i="2"/>
  <c r="Y31" i="2"/>
  <c r="Z31" i="2"/>
  <c r="AA31" i="2"/>
  <c r="AB31" i="2"/>
  <c r="AC31" i="2"/>
  <c r="AD31" i="2"/>
  <c r="AE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Z30" i="25" s="1"/>
  <c r="BD31" i="2"/>
  <c r="BE31" i="2"/>
  <c r="AB30" i="25" s="1"/>
  <c r="AB29" i="25" s="1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V31" i="2"/>
  <c r="CW31" i="2"/>
  <c r="CY31" i="2"/>
  <c r="CZ31" i="2"/>
  <c r="DB31" i="2"/>
  <c r="DD31" i="2"/>
  <c r="DE31" i="2"/>
  <c r="DF31" i="2"/>
  <c r="DG31" i="2"/>
  <c r="DH31" i="2"/>
  <c r="DI31" i="2"/>
  <c r="DJ31" i="2"/>
  <c r="DL31" i="2"/>
  <c r="DM31" i="2"/>
  <c r="DO31" i="2"/>
  <c r="DP31" i="2"/>
  <c r="DQ31" i="2"/>
  <c r="DR31" i="2"/>
  <c r="DT31" i="2"/>
  <c r="DV31" i="2"/>
  <c r="DW31" i="2"/>
  <c r="DX31" i="2"/>
  <c r="DY31" i="2"/>
  <c r="EB31" i="2"/>
  <c r="ED31" i="2"/>
  <c r="EE31" i="2"/>
  <c r="EF31" i="2"/>
  <c r="EG31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N31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AE29" i="25"/>
  <c r="AE4" i="25"/>
  <c r="AE5" i="25"/>
  <c r="AE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30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4" i="25"/>
  <c r="AA30" i="25"/>
  <c r="AA25" i="25" s="1"/>
  <c r="K25" i="25" s="1"/>
  <c r="AC30" i="25"/>
  <c r="AC18" i="25" s="1"/>
  <c r="Y5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4" i="25"/>
  <c r="N6" i="37" l="1"/>
  <c r="L16" i="37"/>
  <c r="L23" i="37"/>
  <c r="R4" i="37"/>
  <c r="Q6" i="37"/>
  <c r="T11" i="37"/>
  <c r="R13" i="37"/>
  <c r="N16" i="37"/>
  <c r="AD17" i="37"/>
  <c r="R20" i="37"/>
  <c r="T22" i="37"/>
  <c r="N23" i="37"/>
  <c r="R25" i="37"/>
  <c r="T27" i="37"/>
  <c r="T29" i="37"/>
  <c r="N30" i="37"/>
  <c r="T4" i="37"/>
  <c r="R6" i="37"/>
  <c r="AD7" i="37"/>
  <c r="T13" i="37"/>
  <c r="L14" i="37"/>
  <c r="Q16" i="37"/>
  <c r="R18" i="37"/>
  <c r="T20" i="37"/>
  <c r="Q23" i="37"/>
  <c r="T25" i="37"/>
  <c r="T6" i="37"/>
  <c r="AD9" i="37"/>
  <c r="AI9" i="37" s="1"/>
  <c r="AD11" i="37"/>
  <c r="N14" i="37"/>
  <c r="R16" i="37"/>
  <c r="T18" i="37"/>
  <c r="N19" i="37"/>
  <c r="R23" i="37"/>
  <c r="AD4" i="37"/>
  <c r="AI4" i="37" s="1"/>
  <c r="Q5" i="37"/>
  <c r="AD13" i="37"/>
  <c r="T16" i="37"/>
  <c r="AD20" i="37"/>
  <c r="AF20" i="37" s="1"/>
  <c r="T23" i="37"/>
  <c r="AD25" i="37"/>
  <c r="R5" i="37"/>
  <c r="AD6" i="37"/>
  <c r="N7" i="37"/>
  <c r="L15" i="37"/>
  <c r="Q17" i="37"/>
  <c r="L22" i="37"/>
  <c r="Q24" i="37"/>
  <c r="T5" i="37"/>
  <c r="Q7" i="37"/>
  <c r="N15" i="37"/>
  <c r="R17" i="37"/>
  <c r="T19" i="37"/>
  <c r="T21" i="37"/>
  <c r="N22" i="37"/>
  <c r="R24" i="37"/>
  <c r="T26" i="37"/>
  <c r="N27" i="37"/>
  <c r="N29" i="37"/>
  <c r="AD23" i="37"/>
  <c r="AI23" i="37" s="1"/>
  <c r="J23" i="37"/>
  <c r="J9" i="37"/>
  <c r="Z14" i="37"/>
  <c r="J17" i="37"/>
  <c r="Z22" i="37"/>
  <c r="J25" i="37"/>
  <c r="AD30" i="37"/>
  <c r="AI30" i="37" s="1"/>
  <c r="Z19" i="37"/>
  <c r="Z27" i="37"/>
  <c r="J30" i="37"/>
  <c r="J11" i="37"/>
  <c r="Z16" i="37"/>
  <c r="Z24" i="37"/>
  <c r="Z21" i="37"/>
  <c r="Z29" i="37"/>
  <c r="J5" i="37"/>
  <c r="J13" i="37"/>
  <c r="Z18" i="37"/>
  <c r="Z26" i="37"/>
  <c r="J10" i="37"/>
  <c r="Z15" i="37"/>
  <c r="AH4" i="37"/>
  <c r="AG4" i="37"/>
  <c r="AF4" i="37"/>
  <c r="AI12" i="37"/>
  <c r="AH12" i="37"/>
  <c r="AG12" i="37"/>
  <c r="AF12" i="37"/>
  <c r="AH9" i="37"/>
  <c r="AG9" i="37"/>
  <c r="AI17" i="37"/>
  <c r="AH17" i="37"/>
  <c r="AG17" i="37"/>
  <c r="AF17" i="37"/>
  <c r="AI25" i="37"/>
  <c r="AH25" i="37"/>
  <c r="AG25" i="37"/>
  <c r="AF25" i="37"/>
  <c r="AG20" i="37"/>
  <c r="AI6" i="37"/>
  <c r="AH6" i="37"/>
  <c r="AG6" i="37"/>
  <c r="AF6" i="37"/>
  <c r="AI28" i="37"/>
  <c r="AH28" i="37"/>
  <c r="AG28" i="37"/>
  <c r="AF28" i="37"/>
  <c r="AI11" i="37"/>
  <c r="AH11" i="37"/>
  <c r="AG11" i="37"/>
  <c r="AF11" i="37"/>
  <c r="AI8" i="37"/>
  <c r="AH8" i="37"/>
  <c r="AG8" i="37"/>
  <c r="AF8" i="37"/>
  <c r="AI5" i="37"/>
  <c r="AH5" i="37"/>
  <c r="AG5" i="37"/>
  <c r="AF5" i="37"/>
  <c r="AI13" i="37"/>
  <c r="AH13" i="37"/>
  <c r="AG13" i="37"/>
  <c r="AF13" i="37"/>
  <c r="AI10" i="37"/>
  <c r="AH10" i="37"/>
  <c r="AG10" i="37"/>
  <c r="AF10" i="37"/>
  <c r="AI7" i="37"/>
  <c r="AH7" i="37"/>
  <c r="AG7" i="37"/>
  <c r="AF7" i="37"/>
  <c r="AH23" i="37"/>
  <c r="AG23" i="37"/>
  <c r="AF23" i="37"/>
  <c r="S4" i="37"/>
  <c r="S5" i="37"/>
  <c r="S6" i="37"/>
  <c r="S7" i="37"/>
  <c r="S8" i="37"/>
  <c r="S9" i="37"/>
  <c r="S10" i="37"/>
  <c r="S11" i="37"/>
  <c r="S12" i="37"/>
  <c r="S13" i="37"/>
  <c r="S14" i="37"/>
  <c r="S15" i="37"/>
  <c r="S16" i="37"/>
  <c r="S17" i="37"/>
  <c r="S18" i="37"/>
  <c r="S19" i="37"/>
  <c r="S20" i="37"/>
  <c r="S21" i="37"/>
  <c r="S22" i="37"/>
  <c r="S23" i="37"/>
  <c r="S24" i="37"/>
  <c r="S25" i="37"/>
  <c r="S26" i="37"/>
  <c r="S27" i="37"/>
  <c r="S28" i="37"/>
  <c r="S29" i="37"/>
  <c r="S30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L5" i="36"/>
  <c r="L7" i="36"/>
  <c r="R12" i="36"/>
  <c r="L16" i="36"/>
  <c r="L22" i="36"/>
  <c r="AA23" i="36"/>
  <c r="K23" i="36" s="1"/>
  <c r="O27" i="36"/>
  <c r="AA28" i="36"/>
  <c r="K28" i="36" s="1"/>
  <c r="P5" i="36"/>
  <c r="P7" i="36"/>
  <c r="Q10" i="36"/>
  <c r="L11" i="36"/>
  <c r="L13" i="36"/>
  <c r="P16" i="36"/>
  <c r="L20" i="36"/>
  <c r="O22" i="36"/>
  <c r="L25" i="36"/>
  <c r="AA26" i="36"/>
  <c r="K26" i="36" s="1"/>
  <c r="P27" i="36"/>
  <c r="Q29" i="36"/>
  <c r="Q5" i="36"/>
  <c r="Q7" i="36"/>
  <c r="P13" i="36"/>
  <c r="L17" i="36"/>
  <c r="P22" i="36"/>
  <c r="Q27" i="36"/>
  <c r="L8" i="36"/>
  <c r="Q11" i="36"/>
  <c r="Q13" i="36"/>
  <c r="P17" i="36"/>
  <c r="AA19" i="36"/>
  <c r="K19" i="36" s="1"/>
  <c r="P20" i="36"/>
  <c r="Q22" i="36"/>
  <c r="L23" i="36"/>
  <c r="AA24" i="36"/>
  <c r="K24" i="36" s="1"/>
  <c r="P25" i="36"/>
  <c r="O28" i="36"/>
  <c r="AA29" i="36"/>
  <c r="K29" i="36" s="1"/>
  <c r="P8" i="36"/>
  <c r="Q17" i="36"/>
  <c r="L18" i="36"/>
  <c r="Q20" i="36"/>
  <c r="O23" i="36"/>
  <c r="Q25" i="36"/>
  <c r="P28" i="36"/>
  <c r="L26" i="36"/>
  <c r="Z13" i="36"/>
  <c r="J13" i="36" s="1"/>
  <c r="Z15" i="36"/>
  <c r="J15" i="36" s="1"/>
  <c r="Z17" i="36"/>
  <c r="J17" i="36" s="1"/>
  <c r="Z22" i="36"/>
  <c r="J22" i="36" s="1"/>
  <c r="Z25" i="36"/>
  <c r="J25" i="36" s="1"/>
  <c r="J30" i="36"/>
  <c r="Z9" i="36"/>
  <c r="J9" i="36" s="1"/>
  <c r="Z19" i="36"/>
  <c r="J19" i="36" s="1"/>
  <c r="Z27" i="36"/>
  <c r="J27" i="36" s="1"/>
  <c r="Z12" i="36"/>
  <c r="J12" i="36" s="1"/>
  <c r="Z24" i="36"/>
  <c r="J24" i="36" s="1"/>
  <c r="Z11" i="36"/>
  <c r="Z14" i="36"/>
  <c r="J14" i="36" s="1"/>
  <c r="Z16" i="36"/>
  <c r="Z21" i="36"/>
  <c r="J21" i="36" s="1"/>
  <c r="Z29" i="36"/>
  <c r="J29" i="36" s="1"/>
  <c r="Z8" i="36"/>
  <c r="Z18" i="36"/>
  <c r="J18" i="36" s="1"/>
  <c r="Z26" i="36"/>
  <c r="J26" i="36" s="1"/>
  <c r="Z10" i="36"/>
  <c r="J10" i="36" s="1"/>
  <c r="U9" i="36"/>
  <c r="T9" i="36"/>
  <c r="AD20" i="36"/>
  <c r="U8" i="36"/>
  <c r="T8" i="36"/>
  <c r="R10" i="36"/>
  <c r="U16" i="36"/>
  <c r="T16" i="36"/>
  <c r="AD17" i="36"/>
  <c r="R18" i="36"/>
  <c r="R19" i="36"/>
  <c r="R20" i="36"/>
  <c r="AD27" i="36"/>
  <c r="U27" i="36"/>
  <c r="S27" i="36"/>
  <c r="T27" i="36"/>
  <c r="U7" i="36"/>
  <c r="T7" i="36"/>
  <c r="R9" i="36"/>
  <c r="S10" i="36"/>
  <c r="U15" i="36"/>
  <c r="T15" i="36"/>
  <c r="R17" i="36"/>
  <c r="S23" i="36"/>
  <c r="U23" i="36"/>
  <c r="T23" i="36"/>
  <c r="AD23" i="36"/>
  <c r="U6" i="36"/>
  <c r="T6" i="36"/>
  <c r="AD7" i="36"/>
  <c r="R8" i="36"/>
  <c r="S9" i="36"/>
  <c r="U14" i="36"/>
  <c r="T14" i="36"/>
  <c r="AD15" i="36"/>
  <c r="R16" i="36"/>
  <c r="S22" i="36"/>
  <c r="U22" i="36"/>
  <c r="T22" i="36"/>
  <c r="S26" i="36"/>
  <c r="U26" i="36"/>
  <c r="AD26" i="36"/>
  <c r="T26" i="36"/>
  <c r="S28" i="36"/>
  <c r="U28" i="36"/>
  <c r="T28" i="36"/>
  <c r="AD24" i="36"/>
  <c r="U24" i="36"/>
  <c r="S24" i="36"/>
  <c r="T24" i="36"/>
  <c r="U5" i="36"/>
  <c r="T5" i="36"/>
  <c r="AD6" i="36"/>
  <c r="R7" i="36"/>
  <c r="S8" i="36"/>
  <c r="U13" i="36"/>
  <c r="T13" i="36"/>
  <c r="R15" i="36"/>
  <c r="S16" i="36"/>
  <c r="AD22" i="36"/>
  <c r="R27" i="36"/>
  <c r="U30" i="36"/>
  <c r="S30" i="36"/>
  <c r="T30" i="36"/>
  <c r="AD30" i="36"/>
  <c r="U10" i="36"/>
  <c r="T10" i="36"/>
  <c r="U18" i="36"/>
  <c r="T18" i="36"/>
  <c r="U19" i="36"/>
  <c r="T19" i="36"/>
  <c r="U17" i="36"/>
  <c r="T17" i="36"/>
  <c r="AD19" i="36"/>
  <c r="U4" i="36"/>
  <c r="T4" i="36"/>
  <c r="AD5" i="36"/>
  <c r="R6" i="36"/>
  <c r="S7" i="36"/>
  <c r="U12" i="36"/>
  <c r="T12" i="36"/>
  <c r="AD13" i="36"/>
  <c r="R14" i="36"/>
  <c r="S15" i="36"/>
  <c r="S21" i="36"/>
  <c r="U21" i="36"/>
  <c r="T21" i="36"/>
  <c r="R23" i="36"/>
  <c r="AC29" i="36"/>
  <c r="U20" i="36"/>
  <c r="T20" i="36"/>
  <c r="AD18" i="36"/>
  <c r="AD4" i="36"/>
  <c r="R5" i="36"/>
  <c r="S6" i="36"/>
  <c r="U11" i="36"/>
  <c r="T11" i="36"/>
  <c r="AD12" i="36"/>
  <c r="R13" i="36"/>
  <c r="S14" i="36"/>
  <c r="R22" i="36"/>
  <c r="AD25" i="36"/>
  <c r="S25" i="36"/>
  <c r="U25" i="36"/>
  <c r="T25" i="36"/>
  <c r="R26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21" i="36"/>
  <c r="N26" i="36"/>
  <c r="P6" i="35"/>
  <c r="P9" i="35"/>
  <c r="L11" i="35"/>
  <c r="Q12" i="35"/>
  <c r="P24" i="35"/>
  <c r="Q28" i="35"/>
  <c r="O29" i="35"/>
  <c r="O11" i="35"/>
  <c r="L18" i="35"/>
  <c r="O5" i="35"/>
  <c r="P8" i="35"/>
  <c r="P11" i="35"/>
  <c r="P18" i="35"/>
  <c r="Q29" i="35"/>
  <c r="N30" i="35"/>
  <c r="P5" i="35"/>
  <c r="Q8" i="35"/>
  <c r="Q11" i="35"/>
  <c r="L16" i="35"/>
  <c r="Q18" i="35"/>
  <c r="Q5" i="35"/>
  <c r="P16" i="35"/>
  <c r="L19" i="35"/>
  <c r="Q16" i="35"/>
  <c r="L27" i="35"/>
  <c r="O12" i="35"/>
  <c r="P14" i="35"/>
  <c r="Q19" i="35"/>
  <c r="P23" i="35"/>
  <c r="P27" i="35"/>
  <c r="L28" i="35"/>
  <c r="Z28" i="35"/>
  <c r="J28" i="35" s="1"/>
  <c r="Z20" i="35"/>
  <c r="J20" i="35" s="1"/>
  <c r="Z22" i="35"/>
  <c r="J22" i="35" s="1"/>
  <c r="Z24" i="35"/>
  <c r="J24" i="35" s="1"/>
  <c r="Z26" i="35"/>
  <c r="J26" i="35" s="1"/>
  <c r="J30" i="35"/>
  <c r="Z29" i="35"/>
  <c r="J29" i="35" s="1"/>
  <c r="Z21" i="35"/>
  <c r="J21" i="35" s="1"/>
  <c r="Z23" i="35"/>
  <c r="J23" i="35" s="1"/>
  <c r="Z25" i="35"/>
  <c r="J25" i="35" s="1"/>
  <c r="U4" i="35"/>
  <c r="T4" i="35"/>
  <c r="AD4" i="35"/>
  <c r="S4" i="35"/>
  <c r="U8" i="35"/>
  <c r="T8" i="35"/>
  <c r="AD8" i="35"/>
  <c r="S8" i="35"/>
  <c r="U12" i="35"/>
  <c r="T12" i="35"/>
  <c r="AD12" i="35"/>
  <c r="S12" i="35"/>
  <c r="U9" i="35"/>
  <c r="T9" i="35"/>
  <c r="AD9" i="35"/>
  <c r="S9" i="35"/>
  <c r="U15" i="35"/>
  <c r="T15" i="35"/>
  <c r="AD15" i="35"/>
  <c r="S15" i="35"/>
  <c r="U7" i="35"/>
  <c r="T7" i="35"/>
  <c r="AD7" i="35"/>
  <c r="S7" i="35"/>
  <c r="U11" i="35"/>
  <c r="T11" i="35"/>
  <c r="AD11" i="35"/>
  <c r="S11" i="35"/>
  <c r="U14" i="35"/>
  <c r="T14" i="35"/>
  <c r="AD14" i="35"/>
  <c r="S14" i="35"/>
  <c r="R15" i="35"/>
  <c r="R28" i="35"/>
  <c r="U28" i="35"/>
  <c r="T28" i="35"/>
  <c r="AD28" i="35"/>
  <c r="S28" i="35"/>
  <c r="U6" i="35"/>
  <c r="T6" i="35"/>
  <c r="AD6" i="35"/>
  <c r="S6" i="35"/>
  <c r="U10" i="35"/>
  <c r="T10" i="35"/>
  <c r="AD10" i="35"/>
  <c r="S10" i="35"/>
  <c r="U5" i="35"/>
  <c r="T5" i="35"/>
  <c r="AD5" i="35"/>
  <c r="S5" i="35"/>
  <c r="R7" i="35"/>
  <c r="R11" i="35"/>
  <c r="U13" i="35"/>
  <c r="T13" i="35"/>
  <c r="AD13" i="35"/>
  <c r="S13" i="35"/>
  <c r="R14" i="35"/>
  <c r="S16" i="35"/>
  <c r="AD16" i="35"/>
  <c r="S17" i="35"/>
  <c r="AD17" i="35"/>
  <c r="S18" i="35"/>
  <c r="AD18" i="35"/>
  <c r="S19" i="35"/>
  <c r="AD19" i="35"/>
  <c r="S20" i="35"/>
  <c r="S21" i="35"/>
  <c r="S22" i="35"/>
  <c r="AD22" i="35"/>
  <c r="S23" i="35"/>
  <c r="AD23" i="35"/>
  <c r="S24" i="35"/>
  <c r="AD24" i="35"/>
  <c r="S25" i="35"/>
  <c r="S26" i="35"/>
  <c r="AD26" i="35"/>
  <c r="S30" i="35"/>
  <c r="AD30" i="35"/>
  <c r="R16" i="35"/>
  <c r="R17" i="35"/>
  <c r="R23" i="35"/>
  <c r="AC27" i="35"/>
  <c r="R30" i="35"/>
  <c r="T16" i="35"/>
  <c r="T17" i="35"/>
  <c r="T18" i="35"/>
  <c r="T19" i="35"/>
  <c r="T20" i="35"/>
  <c r="T21" i="35"/>
  <c r="T22" i="35"/>
  <c r="T23" i="35"/>
  <c r="T24" i="35"/>
  <c r="T25" i="35"/>
  <c r="T26" i="35"/>
  <c r="T30" i="35"/>
  <c r="R18" i="35"/>
  <c r="R19" i="35"/>
  <c r="R21" i="35"/>
  <c r="R22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U20" i="35"/>
  <c r="M21" i="35"/>
  <c r="M22" i="35"/>
  <c r="M23" i="35"/>
  <c r="M24" i="35"/>
  <c r="U24" i="35"/>
  <c r="M25" i="35"/>
  <c r="U25" i="35"/>
  <c r="M26" i="35"/>
  <c r="U26" i="35"/>
  <c r="M27" i="35"/>
  <c r="M28" i="35"/>
  <c r="M29" i="35"/>
  <c r="U30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AC29" i="35"/>
  <c r="L24" i="34"/>
  <c r="O5" i="34"/>
  <c r="R6" i="34"/>
  <c r="AB7" i="34"/>
  <c r="Q8" i="34"/>
  <c r="AA9" i="34"/>
  <c r="K9" i="34" s="1"/>
  <c r="P10" i="34"/>
  <c r="AD11" i="34"/>
  <c r="P12" i="34"/>
  <c r="AA13" i="34"/>
  <c r="K13" i="34" s="1"/>
  <c r="Q14" i="34"/>
  <c r="AD15" i="34"/>
  <c r="AI15" i="34" s="1"/>
  <c r="P16" i="34"/>
  <c r="AA17" i="34"/>
  <c r="K17" i="34" s="1"/>
  <c r="Q18" i="34"/>
  <c r="L20" i="34"/>
  <c r="AA20" i="34"/>
  <c r="K20" i="34" s="1"/>
  <c r="O21" i="34"/>
  <c r="Q22" i="34"/>
  <c r="M24" i="34"/>
  <c r="R25" i="34"/>
  <c r="M26" i="34"/>
  <c r="R27" i="34"/>
  <c r="M28" i="34"/>
  <c r="R29" i="34"/>
  <c r="M30" i="34"/>
  <c r="P5" i="34"/>
  <c r="P21" i="34"/>
  <c r="O24" i="34"/>
  <c r="O26" i="34"/>
  <c r="O28" i="34"/>
  <c r="Q5" i="34"/>
  <c r="O9" i="34"/>
  <c r="R10" i="34"/>
  <c r="L13" i="34"/>
  <c r="R16" i="34"/>
  <c r="L17" i="34"/>
  <c r="O20" i="34"/>
  <c r="Q21" i="34"/>
  <c r="P24" i="34"/>
  <c r="P26" i="34"/>
  <c r="P28" i="34"/>
  <c r="AB4" i="34"/>
  <c r="AD4" i="34" s="1"/>
  <c r="R5" i="34"/>
  <c r="AA6" i="34"/>
  <c r="K6" i="34" s="1"/>
  <c r="P9" i="34"/>
  <c r="O11" i="34"/>
  <c r="O13" i="34"/>
  <c r="AD14" i="34"/>
  <c r="AH14" i="34" s="1"/>
  <c r="O15" i="34"/>
  <c r="O17" i="34"/>
  <c r="AB19" i="34"/>
  <c r="AD19" i="34" s="1"/>
  <c r="P20" i="34"/>
  <c r="R21" i="34"/>
  <c r="AD22" i="34"/>
  <c r="AB23" i="34"/>
  <c r="Q24" i="34"/>
  <c r="AB25" i="34"/>
  <c r="Q26" i="34"/>
  <c r="AB27" i="34"/>
  <c r="Q28" i="34"/>
  <c r="AB29" i="34"/>
  <c r="P30" i="34"/>
  <c r="AD13" i="34"/>
  <c r="AI13" i="34" s="1"/>
  <c r="AB6" i="34"/>
  <c r="M6" i="34" s="1"/>
  <c r="R7" i="34"/>
  <c r="AA8" i="34"/>
  <c r="K8" i="34" s="1"/>
  <c r="Q9" i="34"/>
  <c r="AD10" i="34"/>
  <c r="P11" i="34"/>
  <c r="AA12" i="34"/>
  <c r="K12" i="34" s="1"/>
  <c r="Q13" i="34"/>
  <c r="AA14" i="34"/>
  <c r="K14" i="34" s="1"/>
  <c r="P15" i="34"/>
  <c r="AD16" i="34"/>
  <c r="P17" i="34"/>
  <c r="AA18" i="34"/>
  <c r="K18" i="34" s="1"/>
  <c r="Q20" i="34"/>
  <c r="L22" i="34"/>
  <c r="AD5" i="34"/>
  <c r="AI5" i="34" s="1"/>
  <c r="R9" i="34"/>
  <c r="Q11" i="34"/>
  <c r="R13" i="34"/>
  <c r="Q15" i="34"/>
  <c r="Q17" i="34"/>
  <c r="R20" i="34"/>
  <c r="AD21" i="34"/>
  <c r="AD7" i="34"/>
  <c r="AI7" i="34" s="1"/>
  <c r="R17" i="34"/>
  <c r="L21" i="34"/>
  <c r="AD27" i="34"/>
  <c r="J27" i="34"/>
  <c r="Z26" i="34"/>
  <c r="J30" i="34"/>
  <c r="J5" i="34"/>
  <c r="J18" i="34"/>
  <c r="AD30" i="34"/>
  <c r="AI30" i="34" s="1"/>
  <c r="Z25" i="34"/>
  <c r="Z29" i="34"/>
  <c r="J7" i="34"/>
  <c r="Z12" i="34"/>
  <c r="Z17" i="34"/>
  <c r="Z24" i="34"/>
  <c r="Z28" i="34"/>
  <c r="J9" i="34"/>
  <c r="J14" i="34"/>
  <c r="J11" i="34"/>
  <c r="J16" i="34"/>
  <c r="AF5" i="34"/>
  <c r="AI22" i="34"/>
  <c r="AH22" i="34"/>
  <c r="AG22" i="34"/>
  <c r="AF22" i="34"/>
  <c r="AH30" i="34"/>
  <c r="AI21" i="34"/>
  <c r="AH21" i="34"/>
  <c r="AG21" i="34"/>
  <c r="AF21" i="34"/>
  <c r="AG15" i="34"/>
  <c r="AI10" i="34"/>
  <c r="AH10" i="34"/>
  <c r="AG10" i="34"/>
  <c r="AF10" i="34"/>
  <c r="AI11" i="34"/>
  <c r="AH11" i="34"/>
  <c r="AG11" i="34"/>
  <c r="AF11" i="34"/>
  <c r="AI16" i="34"/>
  <c r="AH16" i="34"/>
  <c r="AG16" i="34"/>
  <c r="AF16" i="34"/>
  <c r="AI27" i="34"/>
  <c r="AH27" i="34"/>
  <c r="AG27" i="34"/>
  <c r="AF27" i="34"/>
  <c r="S4" i="34"/>
  <c r="S5" i="34"/>
  <c r="S6" i="34"/>
  <c r="S7" i="34"/>
  <c r="S8" i="34"/>
  <c r="S9" i="34"/>
  <c r="S10" i="34"/>
  <c r="S11" i="34"/>
  <c r="S12" i="34"/>
  <c r="S13" i="34"/>
  <c r="S14" i="34"/>
  <c r="S15" i="34"/>
  <c r="S16" i="34"/>
  <c r="S17" i="34"/>
  <c r="S18" i="34"/>
  <c r="S19" i="34"/>
  <c r="S20" i="34"/>
  <c r="S21" i="34"/>
  <c r="S22" i="34"/>
  <c r="S23" i="34"/>
  <c r="S24" i="34"/>
  <c r="S25" i="34"/>
  <c r="S26" i="34"/>
  <c r="S27" i="34"/>
  <c r="S28" i="34"/>
  <c r="S29" i="34"/>
  <c r="S30" i="34"/>
  <c r="T25" i="34"/>
  <c r="T28" i="34"/>
  <c r="T6" i="34"/>
  <c r="T7" i="34"/>
  <c r="T8" i="34"/>
  <c r="T16" i="34"/>
  <c r="T21" i="34"/>
  <c r="T22" i="34"/>
  <c r="T24" i="34"/>
  <c r="T30" i="34"/>
  <c r="M4" i="34"/>
  <c r="U4" i="34"/>
  <c r="M5" i="34"/>
  <c r="U5" i="34"/>
  <c r="M7" i="34"/>
  <c r="M8" i="34"/>
  <c r="M9" i="34"/>
  <c r="U9" i="34"/>
  <c r="M10" i="34"/>
  <c r="U10" i="34"/>
  <c r="M11" i="34"/>
  <c r="U11" i="34"/>
  <c r="M12" i="34"/>
  <c r="U12" i="34"/>
  <c r="M13" i="34"/>
  <c r="U13" i="34"/>
  <c r="M14" i="34"/>
  <c r="U14" i="34"/>
  <c r="M15" i="34"/>
  <c r="U15" i="34"/>
  <c r="M16" i="34"/>
  <c r="M17" i="34"/>
  <c r="U17" i="34"/>
  <c r="M18" i="34"/>
  <c r="U18" i="34"/>
  <c r="U19" i="34"/>
  <c r="U20" i="34"/>
  <c r="U23" i="34"/>
  <c r="U26" i="34"/>
  <c r="U27" i="34"/>
  <c r="U29" i="34"/>
  <c r="N13" i="34"/>
  <c r="O7" i="33"/>
  <c r="L11" i="33"/>
  <c r="P16" i="33"/>
  <c r="P17" i="33"/>
  <c r="O19" i="33"/>
  <c r="O21" i="33"/>
  <c r="L23" i="33"/>
  <c r="O25" i="33"/>
  <c r="P29" i="33"/>
  <c r="L30" i="33"/>
  <c r="O17" i="33"/>
  <c r="O6" i="33"/>
  <c r="Q7" i="33"/>
  <c r="Q9" i="33"/>
  <c r="AD10" i="33"/>
  <c r="AF10" i="33" s="1"/>
  <c r="O11" i="33"/>
  <c r="Q16" i="33"/>
  <c r="AD16" i="33"/>
  <c r="Q17" i="33"/>
  <c r="P19" i="33"/>
  <c r="P21" i="33"/>
  <c r="O23" i="33"/>
  <c r="Q29" i="33"/>
  <c r="N30" i="33"/>
  <c r="AD6" i="33"/>
  <c r="P11" i="33"/>
  <c r="L15" i="33"/>
  <c r="R16" i="33"/>
  <c r="Q21" i="33"/>
  <c r="P23" i="33"/>
  <c r="L21" i="33"/>
  <c r="AD4" i="33"/>
  <c r="AH4" i="33" s="1"/>
  <c r="L5" i="33"/>
  <c r="Q11" i="33"/>
  <c r="AD12" i="33"/>
  <c r="L13" i="33"/>
  <c r="P15" i="33"/>
  <c r="Q23" i="33"/>
  <c r="O26" i="33"/>
  <c r="L7" i="33"/>
  <c r="L16" i="33"/>
  <c r="O5" i="33"/>
  <c r="L8" i="33"/>
  <c r="L10" i="33"/>
  <c r="O13" i="33"/>
  <c r="Q15" i="33"/>
  <c r="L18" i="33"/>
  <c r="P20" i="33"/>
  <c r="L24" i="33"/>
  <c r="P26" i="33"/>
  <c r="L17" i="33"/>
  <c r="Q5" i="33"/>
  <c r="O8" i="33"/>
  <c r="O10" i="33"/>
  <c r="Q13" i="33"/>
  <c r="P18" i="33"/>
  <c r="P22" i="33"/>
  <c r="O24" i="33"/>
  <c r="Q26" i="33"/>
  <c r="Q28" i="33"/>
  <c r="J4" i="33"/>
  <c r="J14" i="33"/>
  <c r="Z25" i="33"/>
  <c r="J25" i="33" s="1"/>
  <c r="J30" i="33"/>
  <c r="AD11" i="33"/>
  <c r="Z19" i="33"/>
  <c r="J19" i="33" s="1"/>
  <c r="Z24" i="33"/>
  <c r="J24" i="33" s="1"/>
  <c r="U5" i="33"/>
  <c r="T5" i="33"/>
  <c r="AI6" i="33"/>
  <c r="AH6" i="33"/>
  <c r="AG6" i="33"/>
  <c r="AF6" i="33"/>
  <c r="U15" i="33"/>
  <c r="T15" i="33"/>
  <c r="AI16" i="33"/>
  <c r="AH16" i="33"/>
  <c r="AG16" i="33"/>
  <c r="AF16" i="33"/>
  <c r="S28" i="33"/>
  <c r="U28" i="33"/>
  <c r="T28" i="33"/>
  <c r="AD28" i="33"/>
  <c r="S27" i="33"/>
  <c r="U27" i="33"/>
  <c r="AD27" i="33"/>
  <c r="T27" i="33"/>
  <c r="U4" i="33"/>
  <c r="T4" i="33"/>
  <c r="AD5" i="33"/>
  <c r="U14" i="33"/>
  <c r="T14" i="33"/>
  <c r="AD15" i="33"/>
  <c r="U20" i="33"/>
  <c r="S20" i="33"/>
  <c r="T20" i="33"/>
  <c r="AD20" i="33"/>
  <c r="S24" i="33"/>
  <c r="U24" i="33"/>
  <c r="AD24" i="33"/>
  <c r="T24" i="33"/>
  <c r="R4" i="33"/>
  <c r="S5" i="33"/>
  <c r="U13" i="33"/>
  <c r="T13" i="33"/>
  <c r="R14" i="33"/>
  <c r="S15" i="33"/>
  <c r="S19" i="33"/>
  <c r="U19" i="33"/>
  <c r="T19" i="33"/>
  <c r="AD23" i="33"/>
  <c r="S23" i="33"/>
  <c r="U23" i="33"/>
  <c r="T23" i="33"/>
  <c r="R28" i="33"/>
  <c r="S4" i="33"/>
  <c r="U9" i="33"/>
  <c r="T9" i="33"/>
  <c r="U10" i="33"/>
  <c r="T10" i="33"/>
  <c r="U11" i="33"/>
  <c r="T11" i="33"/>
  <c r="U12" i="33"/>
  <c r="T12" i="33"/>
  <c r="AD13" i="33"/>
  <c r="S14" i="33"/>
  <c r="S18" i="33"/>
  <c r="U18" i="33"/>
  <c r="T18" i="33"/>
  <c r="R20" i="33"/>
  <c r="R24" i="33"/>
  <c r="AI14" i="33"/>
  <c r="AH14" i="33"/>
  <c r="AG14" i="33"/>
  <c r="AF14" i="33"/>
  <c r="U8" i="33"/>
  <c r="T8" i="33"/>
  <c r="AI9" i="33"/>
  <c r="AH9" i="33"/>
  <c r="AG9" i="33"/>
  <c r="AF9" i="33"/>
  <c r="AH10" i="33"/>
  <c r="AG10" i="33"/>
  <c r="AI11" i="33"/>
  <c r="AH11" i="33"/>
  <c r="AG11" i="33"/>
  <c r="AF11" i="33"/>
  <c r="AI12" i="33"/>
  <c r="AH12" i="33"/>
  <c r="AG12" i="33"/>
  <c r="AF12" i="33"/>
  <c r="AI18" i="33"/>
  <c r="AH18" i="33"/>
  <c r="AG18" i="33"/>
  <c r="AF18" i="33"/>
  <c r="AD22" i="33"/>
  <c r="U22" i="33"/>
  <c r="T22" i="33"/>
  <c r="S22" i="33"/>
  <c r="S26" i="33"/>
  <c r="U26" i="33"/>
  <c r="T26" i="33"/>
  <c r="AD26" i="33"/>
  <c r="R27" i="33"/>
  <c r="U30" i="33"/>
  <c r="S30" i="33"/>
  <c r="T30" i="33"/>
  <c r="AD30" i="33"/>
  <c r="U7" i="33"/>
  <c r="T7" i="33"/>
  <c r="AD8" i="33"/>
  <c r="R9" i="33"/>
  <c r="R10" i="33"/>
  <c r="R11" i="33"/>
  <c r="S13" i="33"/>
  <c r="S17" i="33"/>
  <c r="U17" i="33"/>
  <c r="T17" i="33"/>
  <c r="R19" i="33"/>
  <c r="R23" i="33"/>
  <c r="AC29" i="33"/>
  <c r="AI4" i="33"/>
  <c r="U6" i="33"/>
  <c r="T6" i="33"/>
  <c r="AD7" i="33"/>
  <c r="R8" i="33"/>
  <c r="S9" i="33"/>
  <c r="S10" i="33"/>
  <c r="S11" i="33"/>
  <c r="S12" i="33"/>
  <c r="U16" i="33"/>
  <c r="T16" i="33"/>
  <c r="AD17" i="33"/>
  <c r="R18" i="33"/>
  <c r="AC21" i="33"/>
  <c r="AC25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N4" i="33"/>
  <c r="N5" i="33"/>
  <c r="N6" i="33"/>
  <c r="N7" i="33"/>
  <c r="N8" i="33"/>
  <c r="N9" i="33"/>
  <c r="N13" i="33"/>
  <c r="N14" i="33"/>
  <c r="N15" i="33"/>
  <c r="N16" i="33"/>
  <c r="N18" i="33"/>
  <c r="N27" i="33"/>
  <c r="O14" i="33"/>
  <c r="AD6" i="32"/>
  <c r="Q8" i="32"/>
  <c r="AD14" i="32"/>
  <c r="P15" i="32"/>
  <c r="P18" i="32"/>
  <c r="P21" i="32"/>
  <c r="L22" i="32"/>
  <c r="Q28" i="32"/>
  <c r="P29" i="32"/>
  <c r="L4" i="32"/>
  <c r="Q21" i="32"/>
  <c r="P22" i="32"/>
  <c r="L23" i="32"/>
  <c r="Q29" i="32"/>
  <c r="N30" i="32"/>
  <c r="Q4" i="32"/>
  <c r="AD8" i="32"/>
  <c r="Q9" i="32"/>
  <c r="L13" i="32"/>
  <c r="R18" i="32"/>
  <c r="Q22" i="32"/>
  <c r="L24" i="32"/>
  <c r="O30" i="32"/>
  <c r="AD15" i="32"/>
  <c r="AI15" i="32" s="1"/>
  <c r="P24" i="32"/>
  <c r="AD9" i="32"/>
  <c r="Q10" i="32"/>
  <c r="L11" i="32"/>
  <c r="AD18" i="32"/>
  <c r="L20" i="32"/>
  <c r="Q24" i="32"/>
  <c r="L26" i="32"/>
  <c r="AD4" i="32"/>
  <c r="Q6" i="32"/>
  <c r="Q11" i="32"/>
  <c r="P20" i="32"/>
  <c r="O26" i="32"/>
  <c r="L27" i="32"/>
  <c r="AD5" i="32"/>
  <c r="AH5" i="32" s="1"/>
  <c r="R6" i="32"/>
  <c r="L7" i="32"/>
  <c r="AD10" i="32"/>
  <c r="AD13" i="32"/>
  <c r="AD16" i="32"/>
  <c r="AD19" i="32"/>
  <c r="Q20" i="32"/>
  <c r="Q25" i="32"/>
  <c r="P26" i="32"/>
  <c r="P27" i="32"/>
  <c r="L28" i="32"/>
  <c r="L29" i="32"/>
  <c r="AD24" i="32"/>
  <c r="J24" i="32"/>
  <c r="J7" i="32"/>
  <c r="J11" i="32"/>
  <c r="Z22" i="32"/>
  <c r="J14" i="32"/>
  <c r="J19" i="32"/>
  <c r="Z28" i="32"/>
  <c r="AD30" i="32"/>
  <c r="AH30" i="32" s="1"/>
  <c r="J8" i="32"/>
  <c r="Z25" i="32"/>
  <c r="J25" i="32" s="1"/>
  <c r="J30" i="32"/>
  <c r="J5" i="32"/>
  <c r="Z23" i="32"/>
  <c r="J20" i="32"/>
  <c r="Z29" i="32"/>
  <c r="J6" i="32"/>
  <c r="J18" i="32"/>
  <c r="Z21" i="32"/>
  <c r="Z26" i="32"/>
  <c r="J26" i="32" s="1"/>
  <c r="AI5" i="32"/>
  <c r="AI9" i="32"/>
  <c r="AH9" i="32"/>
  <c r="AG9" i="32"/>
  <c r="AF9" i="32"/>
  <c r="AI12" i="32"/>
  <c r="AH12" i="32"/>
  <c r="AG12" i="32"/>
  <c r="AF12" i="32"/>
  <c r="AI30" i="32"/>
  <c r="AF30" i="32"/>
  <c r="AI17" i="32"/>
  <c r="AH17" i="32"/>
  <c r="AG17" i="32"/>
  <c r="AF17" i="32"/>
  <c r="AI6" i="32"/>
  <c r="AH6" i="32"/>
  <c r="AG6" i="32"/>
  <c r="AF6" i="32"/>
  <c r="AI10" i="32"/>
  <c r="AH10" i="32"/>
  <c r="AG10" i="32"/>
  <c r="AF10" i="32"/>
  <c r="AI20" i="32"/>
  <c r="AH20" i="32"/>
  <c r="AG20" i="32"/>
  <c r="AF20" i="32"/>
  <c r="AI13" i="32"/>
  <c r="AH13" i="32"/>
  <c r="AG13" i="32"/>
  <c r="AF13" i="32"/>
  <c r="AI18" i="32"/>
  <c r="AH18" i="32"/>
  <c r="AG18" i="32"/>
  <c r="AF18" i="32"/>
  <c r="AI7" i="32"/>
  <c r="AH7" i="32"/>
  <c r="AG7" i="32"/>
  <c r="AF7" i="32"/>
  <c r="AI11" i="32"/>
  <c r="AH11" i="32"/>
  <c r="AG11" i="32"/>
  <c r="AF11" i="32"/>
  <c r="AI16" i="32"/>
  <c r="AH16" i="32"/>
  <c r="AG16" i="32"/>
  <c r="AF16" i="32"/>
  <c r="U28" i="32"/>
  <c r="T28" i="32"/>
  <c r="R28" i="32"/>
  <c r="S28" i="32"/>
  <c r="AI4" i="32"/>
  <c r="AH4" i="32"/>
  <c r="AG4" i="32"/>
  <c r="AF4" i="32"/>
  <c r="AI8" i="32"/>
  <c r="AH8" i="32"/>
  <c r="AG8" i="32"/>
  <c r="AF8" i="32"/>
  <c r="AI14" i="32"/>
  <c r="AH14" i="32"/>
  <c r="AG14" i="32"/>
  <c r="AF14" i="32"/>
  <c r="AI19" i="32"/>
  <c r="AH19" i="32"/>
  <c r="AG19" i="32"/>
  <c r="AF19" i="32"/>
  <c r="AI24" i="32"/>
  <c r="AH24" i="32"/>
  <c r="AG24" i="32"/>
  <c r="AF24" i="32"/>
  <c r="R15" i="32"/>
  <c r="S4" i="32"/>
  <c r="S5" i="32"/>
  <c r="S6" i="32"/>
  <c r="S7" i="32"/>
  <c r="S8" i="32"/>
  <c r="S9" i="32"/>
  <c r="S10" i="32"/>
  <c r="S11" i="32"/>
  <c r="S12" i="32"/>
  <c r="S13" i="32"/>
  <c r="S14" i="32"/>
  <c r="S15" i="32"/>
  <c r="S16" i="32"/>
  <c r="S17" i="32"/>
  <c r="S18" i="32"/>
  <c r="S19" i="32"/>
  <c r="S20" i="32"/>
  <c r="S21" i="32"/>
  <c r="S22" i="32"/>
  <c r="S23" i="32"/>
  <c r="S24" i="32"/>
  <c r="S29" i="32"/>
  <c r="S30" i="32"/>
  <c r="R5" i="32"/>
  <c r="R8" i="32"/>
  <c r="R14" i="32"/>
  <c r="R23" i="32"/>
  <c r="R30" i="32"/>
  <c r="T4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9" i="32"/>
  <c r="T30" i="32"/>
  <c r="R19" i="32"/>
  <c r="M4" i="32"/>
  <c r="M5" i="32"/>
  <c r="M6" i="32"/>
  <c r="M7" i="32"/>
  <c r="U7" i="32"/>
  <c r="M8" i="32"/>
  <c r="M9" i="32"/>
  <c r="U9" i="32"/>
  <c r="M10" i="32"/>
  <c r="U10" i="32"/>
  <c r="M11" i="32"/>
  <c r="U11" i="32"/>
  <c r="M12" i="32"/>
  <c r="M13" i="32"/>
  <c r="U13" i="32"/>
  <c r="M14" i="32"/>
  <c r="M15" i="32"/>
  <c r="M16" i="32"/>
  <c r="U16" i="32"/>
  <c r="M17" i="32"/>
  <c r="U17" i="32"/>
  <c r="M18" i="32"/>
  <c r="M19" i="32"/>
  <c r="M20" i="32"/>
  <c r="M21" i="32"/>
  <c r="U21" i="32"/>
  <c r="M22" i="32"/>
  <c r="U22" i="32"/>
  <c r="M23" i="32"/>
  <c r="M24" i="32"/>
  <c r="U24" i="32"/>
  <c r="M25" i="32"/>
  <c r="M26" i="32"/>
  <c r="M27" i="32"/>
  <c r="M28" i="32"/>
  <c r="M29" i="32"/>
  <c r="U29" i="32"/>
  <c r="U30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7" i="32"/>
  <c r="N28" i="32"/>
  <c r="O4" i="32"/>
  <c r="O5" i="32"/>
  <c r="O6" i="32"/>
  <c r="O7" i="32"/>
  <c r="O8" i="32"/>
  <c r="O9" i="32"/>
  <c r="O10" i="32"/>
  <c r="O11" i="32"/>
  <c r="AC25" i="32"/>
  <c r="AD25" i="32" s="1"/>
  <c r="AC26" i="32"/>
  <c r="AD26" i="32" s="1"/>
  <c r="AC27" i="32"/>
  <c r="AD27" i="32" s="1"/>
  <c r="R11" i="31"/>
  <c r="AD14" i="31"/>
  <c r="Q4" i="31"/>
  <c r="R9" i="31"/>
  <c r="Q24" i="31"/>
  <c r="Q25" i="31"/>
  <c r="R4" i="31"/>
  <c r="Q5" i="31"/>
  <c r="Q6" i="31"/>
  <c r="AD8" i="31"/>
  <c r="AD11" i="31"/>
  <c r="Q23" i="31"/>
  <c r="Q18" i="31"/>
  <c r="Q22" i="31"/>
  <c r="AD24" i="31"/>
  <c r="AI24" i="31" s="1"/>
  <c r="AD25" i="31"/>
  <c r="AI25" i="31" s="1"/>
  <c r="Q29" i="31"/>
  <c r="AD4" i="31"/>
  <c r="AD5" i="31"/>
  <c r="Q17" i="31"/>
  <c r="R18" i="31"/>
  <c r="Q19" i="31"/>
  <c r="Q20" i="31"/>
  <c r="Q21" i="31"/>
  <c r="Z6" i="31"/>
  <c r="Z12" i="31"/>
  <c r="Z26" i="31"/>
  <c r="J26" i="31" s="1"/>
  <c r="Z27" i="31"/>
  <c r="J27" i="31" s="1"/>
  <c r="Z28" i="31"/>
  <c r="Z29" i="31"/>
  <c r="J29" i="31" s="1"/>
  <c r="Z7" i="31"/>
  <c r="Z13" i="31"/>
  <c r="Z19" i="31"/>
  <c r="AD30" i="31"/>
  <c r="AG30" i="31" s="1"/>
  <c r="J11" i="31"/>
  <c r="Z15" i="31"/>
  <c r="J18" i="31"/>
  <c r="Z21" i="31"/>
  <c r="J24" i="31"/>
  <c r="J5" i="31"/>
  <c r="Z9" i="31"/>
  <c r="Z16" i="31"/>
  <c r="Z22" i="31"/>
  <c r="J25" i="31"/>
  <c r="Z10" i="31"/>
  <c r="Z17" i="31"/>
  <c r="Z23" i="31"/>
  <c r="J8" i="31"/>
  <c r="J14" i="31"/>
  <c r="J20" i="31"/>
  <c r="AI18" i="31"/>
  <c r="AH18" i="31"/>
  <c r="AG18" i="31"/>
  <c r="AF18" i="31"/>
  <c r="AI30" i="31"/>
  <c r="AH30" i="31"/>
  <c r="AF30" i="31"/>
  <c r="AI8" i="31"/>
  <c r="AH8" i="31"/>
  <c r="AG8" i="31"/>
  <c r="AF8" i="31"/>
  <c r="AI14" i="31"/>
  <c r="AH14" i="31"/>
  <c r="AG14" i="31"/>
  <c r="AF14" i="31"/>
  <c r="AI20" i="31"/>
  <c r="AH20" i="31"/>
  <c r="AG20" i="31"/>
  <c r="AF20" i="31"/>
  <c r="AI5" i="31"/>
  <c r="AH5" i="31"/>
  <c r="AG5" i="31"/>
  <c r="AF5" i="31"/>
  <c r="AG25" i="31"/>
  <c r="AF25" i="31"/>
  <c r="R28" i="31"/>
  <c r="U28" i="31"/>
  <c r="T28" i="31"/>
  <c r="S28" i="31"/>
  <c r="AI11" i="31"/>
  <c r="AH11" i="31"/>
  <c r="AG11" i="31"/>
  <c r="AF11" i="31"/>
  <c r="AI4" i="31"/>
  <c r="AH4" i="31"/>
  <c r="AG4" i="31"/>
  <c r="AF4" i="31"/>
  <c r="AG24" i="31"/>
  <c r="AF24" i="31"/>
  <c r="R13" i="31"/>
  <c r="S4" i="31"/>
  <c r="S5" i="31"/>
  <c r="S6" i="3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30" i="31"/>
  <c r="R5" i="31"/>
  <c r="R14" i="31"/>
  <c r="R24" i="31"/>
  <c r="AC27" i="31"/>
  <c r="L4" i="31"/>
  <c r="T4" i="31"/>
  <c r="L5" i="31"/>
  <c r="T5" i="31"/>
  <c r="L6" i="31"/>
  <c r="T6" i="31"/>
  <c r="L7" i="31"/>
  <c r="T7" i="31"/>
  <c r="L8" i="31"/>
  <c r="T8" i="31"/>
  <c r="L9" i="31"/>
  <c r="T9" i="31"/>
  <c r="L10" i="31"/>
  <c r="T10" i="31"/>
  <c r="L11" i="31"/>
  <c r="T11" i="31"/>
  <c r="L12" i="31"/>
  <c r="T12" i="31"/>
  <c r="L13" i="31"/>
  <c r="T13" i="31"/>
  <c r="L14" i="31"/>
  <c r="T14" i="31"/>
  <c r="L15" i="31"/>
  <c r="T15" i="31"/>
  <c r="L16" i="31"/>
  <c r="T16" i="31"/>
  <c r="L17" i="31"/>
  <c r="T17" i="31"/>
  <c r="L18" i="31"/>
  <c r="T18" i="31"/>
  <c r="L19" i="31"/>
  <c r="T19" i="31"/>
  <c r="L20" i="31"/>
  <c r="T20" i="31"/>
  <c r="L21" i="31"/>
  <c r="T21" i="31"/>
  <c r="L22" i="31"/>
  <c r="T22" i="31"/>
  <c r="L23" i="31"/>
  <c r="T23" i="31"/>
  <c r="L24" i="31"/>
  <c r="T24" i="31"/>
  <c r="L25" i="31"/>
  <c r="T25" i="31"/>
  <c r="L26" i="31"/>
  <c r="L27" i="31"/>
  <c r="L28" i="31"/>
  <c r="L29" i="31"/>
  <c r="L30" i="31"/>
  <c r="T30" i="31"/>
  <c r="M4" i="31"/>
  <c r="M5" i="31"/>
  <c r="M6" i="31"/>
  <c r="U6" i="31"/>
  <c r="M7" i="31"/>
  <c r="U7" i="31"/>
  <c r="M8" i="31"/>
  <c r="U8" i="31"/>
  <c r="M9" i="31"/>
  <c r="M10" i="31"/>
  <c r="U10" i="31"/>
  <c r="M11" i="31"/>
  <c r="M12" i="31"/>
  <c r="U12" i="31"/>
  <c r="M13" i="31"/>
  <c r="M14" i="31"/>
  <c r="M15" i="31"/>
  <c r="U15" i="31"/>
  <c r="M16" i="31"/>
  <c r="U16" i="31"/>
  <c r="M17" i="31"/>
  <c r="U17" i="31"/>
  <c r="M18" i="31"/>
  <c r="M19" i="31"/>
  <c r="M20" i="31"/>
  <c r="U20" i="31"/>
  <c r="M21" i="31"/>
  <c r="U21" i="31"/>
  <c r="M22" i="31"/>
  <c r="U22" i="31"/>
  <c r="M23" i="31"/>
  <c r="U23" i="31"/>
  <c r="M24" i="31"/>
  <c r="M25" i="31"/>
  <c r="U25" i="31"/>
  <c r="M26" i="31"/>
  <c r="M27" i="31"/>
  <c r="M28" i="31"/>
  <c r="M29" i="31"/>
  <c r="M30" i="31"/>
  <c r="U30" i="31"/>
  <c r="AC29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AC26" i="31"/>
  <c r="R4" i="30"/>
  <c r="O6" i="30"/>
  <c r="P7" i="30"/>
  <c r="AD9" i="30"/>
  <c r="P12" i="30"/>
  <c r="P17" i="30"/>
  <c r="L20" i="30"/>
  <c r="P21" i="30"/>
  <c r="L23" i="30"/>
  <c r="P24" i="30"/>
  <c r="P26" i="30"/>
  <c r="S4" i="30"/>
  <c r="Q7" i="30"/>
  <c r="R10" i="30"/>
  <c r="Q12" i="30"/>
  <c r="Q17" i="30"/>
  <c r="Q21" i="30"/>
  <c r="Q24" i="30"/>
  <c r="Q26" i="30"/>
  <c r="T4" i="30"/>
  <c r="S5" i="30"/>
  <c r="Q6" i="30"/>
  <c r="R7" i="30"/>
  <c r="T10" i="30"/>
  <c r="R12" i="30"/>
  <c r="AD13" i="30"/>
  <c r="Q14" i="30"/>
  <c r="P16" i="30"/>
  <c r="R17" i="30"/>
  <c r="P20" i="30"/>
  <c r="R21" i="30"/>
  <c r="P23" i="30"/>
  <c r="R24" i="30"/>
  <c r="R26" i="30"/>
  <c r="R28" i="30"/>
  <c r="L12" i="30"/>
  <c r="L5" i="30"/>
  <c r="T5" i="30"/>
  <c r="T7" i="30"/>
  <c r="AD8" i="30"/>
  <c r="AF8" i="30" s="1"/>
  <c r="T12" i="30"/>
  <c r="R14" i="30"/>
  <c r="AD15" i="30"/>
  <c r="Q16" i="30"/>
  <c r="T17" i="30"/>
  <c r="AD18" i="30"/>
  <c r="AF18" i="30" s="1"/>
  <c r="Q20" i="30"/>
  <c r="T21" i="30"/>
  <c r="Q23" i="30"/>
  <c r="T24" i="30"/>
  <c r="T26" i="30"/>
  <c r="L27" i="30"/>
  <c r="AC27" i="30"/>
  <c r="T28" i="30"/>
  <c r="O29" i="30"/>
  <c r="AC29" i="30"/>
  <c r="O24" i="30"/>
  <c r="L26" i="30"/>
  <c r="AD4" i="30"/>
  <c r="M5" i="30"/>
  <c r="AD10" i="30"/>
  <c r="T14" i="30"/>
  <c r="N5" i="30"/>
  <c r="L6" i="30"/>
  <c r="AD7" i="30"/>
  <c r="AD12" i="30"/>
  <c r="P13" i="30"/>
  <c r="T16" i="30"/>
  <c r="AD17" i="30"/>
  <c r="T20" i="30"/>
  <c r="AD21" i="30"/>
  <c r="AF21" i="30" s="1"/>
  <c r="T23" i="30"/>
  <c r="AD24" i="30"/>
  <c r="AD26" i="30"/>
  <c r="Q27" i="30"/>
  <c r="Q29" i="30"/>
  <c r="N7" i="30"/>
  <c r="O21" i="30"/>
  <c r="AD5" i="30"/>
  <c r="AI5" i="30" s="1"/>
  <c r="L7" i="30"/>
  <c r="R11" i="30"/>
  <c r="Q13" i="30"/>
  <c r="AD14" i="30"/>
  <c r="L17" i="30"/>
  <c r="R19" i="30"/>
  <c r="L21" i="30"/>
  <c r="L24" i="30"/>
  <c r="R25" i="30"/>
  <c r="J27" i="30"/>
  <c r="J16" i="30"/>
  <c r="J30" i="30"/>
  <c r="AD30" i="30"/>
  <c r="AF30" i="30" s="1"/>
  <c r="J10" i="30"/>
  <c r="J26" i="30"/>
  <c r="Z29" i="30"/>
  <c r="Z22" i="30"/>
  <c r="J12" i="30"/>
  <c r="Z28" i="30"/>
  <c r="J25" i="30"/>
  <c r="J14" i="30"/>
  <c r="AI8" i="30"/>
  <c r="AH8" i="30"/>
  <c r="AG8" i="30"/>
  <c r="AI16" i="30"/>
  <c r="AH16" i="30"/>
  <c r="AG16" i="30"/>
  <c r="AF16" i="30"/>
  <c r="AI20" i="30"/>
  <c r="AH20" i="30"/>
  <c r="AG20" i="30"/>
  <c r="AF20" i="30"/>
  <c r="AI24" i="30"/>
  <c r="AH24" i="30"/>
  <c r="AG24" i="30"/>
  <c r="AF24" i="30"/>
  <c r="AI4" i="30"/>
  <c r="AH4" i="30"/>
  <c r="AG4" i="30"/>
  <c r="AF4" i="30"/>
  <c r="AI13" i="30"/>
  <c r="AH13" i="30"/>
  <c r="AG13" i="30"/>
  <c r="AF13" i="30"/>
  <c r="AI30" i="30"/>
  <c r="AH30" i="30"/>
  <c r="AG30" i="30"/>
  <c r="AI15" i="30"/>
  <c r="AH15" i="30"/>
  <c r="AG15" i="30"/>
  <c r="AF15" i="30"/>
  <c r="AI7" i="30"/>
  <c r="AH7" i="30"/>
  <c r="AG7" i="30"/>
  <c r="AF7" i="30"/>
  <c r="AI10" i="30"/>
  <c r="AH10" i="30"/>
  <c r="AG10" i="30"/>
  <c r="AF10" i="30"/>
  <c r="AI19" i="30"/>
  <c r="AH19" i="30"/>
  <c r="AG19" i="30"/>
  <c r="AF19" i="30"/>
  <c r="AI23" i="30"/>
  <c r="AH23" i="30"/>
  <c r="AG23" i="30"/>
  <c r="AF23" i="30"/>
  <c r="AI26" i="30"/>
  <c r="AH26" i="30"/>
  <c r="AG26" i="30"/>
  <c r="AF26" i="30"/>
  <c r="AI6" i="30"/>
  <c r="AH6" i="30"/>
  <c r="AG6" i="30"/>
  <c r="AF6" i="30"/>
  <c r="AI12" i="30"/>
  <c r="AH12" i="30"/>
  <c r="AG12" i="30"/>
  <c r="AF12" i="30"/>
  <c r="AI18" i="30"/>
  <c r="AI25" i="30"/>
  <c r="AH25" i="30"/>
  <c r="AG25" i="30"/>
  <c r="AF25" i="30"/>
  <c r="AI14" i="30"/>
  <c r="AH14" i="30"/>
  <c r="AG14" i="30"/>
  <c r="AF14" i="30"/>
  <c r="AI17" i="30"/>
  <c r="AH17" i="30"/>
  <c r="AG17" i="30"/>
  <c r="AF17" i="30"/>
  <c r="AI21" i="30"/>
  <c r="AH21" i="30"/>
  <c r="AG21" i="30"/>
  <c r="AI9" i="30"/>
  <c r="AH9" i="30"/>
  <c r="AG9" i="30"/>
  <c r="AF9" i="30"/>
  <c r="AI11" i="30"/>
  <c r="AH11" i="30"/>
  <c r="AG11" i="30"/>
  <c r="AF11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N9" i="30"/>
  <c r="N10" i="30"/>
  <c r="N11" i="30"/>
  <c r="N12" i="30"/>
  <c r="N13" i="30"/>
  <c r="N14" i="30"/>
  <c r="N15" i="30"/>
  <c r="N16" i="30"/>
  <c r="N25" i="30"/>
  <c r="N26" i="30"/>
  <c r="N27" i="30"/>
  <c r="N9" i="29"/>
  <c r="O15" i="29"/>
  <c r="R18" i="29"/>
  <c r="O23" i="29"/>
  <c r="R26" i="29"/>
  <c r="R29" i="29"/>
  <c r="L30" i="29"/>
  <c r="N23" i="29"/>
  <c r="O9" i="29"/>
  <c r="O14" i="29"/>
  <c r="P15" i="29"/>
  <c r="P23" i="29"/>
  <c r="P27" i="29"/>
  <c r="N30" i="29"/>
  <c r="P9" i="29"/>
  <c r="P14" i="29"/>
  <c r="Q15" i="29"/>
  <c r="R16" i="29"/>
  <c r="P22" i="29"/>
  <c r="Q23" i="29"/>
  <c r="L28" i="29"/>
  <c r="O30" i="29"/>
  <c r="Q9" i="29"/>
  <c r="O13" i="29"/>
  <c r="R15" i="29"/>
  <c r="R23" i="29"/>
  <c r="P28" i="29"/>
  <c r="N15" i="29"/>
  <c r="O7" i="29"/>
  <c r="P8" i="29"/>
  <c r="R14" i="29"/>
  <c r="P20" i="29"/>
  <c r="Q28" i="29"/>
  <c r="P7" i="29"/>
  <c r="AD9" i="29"/>
  <c r="L15" i="29"/>
  <c r="AD15" i="29"/>
  <c r="P19" i="29"/>
  <c r="L23" i="29"/>
  <c r="L26" i="29"/>
  <c r="O29" i="29"/>
  <c r="M9" i="29"/>
  <c r="AD14" i="29"/>
  <c r="R20" i="29"/>
  <c r="P26" i="29"/>
  <c r="P29" i="29"/>
  <c r="J5" i="29"/>
  <c r="J7" i="29"/>
  <c r="Z27" i="29"/>
  <c r="J27" i="29" s="1"/>
  <c r="J30" i="29"/>
  <c r="J4" i="29"/>
  <c r="J14" i="29"/>
  <c r="J15" i="29"/>
  <c r="J13" i="29"/>
  <c r="Z29" i="29"/>
  <c r="J29" i="29" s="1"/>
  <c r="Z24" i="29"/>
  <c r="J24" i="29" s="1"/>
  <c r="Z26" i="29"/>
  <c r="J26" i="29" s="1"/>
  <c r="J10" i="29"/>
  <c r="J9" i="29"/>
  <c r="AI8" i="29"/>
  <c r="AH8" i="29"/>
  <c r="AG8" i="29"/>
  <c r="AF8" i="29"/>
  <c r="AI7" i="29"/>
  <c r="AH7" i="29"/>
  <c r="AG7" i="29"/>
  <c r="AF7" i="29"/>
  <c r="AI4" i="29"/>
  <c r="AH4" i="29"/>
  <c r="AG4" i="29"/>
  <c r="AF4" i="29"/>
  <c r="AI5" i="29"/>
  <c r="AH5" i="29"/>
  <c r="AG5" i="29"/>
  <c r="AF5" i="29"/>
  <c r="AI6" i="29"/>
  <c r="AH6" i="29"/>
  <c r="AG6" i="29"/>
  <c r="AF6" i="29"/>
  <c r="AI13" i="29"/>
  <c r="AH13" i="29"/>
  <c r="AG13" i="29"/>
  <c r="AF13" i="29"/>
  <c r="AI14" i="29"/>
  <c r="AH14" i="29"/>
  <c r="AG14" i="29"/>
  <c r="AF14" i="29"/>
  <c r="AI15" i="29"/>
  <c r="AH15" i="29"/>
  <c r="AG15" i="29"/>
  <c r="AF15" i="29"/>
  <c r="AI12" i="29"/>
  <c r="AH12" i="29"/>
  <c r="AG12" i="29"/>
  <c r="AF12" i="29"/>
  <c r="AI9" i="29"/>
  <c r="AH9" i="29"/>
  <c r="AG9" i="29"/>
  <c r="AF9" i="29"/>
  <c r="AI10" i="29"/>
  <c r="AH10" i="29"/>
  <c r="AG10" i="29"/>
  <c r="AF10" i="29"/>
  <c r="AI11" i="29"/>
  <c r="AH11" i="29"/>
  <c r="AG11" i="29"/>
  <c r="AF11" i="29"/>
  <c r="R13" i="29"/>
  <c r="R25" i="29"/>
  <c r="R27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AD16" i="29"/>
  <c r="S17" i="29"/>
  <c r="AD17" i="29"/>
  <c r="S18" i="29"/>
  <c r="AD18" i="29"/>
  <c r="S19" i="29"/>
  <c r="AD19" i="29"/>
  <c r="S20" i="29"/>
  <c r="AD20" i="29"/>
  <c r="S21" i="29"/>
  <c r="AD21" i="29"/>
  <c r="S22" i="29"/>
  <c r="AD22" i="29"/>
  <c r="S23" i="29"/>
  <c r="AD23" i="29"/>
  <c r="S24" i="29"/>
  <c r="AD24" i="29"/>
  <c r="S25" i="29"/>
  <c r="AD25" i="29"/>
  <c r="S26" i="29"/>
  <c r="AD26" i="29"/>
  <c r="S27" i="29"/>
  <c r="AD27" i="29"/>
  <c r="S28" i="29"/>
  <c r="AD28" i="29"/>
  <c r="S29" i="29"/>
  <c r="AD29" i="29"/>
  <c r="S30" i="29"/>
  <c r="AD30" i="29"/>
  <c r="T5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7" i="29"/>
  <c r="U4" i="29"/>
  <c r="U6" i="29"/>
  <c r="U7" i="29"/>
  <c r="U8" i="29"/>
  <c r="U9" i="29"/>
  <c r="U10" i="29"/>
  <c r="M25" i="29"/>
  <c r="M26" i="29"/>
  <c r="M27" i="29"/>
  <c r="M28" i="29"/>
  <c r="U28" i="29"/>
  <c r="M29" i="29"/>
  <c r="N25" i="29"/>
  <c r="N26" i="29"/>
  <c r="N27" i="29"/>
  <c r="N28" i="29"/>
  <c r="R4" i="29"/>
  <c r="Q7" i="28"/>
  <c r="Q10" i="28"/>
  <c r="Q13" i="28"/>
  <c r="N15" i="28"/>
  <c r="O18" i="28"/>
  <c r="M20" i="28"/>
  <c r="Q25" i="28"/>
  <c r="Q29" i="28"/>
  <c r="L20" i="28"/>
  <c r="N20" i="28"/>
  <c r="L22" i="28"/>
  <c r="M8" i="28"/>
  <c r="P9" i="28"/>
  <c r="M11" i="28"/>
  <c r="M14" i="28"/>
  <c r="P15" i="28"/>
  <c r="O20" i="28"/>
  <c r="P22" i="28"/>
  <c r="L27" i="28"/>
  <c r="P30" i="28"/>
  <c r="N8" i="28"/>
  <c r="N11" i="28"/>
  <c r="N14" i="28"/>
  <c r="P20" i="28"/>
  <c r="Q22" i="28"/>
  <c r="L23" i="28"/>
  <c r="R26" i="28"/>
  <c r="Q27" i="28"/>
  <c r="L28" i="28"/>
  <c r="O8" i="28"/>
  <c r="O11" i="28"/>
  <c r="O14" i="28"/>
  <c r="P23" i="28"/>
  <c r="P28" i="28"/>
  <c r="P8" i="28"/>
  <c r="P11" i="28"/>
  <c r="P14" i="28"/>
  <c r="Q23" i="28"/>
  <c r="Q28" i="28"/>
  <c r="L29" i="28"/>
  <c r="R23" i="28"/>
  <c r="L25" i="28"/>
  <c r="O29" i="28"/>
  <c r="AD23" i="28"/>
  <c r="AF23" i="28" s="1"/>
  <c r="J23" i="28"/>
  <c r="Z8" i="28"/>
  <c r="Z18" i="28"/>
  <c r="Z9" i="28"/>
  <c r="Z6" i="28"/>
  <c r="Z7" i="28"/>
  <c r="Z17" i="28"/>
  <c r="Z24" i="28"/>
  <c r="Z26" i="28"/>
  <c r="J30" i="28"/>
  <c r="AD30" i="28"/>
  <c r="AF30" i="28" s="1"/>
  <c r="Z5" i="28"/>
  <c r="Z16" i="28"/>
  <c r="Z22" i="28"/>
  <c r="J28" i="28"/>
  <c r="Z4" i="28"/>
  <c r="Z15" i="28"/>
  <c r="Z29" i="28"/>
  <c r="Z10" i="28"/>
  <c r="Z14" i="28"/>
  <c r="Z27" i="28"/>
  <c r="Z12" i="28"/>
  <c r="Z13" i="28"/>
  <c r="Z21" i="28"/>
  <c r="Z25" i="28"/>
  <c r="Z19" i="28"/>
  <c r="Z11" i="28"/>
  <c r="Z20" i="28"/>
  <c r="AI28" i="28"/>
  <c r="AH28" i="28"/>
  <c r="AG28" i="28"/>
  <c r="AF28" i="28"/>
  <c r="AG23" i="28"/>
  <c r="R16" i="28"/>
  <c r="R20" i="28"/>
  <c r="R28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R9" i="28"/>
  <c r="R18" i="28"/>
  <c r="R29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R5" i="28"/>
  <c r="R8" i="28"/>
  <c r="R11" i="28"/>
  <c r="R15" i="28"/>
  <c r="T6" i="28"/>
  <c r="U4" i="28"/>
  <c r="U5" i="28"/>
  <c r="U6" i="28"/>
  <c r="U12" i="28"/>
  <c r="U14" i="28"/>
  <c r="U17" i="28"/>
  <c r="U19" i="28"/>
  <c r="U21" i="28"/>
  <c r="M22" i="28"/>
  <c r="M23" i="28"/>
  <c r="M24" i="28"/>
  <c r="M25" i="28"/>
  <c r="M26" i="28"/>
  <c r="M27" i="28"/>
  <c r="M28" i="28"/>
  <c r="M29" i="28"/>
  <c r="N22" i="28"/>
  <c r="N23" i="28"/>
  <c r="N24" i="28"/>
  <c r="N25" i="28"/>
  <c r="N26" i="28"/>
  <c r="N27" i="28"/>
  <c r="N28" i="28"/>
  <c r="O24" i="28"/>
  <c r="O27" i="28"/>
  <c r="T4" i="28"/>
  <c r="R7" i="27"/>
  <c r="Q8" i="27"/>
  <c r="N30" i="27"/>
  <c r="Q4" i="27"/>
  <c r="T7" i="27"/>
  <c r="R8" i="27"/>
  <c r="Q9" i="27"/>
  <c r="O10" i="27"/>
  <c r="P17" i="27"/>
  <c r="P18" i="27"/>
  <c r="P19" i="27"/>
  <c r="Q20" i="27"/>
  <c r="R4" i="27"/>
  <c r="AD6" i="27"/>
  <c r="U7" i="27"/>
  <c r="T8" i="27"/>
  <c r="P16" i="27"/>
  <c r="Q17" i="27"/>
  <c r="Q18" i="27"/>
  <c r="Q19" i="27"/>
  <c r="R20" i="27"/>
  <c r="P30" i="27"/>
  <c r="L8" i="27"/>
  <c r="U8" i="27"/>
  <c r="T9" i="27"/>
  <c r="Q10" i="27"/>
  <c r="AD12" i="27"/>
  <c r="N13" i="27"/>
  <c r="P15" i="27"/>
  <c r="Q16" i="27"/>
  <c r="R17" i="27"/>
  <c r="R18" i="27"/>
  <c r="R19" i="27"/>
  <c r="T20" i="27"/>
  <c r="R21" i="27"/>
  <c r="R22" i="27"/>
  <c r="Q24" i="27"/>
  <c r="Q25" i="27"/>
  <c r="Q26" i="27"/>
  <c r="Q27" i="27"/>
  <c r="Q28" i="27"/>
  <c r="R29" i="27"/>
  <c r="L4" i="27"/>
  <c r="U4" i="27"/>
  <c r="R5" i="27"/>
  <c r="AD7" i="27"/>
  <c r="M8" i="27"/>
  <c r="L9" i="27"/>
  <c r="U9" i="27"/>
  <c r="O12" i="27"/>
  <c r="R16" i="27"/>
  <c r="U17" i="27"/>
  <c r="U18" i="27"/>
  <c r="U19" i="27"/>
  <c r="L20" i="27"/>
  <c r="U20" i="27"/>
  <c r="T21" i="27"/>
  <c r="T22" i="27"/>
  <c r="R23" i="27"/>
  <c r="R24" i="27"/>
  <c r="R25" i="27"/>
  <c r="R26" i="27"/>
  <c r="R27" i="27"/>
  <c r="R28" i="27"/>
  <c r="T29" i="27"/>
  <c r="M4" i="27"/>
  <c r="N8" i="27"/>
  <c r="AD8" i="27"/>
  <c r="M9" i="27"/>
  <c r="R15" i="27"/>
  <c r="U16" i="27"/>
  <c r="L17" i="27"/>
  <c r="L18" i="27"/>
  <c r="L19" i="27"/>
  <c r="M20" i="27"/>
  <c r="L21" i="27"/>
  <c r="U21" i="27"/>
  <c r="L22" i="27"/>
  <c r="U22" i="27"/>
  <c r="T23" i="27"/>
  <c r="T24" i="27"/>
  <c r="T25" i="27"/>
  <c r="T26" i="27"/>
  <c r="T27" i="27"/>
  <c r="T28" i="27"/>
  <c r="L29" i="27"/>
  <c r="U29" i="27"/>
  <c r="AD4" i="27"/>
  <c r="AH4" i="27" s="1"/>
  <c r="U5" i="27"/>
  <c r="R6" i="27"/>
  <c r="AD9" i="27"/>
  <c r="U10" i="27"/>
  <c r="R11" i="27"/>
  <c r="R14" i="27"/>
  <c r="U15" i="27"/>
  <c r="AD17" i="27"/>
  <c r="AI17" i="27" s="1"/>
  <c r="AD18" i="27"/>
  <c r="AD19" i="27"/>
  <c r="AD20" i="27"/>
  <c r="U23" i="27"/>
  <c r="U24" i="27"/>
  <c r="U25" i="27"/>
  <c r="U26" i="27"/>
  <c r="U27" i="27"/>
  <c r="U28" i="27"/>
  <c r="AD28" i="27"/>
  <c r="J28" i="27"/>
  <c r="J9" i="27"/>
  <c r="J13" i="27"/>
  <c r="J14" i="27"/>
  <c r="J15" i="27"/>
  <c r="J16" i="27"/>
  <c r="J17" i="27"/>
  <c r="J20" i="27"/>
  <c r="J29" i="27"/>
  <c r="J30" i="27"/>
  <c r="AD30" i="27"/>
  <c r="J22" i="27"/>
  <c r="J24" i="27"/>
  <c r="J26" i="27"/>
  <c r="J8" i="27"/>
  <c r="J12" i="27"/>
  <c r="J27" i="27"/>
  <c r="AI24" i="27"/>
  <c r="AH24" i="27"/>
  <c r="AG24" i="27"/>
  <c r="AF24" i="27"/>
  <c r="AI25" i="27"/>
  <c r="AH25" i="27"/>
  <c r="AG25" i="27"/>
  <c r="AF25" i="27"/>
  <c r="AF7" i="27"/>
  <c r="AI7" i="27"/>
  <c r="AH7" i="27"/>
  <c r="AG7" i="27"/>
  <c r="AF11" i="27"/>
  <c r="AI11" i="27"/>
  <c r="AH11" i="27"/>
  <c r="AG11" i="27"/>
  <c r="AI26" i="27"/>
  <c r="AH26" i="27"/>
  <c r="AG26" i="27"/>
  <c r="AF26" i="27"/>
  <c r="AI8" i="27"/>
  <c r="AF8" i="27"/>
  <c r="AH8" i="27"/>
  <c r="AG8" i="27"/>
  <c r="AI12" i="27"/>
  <c r="AH12" i="27"/>
  <c r="AG12" i="27"/>
  <c r="AF12" i="27"/>
  <c r="AI13" i="27"/>
  <c r="AH13" i="27"/>
  <c r="AG13" i="27"/>
  <c r="AF13" i="27"/>
  <c r="AI14" i="27"/>
  <c r="AF14" i="27"/>
  <c r="AH14" i="27"/>
  <c r="AG14" i="27"/>
  <c r="AF15" i="27"/>
  <c r="AI15" i="27"/>
  <c r="AH15" i="27"/>
  <c r="AG15" i="27"/>
  <c r="AI16" i="27"/>
  <c r="AH16" i="27"/>
  <c r="AG16" i="27"/>
  <c r="AF16" i="27"/>
  <c r="AF18" i="27"/>
  <c r="AI18" i="27"/>
  <c r="AH18" i="27"/>
  <c r="AG18" i="27"/>
  <c r="AI19" i="27"/>
  <c r="AF19" i="27"/>
  <c r="AH19" i="27"/>
  <c r="AG19" i="27"/>
  <c r="AI28" i="27"/>
  <c r="AH28" i="27"/>
  <c r="AG28" i="27"/>
  <c r="AF28" i="27"/>
  <c r="AF20" i="27"/>
  <c r="AI20" i="27"/>
  <c r="AH20" i="27"/>
  <c r="AG20" i="27"/>
  <c r="AF29" i="27"/>
  <c r="AI29" i="27"/>
  <c r="AH29" i="27"/>
  <c r="AG29" i="27"/>
  <c r="AI5" i="27"/>
  <c r="AH5" i="27"/>
  <c r="AG5" i="27"/>
  <c r="AF5" i="27"/>
  <c r="AI9" i="27"/>
  <c r="AH9" i="27"/>
  <c r="AG9" i="27"/>
  <c r="AF9" i="27"/>
  <c r="AI21" i="27"/>
  <c r="AH21" i="27"/>
  <c r="AG21" i="27"/>
  <c r="AF21" i="27"/>
  <c r="AI27" i="27"/>
  <c r="AF27" i="27"/>
  <c r="AH27" i="27"/>
  <c r="AG27" i="27"/>
  <c r="AI22" i="27"/>
  <c r="AH22" i="27"/>
  <c r="AG22" i="27"/>
  <c r="AF22" i="27"/>
  <c r="AI6" i="27"/>
  <c r="AH6" i="27"/>
  <c r="AG6" i="27"/>
  <c r="AF6" i="27"/>
  <c r="AI10" i="27"/>
  <c r="AH10" i="27"/>
  <c r="AG10" i="27"/>
  <c r="AF10" i="27"/>
  <c r="AI23" i="27"/>
  <c r="AF23" i="27"/>
  <c r="AH23" i="27"/>
  <c r="AG23" i="27"/>
  <c r="J25" i="27"/>
  <c r="S13" i="27"/>
  <c r="S14" i="27"/>
  <c r="S15" i="27"/>
  <c r="S16" i="27"/>
  <c r="S17" i="27"/>
  <c r="S18" i="27"/>
  <c r="S19" i="27"/>
  <c r="AH30" i="27"/>
  <c r="L6" i="26"/>
  <c r="L23" i="26"/>
  <c r="O28" i="26"/>
  <c r="P6" i="26"/>
  <c r="L9" i="26"/>
  <c r="L15" i="26"/>
  <c r="R20" i="26"/>
  <c r="L21" i="26"/>
  <c r="AD22" i="26"/>
  <c r="P23" i="26"/>
  <c r="AD24" i="26"/>
  <c r="P25" i="26"/>
  <c r="P28" i="26"/>
  <c r="P30" i="26"/>
  <c r="L28" i="26"/>
  <c r="Q6" i="26"/>
  <c r="P9" i="26"/>
  <c r="AD14" i="26"/>
  <c r="P15" i="26"/>
  <c r="AD17" i="26"/>
  <c r="Q18" i="26"/>
  <c r="P21" i="26"/>
  <c r="Q23" i="26"/>
  <c r="Q25" i="26"/>
  <c r="L26" i="26"/>
  <c r="Q28" i="26"/>
  <c r="L7" i="26"/>
  <c r="Q9" i="26"/>
  <c r="Q15" i="26"/>
  <c r="Q21" i="26"/>
  <c r="R23" i="26"/>
  <c r="P26" i="26"/>
  <c r="R28" i="26"/>
  <c r="P7" i="26"/>
  <c r="AD12" i="26"/>
  <c r="AD18" i="26"/>
  <c r="P19" i="26"/>
  <c r="L22" i="26"/>
  <c r="L24" i="26"/>
  <c r="AD25" i="26"/>
  <c r="AI25" i="26" s="1"/>
  <c r="Q26" i="26"/>
  <c r="L27" i="26"/>
  <c r="O29" i="26"/>
  <c r="Q7" i="26"/>
  <c r="AD9" i="26"/>
  <c r="AD15" i="26"/>
  <c r="AD21" i="26"/>
  <c r="P22" i="26"/>
  <c r="AD23" i="26"/>
  <c r="P24" i="26"/>
  <c r="O27" i="26"/>
  <c r="AD28" i="26"/>
  <c r="P29" i="26"/>
  <c r="R7" i="26"/>
  <c r="L8" i="26"/>
  <c r="L11" i="26"/>
  <c r="L14" i="26"/>
  <c r="Q22" i="26"/>
  <c r="Q24" i="26"/>
  <c r="AD26" i="26"/>
  <c r="P27" i="26"/>
  <c r="Q29" i="26"/>
  <c r="J7" i="26"/>
  <c r="J12" i="26"/>
  <c r="Z27" i="26"/>
  <c r="J10" i="26"/>
  <c r="J18" i="26"/>
  <c r="Z29" i="26"/>
  <c r="J8" i="26"/>
  <c r="J16" i="26"/>
  <c r="J21" i="26"/>
  <c r="J26" i="26"/>
  <c r="J28" i="26"/>
  <c r="AI13" i="26"/>
  <c r="AH13" i="26"/>
  <c r="AG13" i="26"/>
  <c r="AF13" i="26"/>
  <c r="AI30" i="26"/>
  <c r="AH30" i="26"/>
  <c r="AI8" i="26"/>
  <c r="AH8" i="26"/>
  <c r="AG8" i="26"/>
  <c r="AF8" i="26"/>
  <c r="AD5" i="26"/>
  <c r="AI7" i="26"/>
  <c r="AH7" i="26"/>
  <c r="AG7" i="26"/>
  <c r="AF7" i="26"/>
  <c r="AI15" i="26"/>
  <c r="AH15" i="26"/>
  <c r="AG15" i="26"/>
  <c r="AF15" i="26"/>
  <c r="AI20" i="26"/>
  <c r="AH20" i="26"/>
  <c r="AG20" i="26"/>
  <c r="AF20" i="26"/>
  <c r="AI10" i="26"/>
  <c r="AH10" i="26"/>
  <c r="AG10" i="26"/>
  <c r="AF10" i="26"/>
  <c r="AI18" i="26"/>
  <c r="AH18" i="26"/>
  <c r="AG18" i="26"/>
  <c r="AF18" i="26"/>
  <c r="AI16" i="26"/>
  <c r="AH16" i="26"/>
  <c r="AG16" i="26"/>
  <c r="AF16" i="26"/>
  <c r="AI23" i="26"/>
  <c r="AH23" i="26"/>
  <c r="AG23" i="26"/>
  <c r="AF23" i="26"/>
  <c r="AI4" i="26"/>
  <c r="AH4" i="26"/>
  <c r="AG4" i="26"/>
  <c r="AF4" i="26"/>
  <c r="AD6" i="26"/>
  <c r="AI11" i="26"/>
  <c r="AH11" i="26"/>
  <c r="AG11" i="26"/>
  <c r="AF11" i="26"/>
  <c r="AI19" i="26"/>
  <c r="AH19" i="26"/>
  <c r="AG19" i="26"/>
  <c r="AF19" i="26"/>
  <c r="U5" i="26"/>
  <c r="T5" i="26"/>
  <c r="S5" i="26"/>
  <c r="AI14" i="26"/>
  <c r="AH14" i="26"/>
  <c r="AG14" i="26"/>
  <c r="AF14" i="26"/>
  <c r="AI26" i="26"/>
  <c r="AH26" i="26"/>
  <c r="AG26" i="26"/>
  <c r="AF26" i="26"/>
  <c r="R5" i="26"/>
  <c r="AI9" i="26"/>
  <c r="AH9" i="26"/>
  <c r="AG9" i="26"/>
  <c r="AF9" i="26"/>
  <c r="AI17" i="26"/>
  <c r="AH17" i="26"/>
  <c r="AG17" i="26"/>
  <c r="AF17" i="26"/>
  <c r="AI21" i="26"/>
  <c r="AH21" i="26"/>
  <c r="AG21" i="26"/>
  <c r="AF21" i="26"/>
  <c r="T4" i="26"/>
  <c r="U4" i="26"/>
  <c r="S4" i="26"/>
  <c r="U6" i="26"/>
  <c r="T6" i="26"/>
  <c r="S6" i="26"/>
  <c r="AI12" i="26"/>
  <c r="AH12" i="26"/>
  <c r="AG12" i="26"/>
  <c r="AF12" i="26"/>
  <c r="AI22" i="26"/>
  <c r="AH22" i="26"/>
  <c r="AG22" i="26"/>
  <c r="AF22" i="26"/>
  <c r="AI24" i="26"/>
  <c r="AH24" i="26"/>
  <c r="AG24" i="26"/>
  <c r="AF24" i="26"/>
  <c r="AI28" i="26"/>
  <c r="AH28" i="26"/>
  <c r="AG28" i="26"/>
  <c r="AF28" i="26"/>
  <c r="R21" i="26"/>
  <c r="R25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R9" i="26"/>
  <c r="R12" i="26"/>
  <c r="T11" i="26"/>
  <c r="M4" i="26"/>
  <c r="M5" i="26"/>
  <c r="M6" i="26"/>
  <c r="M7" i="26"/>
  <c r="U7" i="26"/>
  <c r="M8" i="26"/>
  <c r="U8" i="26"/>
  <c r="M9" i="26"/>
  <c r="U9" i="26"/>
  <c r="M10" i="26"/>
  <c r="U10" i="26"/>
  <c r="M11" i="26"/>
  <c r="U11" i="26"/>
  <c r="M12" i="26"/>
  <c r="M13" i="26"/>
  <c r="U13" i="26"/>
  <c r="M14" i="26"/>
  <c r="U14" i="26"/>
  <c r="M15" i="26"/>
  <c r="U15" i="26"/>
  <c r="M16" i="26"/>
  <c r="U16" i="26"/>
  <c r="M17" i="26"/>
  <c r="U17" i="26"/>
  <c r="M18" i="26"/>
  <c r="U18" i="26"/>
  <c r="M19" i="26"/>
  <c r="U19" i="26"/>
  <c r="M20" i="26"/>
  <c r="M21" i="26"/>
  <c r="M22" i="26"/>
  <c r="M23" i="26"/>
  <c r="M24" i="26"/>
  <c r="M25" i="26"/>
  <c r="M26" i="26"/>
  <c r="U26" i="26"/>
  <c r="M27" i="26"/>
  <c r="M28" i="26"/>
  <c r="M29" i="26"/>
  <c r="R10" i="26"/>
  <c r="T8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AB17" i="25"/>
  <c r="L17" i="25" s="1"/>
  <c r="AB19" i="25"/>
  <c r="L19" i="25" s="1"/>
  <c r="AB25" i="25"/>
  <c r="P25" i="25" s="1"/>
  <c r="AB21" i="25"/>
  <c r="L21" i="25" s="1"/>
  <c r="AB5" i="25"/>
  <c r="AB27" i="25"/>
  <c r="N27" i="25" s="1"/>
  <c r="M30" i="25"/>
  <c r="AB9" i="25"/>
  <c r="O9" i="25" s="1"/>
  <c r="AC8" i="25"/>
  <c r="AB11" i="25"/>
  <c r="N11" i="25" s="1"/>
  <c r="AC25" i="25"/>
  <c r="O30" i="25"/>
  <c r="AB13" i="25"/>
  <c r="X5" i="2"/>
  <c r="X21" i="2"/>
  <c r="X19" i="2"/>
  <c r="X17" i="2"/>
  <c r="X15" i="2"/>
  <c r="X13" i="2"/>
  <c r="X11" i="2"/>
  <c r="X9" i="2"/>
  <c r="X7" i="2"/>
  <c r="W5" i="2"/>
  <c r="X16" i="2"/>
  <c r="X14" i="2"/>
  <c r="X12" i="2"/>
  <c r="X10" i="2"/>
  <c r="X8" i="2"/>
  <c r="V30" i="2"/>
  <c r="U31" i="2"/>
  <c r="S12" i="2"/>
  <c r="S21" i="2"/>
  <c r="U18" i="25"/>
  <c r="S18" i="25"/>
  <c r="R18" i="25"/>
  <c r="T18" i="25"/>
  <c r="AA9" i="25"/>
  <c r="K9" i="25" s="1"/>
  <c r="AA10" i="25"/>
  <c r="K10" i="25" s="1"/>
  <c r="AA21" i="25"/>
  <c r="K21" i="25" s="1"/>
  <c r="AC4" i="25"/>
  <c r="AC27" i="25"/>
  <c r="Q11" i="25"/>
  <c r="P11" i="25"/>
  <c r="M11" i="25"/>
  <c r="O11" i="25"/>
  <c r="O29" i="25"/>
  <c r="Q29" i="25"/>
  <c r="N29" i="25"/>
  <c r="P29" i="25"/>
  <c r="M29" i="25"/>
  <c r="U25" i="25"/>
  <c r="S25" i="25"/>
  <c r="T25" i="25"/>
  <c r="R25" i="25"/>
  <c r="U8" i="25"/>
  <c r="S8" i="25"/>
  <c r="R8" i="25"/>
  <c r="T8" i="25"/>
  <c r="AA13" i="25"/>
  <c r="K13" i="25" s="1"/>
  <c r="AA24" i="25"/>
  <c r="K24" i="25" s="1"/>
  <c r="O13" i="25"/>
  <c r="Q13" i="25"/>
  <c r="N13" i="25"/>
  <c r="P13" i="25"/>
  <c r="M13" i="25"/>
  <c r="AC10" i="25"/>
  <c r="K30" i="25"/>
  <c r="L13" i="25"/>
  <c r="N25" i="25"/>
  <c r="S30" i="25"/>
  <c r="AA4" i="25"/>
  <c r="K4" i="25" s="1"/>
  <c r="AA14" i="25"/>
  <c r="K14" i="25" s="1"/>
  <c r="M17" i="25"/>
  <c r="O17" i="25"/>
  <c r="Q17" i="25"/>
  <c r="AC12" i="25"/>
  <c r="L11" i="25"/>
  <c r="AA29" i="25"/>
  <c r="K29" i="25" s="1"/>
  <c r="AA27" i="25"/>
  <c r="K27" i="25" s="1"/>
  <c r="AA23" i="25"/>
  <c r="K23" i="25" s="1"/>
  <c r="AA19" i="25"/>
  <c r="K19" i="25" s="1"/>
  <c r="AA15" i="25"/>
  <c r="K15" i="25" s="1"/>
  <c r="AA11" i="25"/>
  <c r="K11" i="25" s="1"/>
  <c r="AA7" i="25"/>
  <c r="K7" i="25" s="1"/>
  <c r="Q27" i="25"/>
  <c r="P27" i="25"/>
  <c r="M27" i="25"/>
  <c r="O27" i="25"/>
  <c r="J30" i="25"/>
  <c r="Z25" i="25"/>
  <c r="Z21" i="25"/>
  <c r="Z17" i="25"/>
  <c r="Z13" i="25"/>
  <c r="Z9" i="25"/>
  <c r="Z5" i="25"/>
  <c r="Z28" i="25"/>
  <c r="Z24" i="25"/>
  <c r="Z20" i="25"/>
  <c r="Z16" i="25"/>
  <c r="Z12" i="25"/>
  <c r="Z8" i="25"/>
  <c r="Z4" i="25"/>
  <c r="Z27" i="25"/>
  <c r="Z23" i="25"/>
  <c r="Z19" i="25"/>
  <c r="Z15" i="25"/>
  <c r="Z11" i="25"/>
  <c r="Z7" i="25"/>
  <c r="Z26" i="25"/>
  <c r="Z22" i="25"/>
  <c r="Z18" i="25"/>
  <c r="Z14" i="25"/>
  <c r="Z10" i="25"/>
  <c r="Z6" i="25"/>
  <c r="AD30" i="25"/>
  <c r="AA22" i="25"/>
  <c r="K22" i="25" s="1"/>
  <c r="AA5" i="25"/>
  <c r="K5" i="25" s="1"/>
  <c r="AA16" i="25"/>
  <c r="K16" i="25" s="1"/>
  <c r="AA26" i="25"/>
  <c r="K26" i="25" s="1"/>
  <c r="Q19" i="25"/>
  <c r="P19" i="25"/>
  <c r="M19" i="25"/>
  <c r="O19" i="25"/>
  <c r="AC16" i="25"/>
  <c r="L29" i="25"/>
  <c r="N19" i="25"/>
  <c r="O5" i="25"/>
  <c r="Q5" i="25"/>
  <c r="N5" i="25"/>
  <c r="P5" i="25"/>
  <c r="M5" i="25"/>
  <c r="AA6" i="25"/>
  <c r="K6" i="25" s="1"/>
  <c r="AA17" i="25"/>
  <c r="K17" i="25" s="1"/>
  <c r="AA28" i="25"/>
  <c r="K28" i="25" s="1"/>
  <c r="O21" i="25"/>
  <c r="Q21" i="25"/>
  <c r="N21" i="25"/>
  <c r="P21" i="25"/>
  <c r="M21" i="25"/>
  <c r="L27" i="25"/>
  <c r="L5" i="25"/>
  <c r="N17" i="25"/>
  <c r="AB26" i="25"/>
  <c r="AB18" i="25"/>
  <c r="AB10" i="25"/>
  <c r="L30" i="25"/>
  <c r="AB24" i="25"/>
  <c r="AB16" i="25"/>
  <c r="AB8" i="25"/>
  <c r="Q30" i="25"/>
  <c r="AB23" i="25"/>
  <c r="AB15" i="25"/>
  <c r="AB7" i="25"/>
  <c r="N30" i="25"/>
  <c r="AB22" i="25"/>
  <c r="AB14" i="25"/>
  <c r="AB6" i="25"/>
  <c r="P30" i="25"/>
  <c r="AB28" i="25"/>
  <c r="AB20" i="25"/>
  <c r="AB12" i="25"/>
  <c r="AB4" i="25"/>
  <c r="AA20" i="25"/>
  <c r="K20" i="25" s="1"/>
  <c r="AA12" i="25"/>
  <c r="K12" i="25" s="1"/>
  <c r="AC26" i="25"/>
  <c r="AC17" i="25"/>
  <c r="AC9" i="25"/>
  <c r="R30" i="25"/>
  <c r="T30" i="25"/>
  <c r="AC24" i="25"/>
  <c r="AC15" i="25"/>
  <c r="AC7" i="25"/>
  <c r="AC23" i="25"/>
  <c r="AC22" i="25"/>
  <c r="AC14" i="25"/>
  <c r="AC6" i="25"/>
  <c r="AC29" i="25"/>
  <c r="AC21" i="25"/>
  <c r="AC13" i="25"/>
  <c r="AC5" i="25"/>
  <c r="AC28" i="25"/>
  <c r="AC19" i="25"/>
  <c r="AC11" i="25"/>
  <c r="U30" i="25"/>
  <c r="AA8" i="25"/>
  <c r="K8" i="25" s="1"/>
  <c r="AA18" i="25"/>
  <c r="K18" i="25" s="1"/>
  <c r="Z29" i="25"/>
  <c r="M25" i="25"/>
  <c r="O25" i="25"/>
  <c r="Q25" i="25"/>
  <c r="AC20" i="25"/>
  <c r="L25" i="25"/>
  <c r="P17" i="25"/>
  <c r="AI20" i="37" l="1"/>
  <c r="AF9" i="37"/>
  <c r="AH20" i="37"/>
  <c r="AD29" i="37"/>
  <c r="J29" i="37"/>
  <c r="AF30" i="37"/>
  <c r="AD15" i="37"/>
  <c r="J15" i="37"/>
  <c r="AD24" i="37"/>
  <c r="J24" i="37"/>
  <c r="AD22" i="37"/>
  <c r="J22" i="37"/>
  <c r="AD21" i="37"/>
  <c r="J21" i="37"/>
  <c r="AG30" i="37"/>
  <c r="AD16" i="37"/>
  <c r="J16" i="37"/>
  <c r="AH30" i="37"/>
  <c r="AD26" i="37"/>
  <c r="J26" i="37"/>
  <c r="AD14" i="37"/>
  <c r="J14" i="37"/>
  <c r="AD18" i="37"/>
  <c r="J18" i="37"/>
  <c r="AD27" i="37"/>
  <c r="J27" i="37"/>
  <c r="AD19" i="37"/>
  <c r="J19" i="37"/>
  <c r="AD28" i="36"/>
  <c r="AD9" i="36"/>
  <c r="J16" i="36"/>
  <c r="AD16" i="36"/>
  <c r="AD14" i="36"/>
  <c r="J11" i="36"/>
  <c r="AD11" i="36"/>
  <c r="AD10" i="36"/>
  <c r="J8" i="36"/>
  <c r="AD8" i="36"/>
  <c r="AD21" i="36"/>
  <c r="AH21" i="36" s="1"/>
  <c r="AI23" i="36"/>
  <c r="AH23" i="36"/>
  <c r="AG23" i="36"/>
  <c r="AF23" i="36"/>
  <c r="AI26" i="36"/>
  <c r="AH26" i="36"/>
  <c r="AG26" i="36"/>
  <c r="AF26" i="36"/>
  <c r="AI20" i="36"/>
  <c r="AH20" i="36"/>
  <c r="AG20" i="36"/>
  <c r="AF20" i="36"/>
  <c r="AI12" i="36"/>
  <c r="AH12" i="36"/>
  <c r="AG12" i="36"/>
  <c r="AF12" i="36"/>
  <c r="AI17" i="36"/>
  <c r="AH17" i="36"/>
  <c r="AG17" i="36"/>
  <c r="AF17" i="36"/>
  <c r="AI18" i="36"/>
  <c r="AH18" i="36"/>
  <c r="AG18" i="36"/>
  <c r="AF18" i="36"/>
  <c r="AI15" i="36"/>
  <c r="AH15" i="36"/>
  <c r="AG15" i="36"/>
  <c r="AF15" i="36"/>
  <c r="AI24" i="36"/>
  <c r="AH24" i="36"/>
  <c r="AG24" i="36"/>
  <c r="AF24" i="36"/>
  <c r="AI14" i="36"/>
  <c r="AH14" i="36"/>
  <c r="AG14" i="36"/>
  <c r="AF14" i="36"/>
  <c r="AI5" i="36"/>
  <c r="AH5" i="36"/>
  <c r="AG5" i="36"/>
  <c r="AF5" i="36"/>
  <c r="AI22" i="36"/>
  <c r="AH22" i="36"/>
  <c r="AG22" i="36"/>
  <c r="AF22" i="36"/>
  <c r="AI6" i="36"/>
  <c r="AH6" i="36"/>
  <c r="AG6" i="36"/>
  <c r="AF6" i="36"/>
  <c r="AI7" i="36"/>
  <c r="AH7" i="36"/>
  <c r="AG7" i="36"/>
  <c r="AF7" i="36"/>
  <c r="AI25" i="36"/>
  <c r="AH25" i="36"/>
  <c r="AG25" i="36"/>
  <c r="AF25" i="36"/>
  <c r="AI27" i="36"/>
  <c r="AH27" i="36"/>
  <c r="AG27" i="36"/>
  <c r="AF27" i="36"/>
  <c r="AI9" i="36"/>
  <c r="AH9" i="36"/>
  <c r="AG9" i="36"/>
  <c r="AF9" i="36"/>
  <c r="AI30" i="36"/>
  <c r="AH30" i="36"/>
  <c r="AG30" i="36"/>
  <c r="AF30" i="36"/>
  <c r="AI21" i="36"/>
  <c r="AF21" i="36"/>
  <c r="AI4" i="36"/>
  <c r="AH4" i="36"/>
  <c r="AG4" i="36"/>
  <c r="AF4" i="36"/>
  <c r="S29" i="36"/>
  <c r="AD29" i="36"/>
  <c r="U29" i="36"/>
  <c r="T29" i="36"/>
  <c r="R29" i="36"/>
  <c r="AI13" i="36"/>
  <c r="AH13" i="36"/>
  <c r="AG13" i="36"/>
  <c r="AF13" i="36"/>
  <c r="AI19" i="36"/>
  <c r="AH19" i="36"/>
  <c r="AG19" i="36"/>
  <c r="AF19" i="36"/>
  <c r="AI28" i="36"/>
  <c r="AH28" i="36"/>
  <c r="AG28" i="36"/>
  <c r="AF28" i="36"/>
  <c r="AD25" i="35"/>
  <c r="AD21" i="35"/>
  <c r="AD20" i="35"/>
  <c r="AI26" i="35"/>
  <c r="AH26" i="35"/>
  <c r="AG26" i="35"/>
  <c r="AF26" i="35"/>
  <c r="AI22" i="35"/>
  <c r="AH22" i="35"/>
  <c r="AG22" i="35"/>
  <c r="AF22" i="35"/>
  <c r="AI18" i="35"/>
  <c r="AH18" i="35"/>
  <c r="AG18" i="35"/>
  <c r="AF18" i="35"/>
  <c r="AI13" i="35"/>
  <c r="AH13" i="35"/>
  <c r="AG13" i="35"/>
  <c r="AF13" i="35"/>
  <c r="AI14" i="35"/>
  <c r="AH14" i="35"/>
  <c r="AG14" i="35"/>
  <c r="AF14" i="35"/>
  <c r="AI7" i="35"/>
  <c r="AH7" i="35"/>
  <c r="AG7" i="35"/>
  <c r="AF7" i="35"/>
  <c r="AI9" i="35"/>
  <c r="AH9" i="35"/>
  <c r="AG9" i="35"/>
  <c r="AF9" i="35"/>
  <c r="AI8" i="35"/>
  <c r="AH8" i="35"/>
  <c r="AG8" i="35"/>
  <c r="AF8" i="35"/>
  <c r="R29" i="35"/>
  <c r="U29" i="35"/>
  <c r="T29" i="35"/>
  <c r="AD29" i="35"/>
  <c r="S29" i="35"/>
  <c r="R27" i="35"/>
  <c r="U27" i="35"/>
  <c r="T27" i="35"/>
  <c r="AD27" i="35"/>
  <c r="S27" i="35"/>
  <c r="AI25" i="35"/>
  <c r="AH25" i="35"/>
  <c r="AG25" i="35"/>
  <c r="AF25" i="35"/>
  <c r="AI21" i="35"/>
  <c r="AH21" i="35"/>
  <c r="AG21" i="35"/>
  <c r="AF21" i="35"/>
  <c r="AI17" i="35"/>
  <c r="AH17" i="35"/>
  <c r="AG17" i="35"/>
  <c r="AF17" i="35"/>
  <c r="AI10" i="35"/>
  <c r="AH10" i="35"/>
  <c r="AG10" i="35"/>
  <c r="AF10" i="35"/>
  <c r="AI28" i="35"/>
  <c r="AH28" i="35"/>
  <c r="AG28" i="35"/>
  <c r="AF28" i="35"/>
  <c r="AI24" i="35"/>
  <c r="AH24" i="35"/>
  <c r="AG24" i="35"/>
  <c r="AF24" i="35"/>
  <c r="AI20" i="35"/>
  <c r="AH20" i="35"/>
  <c r="AG20" i="35"/>
  <c r="AF20" i="35"/>
  <c r="AI16" i="35"/>
  <c r="AH16" i="35"/>
  <c r="AG16" i="35"/>
  <c r="AF16" i="35"/>
  <c r="AI11" i="35"/>
  <c r="AH11" i="35"/>
  <c r="AG11" i="35"/>
  <c r="AF11" i="35"/>
  <c r="AI15" i="35"/>
  <c r="AH15" i="35"/>
  <c r="AG15" i="35"/>
  <c r="AF15" i="35"/>
  <c r="AI12" i="35"/>
  <c r="AH12" i="35"/>
  <c r="AG12" i="35"/>
  <c r="AF12" i="35"/>
  <c r="AI4" i="35"/>
  <c r="AH4" i="35"/>
  <c r="AG4" i="35"/>
  <c r="AF4" i="35"/>
  <c r="AI30" i="35"/>
  <c r="AH30" i="35"/>
  <c r="AG30" i="35"/>
  <c r="AF30" i="35"/>
  <c r="AI23" i="35"/>
  <c r="AH23" i="35"/>
  <c r="AG23" i="35"/>
  <c r="AF23" i="35"/>
  <c r="AI19" i="35"/>
  <c r="AH19" i="35"/>
  <c r="AG19" i="35"/>
  <c r="AF19" i="35"/>
  <c r="AI5" i="35"/>
  <c r="AH5" i="35"/>
  <c r="AG5" i="35"/>
  <c r="AF5" i="35"/>
  <c r="AI6" i="35"/>
  <c r="AH6" i="35"/>
  <c r="AG6" i="35"/>
  <c r="AF6" i="35"/>
  <c r="AH19" i="34"/>
  <c r="AG19" i="34"/>
  <c r="AF19" i="34"/>
  <c r="AI19" i="34"/>
  <c r="AH4" i="34"/>
  <c r="AG4" i="34"/>
  <c r="AF4" i="34"/>
  <c r="AI4" i="34"/>
  <c r="AF15" i="34"/>
  <c r="AF7" i="34"/>
  <c r="AG5" i="34"/>
  <c r="AG7" i="34"/>
  <c r="AH5" i="34"/>
  <c r="N29" i="34"/>
  <c r="P29" i="34"/>
  <c r="Q29" i="34"/>
  <c r="O29" i="34"/>
  <c r="M29" i="34"/>
  <c r="L29" i="34"/>
  <c r="AD6" i="34"/>
  <c r="N7" i="34"/>
  <c r="Q7" i="34"/>
  <c r="P7" i="34"/>
  <c r="O7" i="34"/>
  <c r="L7" i="34"/>
  <c r="AI14" i="34"/>
  <c r="N23" i="34"/>
  <c r="Q23" i="34"/>
  <c r="P23" i="34"/>
  <c r="O23" i="34"/>
  <c r="M23" i="34"/>
  <c r="L23" i="34"/>
  <c r="AH15" i="34"/>
  <c r="AH7" i="34"/>
  <c r="AF13" i="34"/>
  <c r="N27" i="34"/>
  <c r="P27" i="34"/>
  <c r="O27" i="34"/>
  <c r="M27" i="34"/>
  <c r="L27" i="34"/>
  <c r="Q27" i="34"/>
  <c r="N19" i="34"/>
  <c r="Q19" i="34"/>
  <c r="P19" i="34"/>
  <c r="O19" i="34"/>
  <c r="M19" i="34"/>
  <c r="L19" i="34"/>
  <c r="AD8" i="34"/>
  <c r="AF14" i="34"/>
  <c r="AF30" i="34"/>
  <c r="AG13" i="34"/>
  <c r="AD18" i="34"/>
  <c r="AG14" i="34"/>
  <c r="AG30" i="34"/>
  <c r="AH13" i="34"/>
  <c r="N25" i="34"/>
  <c r="P25" i="34"/>
  <c r="O25" i="34"/>
  <c r="M25" i="34"/>
  <c r="L25" i="34"/>
  <c r="Q25" i="34"/>
  <c r="AD20" i="34"/>
  <c r="N6" i="34"/>
  <c r="P6" i="34"/>
  <c r="O6" i="34"/>
  <c r="L6" i="34"/>
  <c r="Q6" i="34"/>
  <c r="N4" i="34"/>
  <c r="Q4" i="34"/>
  <c r="P4" i="34"/>
  <c r="O4" i="34"/>
  <c r="L4" i="34"/>
  <c r="AD23" i="34"/>
  <c r="AD9" i="34"/>
  <c r="AD25" i="34"/>
  <c r="J25" i="34"/>
  <c r="AD28" i="34"/>
  <c r="J28" i="34"/>
  <c r="AD24" i="34"/>
  <c r="J24" i="34"/>
  <c r="AD17" i="34"/>
  <c r="J17" i="34"/>
  <c r="AD12" i="34"/>
  <c r="J12" i="34"/>
  <c r="AD26" i="34"/>
  <c r="J26" i="34"/>
  <c r="AD29" i="34"/>
  <c r="J29" i="34"/>
  <c r="AI10" i="33"/>
  <c r="AF4" i="33"/>
  <c r="AG4" i="33"/>
  <c r="AD19" i="33"/>
  <c r="AI28" i="33"/>
  <c r="AH28" i="33"/>
  <c r="AG28" i="33"/>
  <c r="AF28" i="33"/>
  <c r="S25" i="33"/>
  <c r="AD25" i="33"/>
  <c r="U25" i="33"/>
  <c r="T25" i="33"/>
  <c r="R25" i="33"/>
  <c r="AI5" i="33"/>
  <c r="AH5" i="33"/>
  <c r="AG5" i="33"/>
  <c r="AF5" i="33"/>
  <c r="S21" i="33"/>
  <c r="U21" i="33"/>
  <c r="T21" i="33"/>
  <c r="AD21" i="33"/>
  <c r="R21" i="33"/>
  <c r="AI20" i="33"/>
  <c r="AH20" i="33"/>
  <c r="AG20" i="33"/>
  <c r="AF20" i="33"/>
  <c r="S29" i="33"/>
  <c r="AD29" i="33"/>
  <c r="U29" i="33"/>
  <c r="T29" i="33"/>
  <c r="R29" i="33"/>
  <c r="AI23" i="33"/>
  <c r="AH23" i="33"/>
  <c r="AG23" i="33"/>
  <c r="AF23" i="33"/>
  <c r="AI30" i="33"/>
  <c r="AH30" i="33"/>
  <c r="AG30" i="33"/>
  <c r="AF30" i="33"/>
  <c r="AI17" i="33"/>
  <c r="AH17" i="33"/>
  <c r="AG17" i="33"/>
  <c r="AF17" i="33"/>
  <c r="AI7" i="33"/>
  <c r="AH7" i="33"/>
  <c r="AG7" i="33"/>
  <c r="AF7" i="33"/>
  <c r="AI22" i="33"/>
  <c r="AH22" i="33"/>
  <c r="AG22" i="33"/>
  <c r="AF22" i="33"/>
  <c r="AI8" i="33"/>
  <c r="AH8" i="33"/>
  <c r="AG8" i="33"/>
  <c r="AF8" i="33"/>
  <c r="AI26" i="33"/>
  <c r="AH26" i="33"/>
  <c r="AG26" i="33"/>
  <c r="AF26" i="33"/>
  <c r="AI13" i="33"/>
  <c r="AH13" i="33"/>
  <c r="AG13" i="33"/>
  <c r="AF13" i="33"/>
  <c r="AI27" i="33"/>
  <c r="AH27" i="33"/>
  <c r="AG27" i="33"/>
  <c r="AF27" i="33"/>
  <c r="AI19" i="33"/>
  <c r="AH19" i="33"/>
  <c r="AG19" i="33"/>
  <c r="AF19" i="33"/>
  <c r="AI15" i="33"/>
  <c r="AH15" i="33"/>
  <c r="AG15" i="33"/>
  <c r="AF15" i="33"/>
  <c r="AI24" i="33"/>
  <c r="AH24" i="33"/>
  <c r="AG24" i="33"/>
  <c r="AF24" i="33"/>
  <c r="AF15" i="32"/>
  <c r="AG15" i="32"/>
  <c r="AH15" i="32"/>
  <c r="AF5" i="32"/>
  <c r="AG30" i="32"/>
  <c r="AG5" i="32"/>
  <c r="AD28" i="32"/>
  <c r="J28" i="32"/>
  <c r="AD29" i="32"/>
  <c r="J29" i="32"/>
  <c r="AD23" i="32"/>
  <c r="J23" i="32"/>
  <c r="AD22" i="32"/>
  <c r="J22" i="32"/>
  <c r="AD21" i="32"/>
  <c r="J21" i="32"/>
  <c r="AI26" i="32"/>
  <c r="AH26" i="32"/>
  <c r="AG26" i="32"/>
  <c r="AF26" i="32"/>
  <c r="AI25" i="32"/>
  <c r="AH25" i="32"/>
  <c r="AG25" i="32"/>
  <c r="AF25" i="32"/>
  <c r="AI27" i="32"/>
  <c r="AH27" i="32"/>
  <c r="AG27" i="32"/>
  <c r="AF27" i="32"/>
  <c r="R27" i="32"/>
  <c r="U27" i="32"/>
  <c r="T27" i="32"/>
  <c r="S27" i="32"/>
  <c r="R26" i="32"/>
  <c r="U26" i="32"/>
  <c r="T26" i="32"/>
  <c r="S26" i="32"/>
  <c r="U25" i="32"/>
  <c r="R25" i="32"/>
  <c r="T25" i="32"/>
  <c r="S25" i="32"/>
  <c r="AH24" i="31"/>
  <c r="AH25" i="31"/>
  <c r="AD13" i="31"/>
  <c r="J13" i="31"/>
  <c r="AD23" i="31"/>
  <c r="J23" i="31"/>
  <c r="AD7" i="31"/>
  <c r="J7" i="31"/>
  <c r="AD17" i="31"/>
  <c r="J17" i="31"/>
  <c r="AD21" i="31"/>
  <c r="J21" i="31"/>
  <c r="AD10" i="31"/>
  <c r="J10" i="31"/>
  <c r="AD28" i="31"/>
  <c r="J28" i="31"/>
  <c r="AD15" i="31"/>
  <c r="J15" i="31"/>
  <c r="AD22" i="31"/>
  <c r="J22" i="31"/>
  <c r="AD16" i="31"/>
  <c r="J16" i="31"/>
  <c r="AD12" i="31"/>
  <c r="J12" i="31"/>
  <c r="AD9" i="31"/>
  <c r="J9" i="31"/>
  <c r="AD19" i="31"/>
  <c r="J19" i="31"/>
  <c r="AD6" i="31"/>
  <c r="J6" i="31"/>
  <c r="R29" i="31"/>
  <c r="U29" i="31"/>
  <c r="T29" i="31"/>
  <c r="S29" i="31"/>
  <c r="AD29" i="31"/>
  <c r="U26" i="31"/>
  <c r="T26" i="31"/>
  <c r="R26" i="31"/>
  <c r="S26" i="31"/>
  <c r="R27" i="31"/>
  <c r="U27" i="31"/>
  <c r="T27" i="31"/>
  <c r="S27" i="31"/>
  <c r="AD27" i="31"/>
  <c r="AD26" i="31"/>
  <c r="AG18" i="30"/>
  <c r="U29" i="30"/>
  <c r="R29" i="30"/>
  <c r="T29" i="30"/>
  <c r="AH18" i="30"/>
  <c r="AF5" i="30"/>
  <c r="U27" i="30"/>
  <c r="R27" i="30"/>
  <c r="T27" i="30"/>
  <c r="AG5" i="30"/>
  <c r="AH5" i="30"/>
  <c r="AD27" i="30"/>
  <c r="AD29" i="30"/>
  <c r="J29" i="30"/>
  <c r="AD28" i="30"/>
  <c r="J28" i="30"/>
  <c r="AD22" i="30"/>
  <c r="J22" i="30"/>
  <c r="AI27" i="29"/>
  <c r="AH27" i="29"/>
  <c r="AG27" i="29"/>
  <c r="AF27" i="29"/>
  <c r="AI23" i="29"/>
  <c r="AH23" i="29"/>
  <c r="AG23" i="29"/>
  <c r="AF23" i="29"/>
  <c r="AI19" i="29"/>
  <c r="AH19" i="29"/>
  <c r="AG19" i="29"/>
  <c r="AF19" i="29"/>
  <c r="AI30" i="29"/>
  <c r="AH30" i="29"/>
  <c r="AG30" i="29"/>
  <c r="AF30" i="29"/>
  <c r="AI26" i="29"/>
  <c r="AH26" i="29"/>
  <c r="AG26" i="29"/>
  <c r="AF26" i="29"/>
  <c r="AI22" i="29"/>
  <c r="AH22" i="29"/>
  <c r="AG22" i="29"/>
  <c r="AF22" i="29"/>
  <c r="AI18" i="29"/>
  <c r="AH18" i="29"/>
  <c r="AG18" i="29"/>
  <c r="AF18" i="29"/>
  <c r="AI29" i="29"/>
  <c r="AH29" i="29"/>
  <c r="AG29" i="29"/>
  <c r="AF29" i="29"/>
  <c r="AI25" i="29"/>
  <c r="AH25" i="29"/>
  <c r="AG25" i="29"/>
  <c r="AF25" i="29"/>
  <c r="AI21" i="29"/>
  <c r="AH21" i="29"/>
  <c r="AG21" i="29"/>
  <c r="AF21" i="29"/>
  <c r="AI17" i="29"/>
  <c r="AH17" i="29"/>
  <c r="AG17" i="29"/>
  <c r="AF17" i="29"/>
  <c r="AI28" i="29"/>
  <c r="AH28" i="29"/>
  <c r="AG28" i="29"/>
  <c r="AF28" i="29"/>
  <c r="AI24" i="29"/>
  <c r="AH24" i="29"/>
  <c r="AG24" i="29"/>
  <c r="AF24" i="29"/>
  <c r="AI20" i="29"/>
  <c r="AH20" i="29"/>
  <c r="AG20" i="29"/>
  <c r="AF20" i="29"/>
  <c r="AI16" i="29"/>
  <c r="AH16" i="29"/>
  <c r="AG16" i="29"/>
  <c r="AF16" i="29"/>
  <c r="AI23" i="28"/>
  <c r="AH23" i="28"/>
  <c r="AG30" i="28"/>
  <c r="AD7" i="28"/>
  <c r="J7" i="28"/>
  <c r="AI30" i="28"/>
  <c r="AD27" i="28"/>
  <c r="J27" i="28"/>
  <c r="AD16" i="28"/>
  <c r="J16" i="28"/>
  <c r="AD6" i="28"/>
  <c r="J6" i="28"/>
  <c r="AD17" i="28"/>
  <c r="J17" i="28"/>
  <c r="AH30" i="28"/>
  <c r="AD12" i="28"/>
  <c r="J12" i="28"/>
  <c r="AD22" i="28"/>
  <c r="J22" i="28"/>
  <c r="AD20" i="28"/>
  <c r="J20" i="28"/>
  <c r="AD14" i="28"/>
  <c r="J14" i="28"/>
  <c r="AD5" i="28"/>
  <c r="J5" i="28"/>
  <c r="AD9" i="28"/>
  <c r="J9" i="28"/>
  <c r="AD13" i="28"/>
  <c r="J13" i="28"/>
  <c r="AD11" i="28"/>
  <c r="J11" i="28"/>
  <c r="AD10" i="28"/>
  <c r="J10" i="28"/>
  <c r="AD18" i="28"/>
  <c r="J18" i="28"/>
  <c r="AD19" i="28"/>
  <c r="J19" i="28"/>
  <c r="AD29" i="28"/>
  <c r="J29" i="28"/>
  <c r="AD8" i="28"/>
  <c r="J8" i="28"/>
  <c r="AD25" i="28"/>
  <c r="J25" i="28"/>
  <c r="AD15" i="28"/>
  <c r="J15" i="28"/>
  <c r="AD26" i="28"/>
  <c r="J26" i="28"/>
  <c r="AD21" i="28"/>
  <c r="J21" i="28"/>
  <c r="AD4" i="28"/>
  <c r="J4" i="28"/>
  <c r="AD24" i="28"/>
  <c r="J24" i="28"/>
  <c r="AF17" i="27"/>
  <c r="AG17" i="27"/>
  <c r="AH17" i="27"/>
  <c r="AI4" i="27"/>
  <c r="AF4" i="27"/>
  <c r="AG4" i="27"/>
  <c r="AI30" i="27"/>
  <c r="AG30" i="27"/>
  <c r="AF30" i="27"/>
  <c r="AF25" i="26"/>
  <c r="AG25" i="26"/>
  <c r="AH25" i="26"/>
  <c r="AD29" i="26"/>
  <c r="J29" i="26"/>
  <c r="AD27" i="26"/>
  <c r="J27" i="26"/>
  <c r="AI5" i="26"/>
  <c r="AH5" i="26"/>
  <c r="AG5" i="26"/>
  <c r="AF5" i="26"/>
  <c r="AI6" i="26"/>
  <c r="AH6" i="26"/>
  <c r="AG6" i="26"/>
  <c r="AF6" i="26"/>
  <c r="P9" i="25"/>
  <c r="N9" i="25"/>
  <c r="M9" i="25"/>
  <c r="L9" i="25"/>
  <c r="Q9" i="25"/>
  <c r="U24" i="25"/>
  <c r="S24" i="25"/>
  <c r="R24" i="25"/>
  <c r="T24" i="25"/>
  <c r="AD11" i="25"/>
  <c r="J11" i="25"/>
  <c r="R29" i="25"/>
  <c r="T29" i="25"/>
  <c r="U29" i="25"/>
  <c r="S29" i="25"/>
  <c r="L12" i="25"/>
  <c r="Q12" i="25"/>
  <c r="N12" i="25"/>
  <c r="P12" i="25"/>
  <c r="M12" i="25"/>
  <c r="O12" i="25"/>
  <c r="M7" i="25"/>
  <c r="O7" i="25"/>
  <c r="L7" i="25"/>
  <c r="Q7" i="25"/>
  <c r="P7" i="25"/>
  <c r="N7" i="25"/>
  <c r="N10" i="25"/>
  <c r="P10" i="25"/>
  <c r="M10" i="25"/>
  <c r="L10" i="25"/>
  <c r="Q10" i="25"/>
  <c r="O10" i="25"/>
  <c r="J6" i="25"/>
  <c r="AD6" i="25"/>
  <c r="AD15" i="25"/>
  <c r="J15" i="25"/>
  <c r="AD20" i="25"/>
  <c r="J20" i="25"/>
  <c r="J25" i="25"/>
  <c r="AD25" i="25"/>
  <c r="U10" i="25"/>
  <c r="S10" i="25"/>
  <c r="R10" i="25"/>
  <c r="T10" i="25"/>
  <c r="J16" i="25"/>
  <c r="AD16" i="25"/>
  <c r="R6" i="25"/>
  <c r="T6" i="25"/>
  <c r="U6" i="25"/>
  <c r="S6" i="25"/>
  <c r="L20" i="25"/>
  <c r="N20" i="25"/>
  <c r="P20" i="25"/>
  <c r="O20" i="25"/>
  <c r="Q20" i="25"/>
  <c r="M20" i="25"/>
  <c r="M15" i="25"/>
  <c r="O15" i="25"/>
  <c r="L15" i="25"/>
  <c r="Q15" i="25"/>
  <c r="N15" i="25"/>
  <c r="P15" i="25"/>
  <c r="N18" i="25"/>
  <c r="P18" i="25"/>
  <c r="M18" i="25"/>
  <c r="O18" i="25"/>
  <c r="L18" i="25"/>
  <c r="Q18" i="25"/>
  <c r="J10" i="25"/>
  <c r="AD10" i="25"/>
  <c r="AD19" i="25"/>
  <c r="J19" i="25"/>
  <c r="J24" i="25"/>
  <c r="AD24" i="25"/>
  <c r="T20" i="25"/>
  <c r="U20" i="25"/>
  <c r="S20" i="25"/>
  <c r="R20" i="25"/>
  <c r="U11" i="25"/>
  <c r="S11" i="25"/>
  <c r="R11" i="25"/>
  <c r="T11" i="25"/>
  <c r="R14" i="25"/>
  <c r="T14" i="25"/>
  <c r="U14" i="25"/>
  <c r="S14" i="25"/>
  <c r="U9" i="25"/>
  <c r="S9" i="25"/>
  <c r="R9" i="25"/>
  <c r="T9" i="25"/>
  <c r="L28" i="25"/>
  <c r="N28" i="25"/>
  <c r="P28" i="25"/>
  <c r="O28" i="25"/>
  <c r="M28" i="25"/>
  <c r="Q28" i="25"/>
  <c r="M23" i="25"/>
  <c r="O23" i="25"/>
  <c r="L23" i="25"/>
  <c r="Q23" i="25"/>
  <c r="P23" i="25"/>
  <c r="N23" i="25"/>
  <c r="N26" i="25"/>
  <c r="P26" i="25"/>
  <c r="M26" i="25"/>
  <c r="L26" i="25"/>
  <c r="O26" i="25"/>
  <c r="Q26" i="25"/>
  <c r="J14" i="25"/>
  <c r="AD14" i="25"/>
  <c r="J23" i="25"/>
  <c r="AD23" i="25"/>
  <c r="AD28" i="25"/>
  <c r="J28" i="25"/>
  <c r="AF30" i="25"/>
  <c r="AI30" i="25"/>
  <c r="AH30" i="25"/>
  <c r="AG30" i="25"/>
  <c r="U19" i="25"/>
  <c r="S19" i="25"/>
  <c r="R19" i="25"/>
  <c r="T19" i="25"/>
  <c r="R22" i="25"/>
  <c r="T22" i="25"/>
  <c r="U22" i="25"/>
  <c r="S22" i="25"/>
  <c r="U17" i="25"/>
  <c r="S17" i="25"/>
  <c r="R17" i="25"/>
  <c r="T17" i="25"/>
  <c r="J18" i="25"/>
  <c r="AD18" i="25"/>
  <c r="AD27" i="25"/>
  <c r="J27" i="25"/>
  <c r="AD5" i="25"/>
  <c r="J5" i="25"/>
  <c r="U27" i="25"/>
  <c r="S27" i="25"/>
  <c r="R27" i="25"/>
  <c r="T27" i="25"/>
  <c r="T28" i="25"/>
  <c r="U28" i="25"/>
  <c r="S28" i="25"/>
  <c r="R28" i="25"/>
  <c r="U23" i="25"/>
  <c r="S23" i="25"/>
  <c r="R23" i="25"/>
  <c r="T23" i="25"/>
  <c r="U26" i="25"/>
  <c r="S26" i="25"/>
  <c r="R26" i="25"/>
  <c r="T26" i="25"/>
  <c r="L6" i="25"/>
  <c r="Q6" i="25"/>
  <c r="N6" i="25"/>
  <c r="P6" i="25"/>
  <c r="M6" i="25"/>
  <c r="O6" i="25"/>
  <c r="P8" i="25"/>
  <c r="O8" i="25"/>
  <c r="L8" i="25"/>
  <c r="Q8" i="25"/>
  <c r="N8" i="25"/>
  <c r="M8" i="25"/>
  <c r="J22" i="25"/>
  <c r="AD22" i="25"/>
  <c r="AD4" i="25"/>
  <c r="J4" i="25"/>
  <c r="J9" i="25"/>
  <c r="AD9" i="25"/>
  <c r="U4" i="25"/>
  <c r="R4" i="25"/>
  <c r="S4" i="25"/>
  <c r="T4" i="25"/>
  <c r="R21" i="25"/>
  <c r="T21" i="25"/>
  <c r="U21" i="25"/>
  <c r="S21" i="25"/>
  <c r="J21" i="25"/>
  <c r="AD21" i="25"/>
  <c r="U7" i="25"/>
  <c r="S7" i="25"/>
  <c r="R7" i="25"/>
  <c r="T7" i="25"/>
  <c r="L14" i="25"/>
  <c r="Q14" i="25"/>
  <c r="N14" i="25"/>
  <c r="P14" i="25"/>
  <c r="M14" i="25"/>
  <c r="O14" i="25"/>
  <c r="P16" i="25"/>
  <c r="O16" i="25"/>
  <c r="Q16" i="25"/>
  <c r="L16" i="25"/>
  <c r="N16" i="25"/>
  <c r="M16" i="25"/>
  <c r="J26" i="25"/>
  <c r="AD26" i="25"/>
  <c r="J8" i="25"/>
  <c r="AD8" i="25"/>
  <c r="J13" i="25"/>
  <c r="AD13" i="25"/>
  <c r="M4" i="25"/>
  <c r="O4" i="25"/>
  <c r="L4" i="25"/>
  <c r="Q4" i="25"/>
  <c r="P4" i="25"/>
  <c r="N4" i="25"/>
  <c r="R5" i="25"/>
  <c r="T5" i="25"/>
  <c r="U5" i="25"/>
  <c r="S5" i="25"/>
  <c r="AD29" i="25"/>
  <c r="J29" i="25"/>
  <c r="R13" i="25"/>
  <c r="T13" i="25"/>
  <c r="U13" i="25"/>
  <c r="S13" i="25"/>
  <c r="U15" i="25"/>
  <c r="S15" i="25"/>
  <c r="R15" i="25"/>
  <c r="T15" i="25"/>
  <c r="L22" i="25"/>
  <c r="Q22" i="25"/>
  <c r="N22" i="25"/>
  <c r="P22" i="25"/>
  <c r="O22" i="25"/>
  <c r="M22" i="25"/>
  <c r="P24" i="25"/>
  <c r="O24" i="25"/>
  <c r="L24" i="25"/>
  <c r="Q24" i="25"/>
  <c r="N24" i="25"/>
  <c r="M24" i="25"/>
  <c r="U16" i="25"/>
  <c r="S16" i="25"/>
  <c r="R16" i="25"/>
  <c r="T16" i="25"/>
  <c r="AD7" i="25"/>
  <c r="J7" i="25"/>
  <c r="AD12" i="25"/>
  <c r="J12" i="25"/>
  <c r="J17" i="25"/>
  <c r="AD17" i="25"/>
  <c r="T12" i="25"/>
  <c r="S12" i="25"/>
  <c r="U12" i="25"/>
  <c r="R12" i="25"/>
  <c r="AG22" i="37" l="1"/>
  <c r="AI22" i="37"/>
  <c r="AF22" i="37"/>
  <c r="AH22" i="37"/>
  <c r="AI26" i="37"/>
  <c r="AH26" i="37"/>
  <c r="AG26" i="37"/>
  <c r="AF26" i="37"/>
  <c r="AI27" i="37"/>
  <c r="AH27" i="37"/>
  <c r="AG27" i="37"/>
  <c r="AF27" i="37"/>
  <c r="AG24" i="37"/>
  <c r="AI24" i="37"/>
  <c r="AF24" i="37"/>
  <c r="AH24" i="37"/>
  <c r="AI16" i="37"/>
  <c r="AH16" i="37"/>
  <c r="AG16" i="37"/>
  <c r="AF16" i="37"/>
  <c r="AG19" i="37"/>
  <c r="AI19" i="37"/>
  <c r="AF19" i="37"/>
  <c r="AH19" i="37"/>
  <c r="AG18" i="37"/>
  <c r="AF18" i="37"/>
  <c r="AH18" i="37"/>
  <c r="AI18" i="37"/>
  <c r="AI15" i="37"/>
  <c r="AH15" i="37"/>
  <c r="AG15" i="37"/>
  <c r="AF15" i="37"/>
  <c r="AI14" i="37"/>
  <c r="AH14" i="37"/>
  <c r="AG14" i="37"/>
  <c r="AF14" i="37"/>
  <c r="AI21" i="37"/>
  <c r="AH21" i="37"/>
  <c r="AG21" i="37"/>
  <c r="AF21" i="37"/>
  <c r="AG29" i="37"/>
  <c r="AI29" i="37"/>
  <c r="AF29" i="37"/>
  <c r="AH29" i="37"/>
  <c r="AG21" i="36"/>
  <c r="AF10" i="36"/>
  <c r="AI10" i="36"/>
  <c r="AG10" i="36"/>
  <c r="AH10" i="36"/>
  <c r="AG11" i="36"/>
  <c r="AF11" i="36"/>
  <c r="AH11" i="36"/>
  <c r="AI11" i="36"/>
  <c r="AF16" i="36"/>
  <c r="AI16" i="36"/>
  <c r="AH16" i="36"/>
  <c r="AG16" i="36"/>
  <c r="AF8" i="36"/>
  <c r="AI8" i="36"/>
  <c r="AH8" i="36"/>
  <c r="AG8" i="36"/>
  <c r="AI29" i="36"/>
  <c r="AH29" i="36"/>
  <c r="AG29" i="36"/>
  <c r="AF29" i="36"/>
  <c r="AI29" i="35"/>
  <c r="AH29" i="35"/>
  <c r="AG29" i="35"/>
  <c r="AF29" i="35"/>
  <c r="AI27" i="35"/>
  <c r="AH27" i="35"/>
  <c r="AG27" i="35"/>
  <c r="AF27" i="35"/>
  <c r="AI20" i="34"/>
  <c r="AH20" i="34"/>
  <c r="AG20" i="34"/>
  <c r="AF20" i="34"/>
  <c r="AI8" i="34"/>
  <c r="AH8" i="34"/>
  <c r="AG8" i="34"/>
  <c r="AF8" i="34"/>
  <c r="AI18" i="34"/>
  <c r="AH18" i="34"/>
  <c r="AG18" i="34"/>
  <c r="AF18" i="34"/>
  <c r="AH6" i="34"/>
  <c r="AG6" i="34"/>
  <c r="AF6" i="34"/>
  <c r="AI6" i="34"/>
  <c r="AI9" i="34"/>
  <c r="AH9" i="34"/>
  <c r="AG9" i="34"/>
  <c r="AF9" i="34"/>
  <c r="AI23" i="34"/>
  <c r="AH23" i="34"/>
  <c r="AG23" i="34"/>
  <c r="AF23" i="34"/>
  <c r="AI17" i="34"/>
  <c r="AH17" i="34"/>
  <c r="AG17" i="34"/>
  <c r="AF17" i="34"/>
  <c r="AI29" i="34"/>
  <c r="AH29" i="34"/>
  <c r="AG29" i="34"/>
  <c r="AF29" i="34"/>
  <c r="AI24" i="34"/>
  <c r="AH24" i="34"/>
  <c r="AG24" i="34"/>
  <c r="AF24" i="34"/>
  <c r="AG26" i="34"/>
  <c r="AF26" i="34"/>
  <c r="AH26" i="34"/>
  <c r="AI26" i="34"/>
  <c r="AG28" i="34"/>
  <c r="AF28" i="34"/>
  <c r="AH28" i="34"/>
  <c r="AI28" i="34"/>
  <c r="AG12" i="34"/>
  <c r="AF12" i="34"/>
  <c r="AH12" i="34"/>
  <c r="AI12" i="34"/>
  <c r="AG25" i="34"/>
  <c r="AH25" i="34"/>
  <c r="AF25" i="34"/>
  <c r="AI25" i="34"/>
  <c r="AI25" i="33"/>
  <c r="AH25" i="33"/>
  <c r="AG25" i="33"/>
  <c r="AF25" i="33"/>
  <c r="AI29" i="33"/>
  <c r="AH29" i="33"/>
  <c r="AG29" i="33"/>
  <c r="AF29" i="33"/>
  <c r="AI21" i="33"/>
  <c r="AH21" i="33"/>
  <c r="AG21" i="33"/>
  <c r="AF21" i="33"/>
  <c r="AI22" i="32"/>
  <c r="AH22" i="32"/>
  <c r="AG22" i="32"/>
  <c r="AF22" i="32"/>
  <c r="AI23" i="32"/>
  <c r="AH23" i="32"/>
  <c r="AG23" i="32"/>
  <c r="AF23" i="32"/>
  <c r="AI29" i="32"/>
  <c r="AH29" i="32"/>
  <c r="AG29" i="32"/>
  <c r="AF29" i="32"/>
  <c r="AF21" i="32"/>
  <c r="AI21" i="32"/>
  <c r="AH21" i="32"/>
  <c r="AG21" i="32"/>
  <c r="AI28" i="32"/>
  <c r="AH28" i="32"/>
  <c r="AG28" i="32"/>
  <c r="AF28" i="32"/>
  <c r="AG9" i="31"/>
  <c r="AH9" i="31"/>
  <c r="AF9" i="31"/>
  <c r="AI9" i="31"/>
  <c r="AI15" i="31"/>
  <c r="AH15" i="31"/>
  <c r="AG15" i="31"/>
  <c r="AF15" i="31"/>
  <c r="AG17" i="31"/>
  <c r="AF17" i="31"/>
  <c r="AH17" i="31"/>
  <c r="AI17" i="31"/>
  <c r="AG12" i="31"/>
  <c r="AF12" i="31"/>
  <c r="AH12" i="31"/>
  <c r="AI12" i="31"/>
  <c r="AI28" i="31"/>
  <c r="AH28" i="31"/>
  <c r="AG28" i="31"/>
  <c r="AF28" i="31"/>
  <c r="AI7" i="31"/>
  <c r="AH7" i="31"/>
  <c r="AG7" i="31"/>
  <c r="AF7" i="31"/>
  <c r="AI6" i="31"/>
  <c r="AH6" i="31"/>
  <c r="AG6" i="31"/>
  <c r="AF6" i="31"/>
  <c r="AI16" i="31"/>
  <c r="AH16" i="31"/>
  <c r="AG16" i="31"/>
  <c r="AF16" i="31"/>
  <c r="AI10" i="31"/>
  <c r="AH10" i="31"/>
  <c r="AG10" i="31"/>
  <c r="AF10" i="31"/>
  <c r="AI23" i="31"/>
  <c r="AH23" i="31"/>
  <c r="AG23" i="31"/>
  <c r="AF23" i="31"/>
  <c r="AI19" i="31"/>
  <c r="AH19" i="31"/>
  <c r="AG19" i="31"/>
  <c r="AF19" i="31"/>
  <c r="AG22" i="31"/>
  <c r="AF22" i="31"/>
  <c r="AH22" i="31"/>
  <c r="AI22" i="31"/>
  <c r="AG21" i="31"/>
  <c r="AF21" i="31"/>
  <c r="AH21" i="31"/>
  <c r="AI21" i="31"/>
  <c r="AG13" i="31"/>
  <c r="AF13" i="31"/>
  <c r="AH13" i="31"/>
  <c r="AI13" i="31"/>
  <c r="AI26" i="31"/>
  <c r="AH26" i="31"/>
  <c r="AG26" i="31"/>
  <c r="AF26" i="31"/>
  <c r="AI27" i="31"/>
  <c r="AH27" i="31"/>
  <c r="AG27" i="31"/>
  <c r="AF27" i="31"/>
  <c r="AI29" i="31"/>
  <c r="AH29" i="31"/>
  <c r="AG29" i="31"/>
  <c r="AF29" i="31"/>
  <c r="AI27" i="30"/>
  <c r="AH27" i="30"/>
  <c r="AG27" i="30"/>
  <c r="AF27" i="30"/>
  <c r="AF22" i="30"/>
  <c r="AG22" i="30"/>
  <c r="AI22" i="30"/>
  <c r="AH22" i="30"/>
  <c r="AF28" i="30"/>
  <c r="AI28" i="30"/>
  <c r="AG28" i="30"/>
  <c r="AH28" i="30"/>
  <c r="AI29" i="30"/>
  <c r="AH29" i="30"/>
  <c r="AG29" i="30"/>
  <c r="AF29" i="30"/>
  <c r="AI6" i="28"/>
  <c r="AH6" i="28"/>
  <c r="AG6" i="28"/>
  <c r="AF6" i="28"/>
  <c r="AF4" i="28"/>
  <c r="AG4" i="28"/>
  <c r="AI4" i="28"/>
  <c r="AH4" i="28"/>
  <c r="AI25" i="28"/>
  <c r="AG25" i="28"/>
  <c r="AH25" i="28"/>
  <c r="AF25" i="28"/>
  <c r="AF18" i="28"/>
  <c r="AG18" i="28"/>
  <c r="AH18" i="28"/>
  <c r="AI18" i="28"/>
  <c r="AI9" i="28"/>
  <c r="AG9" i="28"/>
  <c r="AH9" i="28"/>
  <c r="AF9" i="28"/>
  <c r="AF22" i="28"/>
  <c r="AH22" i="28"/>
  <c r="AG22" i="28"/>
  <c r="AI22" i="28"/>
  <c r="AI16" i="28"/>
  <c r="AH16" i="28"/>
  <c r="AG16" i="28"/>
  <c r="AF16" i="28"/>
  <c r="AF21" i="28"/>
  <c r="AG21" i="28"/>
  <c r="AI21" i="28"/>
  <c r="AH21" i="28"/>
  <c r="AI8" i="28"/>
  <c r="AH8" i="28"/>
  <c r="AG8" i="28"/>
  <c r="AF8" i="28"/>
  <c r="AF10" i="28"/>
  <c r="AG10" i="28"/>
  <c r="AH10" i="28"/>
  <c r="AI10" i="28"/>
  <c r="AF5" i="28"/>
  <c r="AI5" i="28"/>
  <c r="AH5" i="28"/>
  <c r="AG5" i="28"/>
  <c r="AF12" i="28"/>
  <c r="AH12" i="28"/>
  <c r="AG12" i="28"/>
  <c r="AI12" i="28"/>
  <c r="AF27" i="28"/>
  <c r="AI27" i="28"/>
  <c r="AH27" i="28"/>
  <c r="AG27" i="28"/>
  <c r="AI26" i="28"/>
  <c r="AH26" i="28"/>
  <c r="AG26" i="28"/>
  <c r="AF26" i="28"/>
  <c r="AF29" i="28"/>
  <c r="AG29" i="28"/>
  <c r="AH29" i="28"/>
  <c r="AI29" i="28"/>
  <c r="AF11" i="28"/>
  <c r="AG11" i="28"/>
  <c r="AH11" i="28"/>
  <c r="AI11" i="28"/>
  <c r="AI14" i="28"/>
  <c r="AH14" i="28"/>
  <c r="AG14" i="28"/>
  <c r="AF14" i="28"/>
  <c r="AI17" i="28"/>
  <c r="AH17" i="28"/>
  <c r="AG17" i="28"/>
  <c r="AF17" i="28"/>
  <c r="AF24" i="28"/>
  <c r="AH24" i="28"/>
  <c r="AG24" i="28"/>
  <c r="AI24" i="28"/>
  <c r="AI15" i="28"/>
  <c r="AG15" i="28"/>
  <c r="AH15" i="28"/>
  <c r="AF15" i="28"/>
  <c r="AI19" i="28"/>
  <c r="AG19" i="28"/>
  <c r="AH19" i="28"/>
  <c r="AF19" i="28"/>
  <c r="AI13" i="28"/>
  <c r="AH13" i="28"/>
  <c r="AG13" i="28"/>
  <c r="AF13" i="28"/>
  <c r="AI20" i="28"/>
  <c r="AH20" i="28"/>
  <c r="AG20" i="28"/>
  <c r="AF20" i="28"/>
  <c r="AF7" i="28"/>
  <c r="AI7" i="28"/>
  <c r="AH7" i="28"/>
  <c r="AG7" i="28"/>
  <c r="AI27" i="26"/>
  <c r="AH27" i="26"/>
  <c r="AG27" i="26"/>
  <c r="AF27" i="26"/>
  <c r="AI29" i="26"/>
  <c r="AH29" i="26"/>
  <c r="AG29" i="26"/>
  <c r="AF29" i="26"/>
  <c r="AH15" i="25"/>
  <c r="AF15" i="25"/>
  <c r="AG15" i="25"/>
  <c r="AI15" i="25"/>
  <c r="AH13" i="25"/>
  <c r="AF13" i="25"/>
  <c r="AG13" i="25"/>
  <c r="AI13" i="25"/>
  <c r="AH9" i="25"/>
  <c r="AF9" i="25"/>
  <c r="AI9" i="25"/>
  <c r="AG9" i="25"/>
  <c r="AF24" i="25"/>
  <c r="AG24" i="25"/>
  <c r="AH24" i="25"/>
  <c r="AI24" i="25"/>
  <c r="AF6" i="25"/>
  <c r="AG6" i="25"/>
  <c r="AH6" i="25"/>
  <c r="AI6" i="25"/>
  <c r="AF12" i="25"/>
  <c r="AG12" i="25"/>
  <c r="AH12" i="25"/>
  <c r="AI12" i="25"/>
  <c r="AF28" i="25"/>
  <c r="AG28" i="25"/>
  <c r="AH28" i="25"/>
  <c r="AI28" i="25"/>
  <c r="AH11" i="25"/>
  <c r="AF11" i="25"/>
  <c r="AG11" i="25"/>
  <c r="AI11" i="25"/>
  <c r="AF8" i="25"/>
  <c r="AG8" i="25"/>
  <c r="AH8" i="25"/>
  <c r="AI8" i="25"/>
  <c r="AH23" i="25"/>
  <c r="AF23" i="25"/>
  <c r="AG23" i="25"/>
  <c r="AI23" i="25"/>
  <c r="AH25" i="25"/>
  <c r="AF25" i="25"/>
  <c r="AI25" i="25"/>
  <c r="AG25" i="25"/>
  <c r="AH21" i="25"/>
  <c r="AF21" i="25"/>
  <c r="AG21" i="25"/>
  <c r="AI21" i="25"/>
  <c r="AH7" i="25"/>
  <c r="AF7" i="25"/>
  <c r="AG7" i="25"/>
  <c r="AI7" i="25"/>
  <c r="AF4" i="25"/>
  <c r="AG4" i="25"/>
  <c r="AH4" i="25"/>
  <c r="AI4" i="25"/>
  <c r="AH5" i="25"/>
  <c r="AF5" i="25"/>
  <c r="AG5" i="25"/>
  <c r="AI5" i="25"/>
  <c r="AH19" i="25"/>
  <c r="AF19" i="25"/>
  <c r="AG19" i="25"/>
  <c r="AI19" i="25"/>
  <c r="AH17" i="25"/>
  <c r="AF17" i="25"/>
  <c r="AG17" i="25"/>
  <c r="AI17" i="25"/>
  <c r="AF18" i="25"/>
  <c r="AG18" i="25"/>
  <c r="AH18" i="25"/>
  <c r="AI18" i="25"/>
  <c r="AF26" i="25"/>
  <c r="AG26" i="25"/>
  <c r="AH26" i="25"/>
  <c r="AI26" i="25"/>
  <c r="AF22" i="25"/>
  <c r="AG22" i="25"/>
  <c r="AH22" i="25"/>
  <c r="AI22" i="25"/>
  <c r="AF14" i="25"/>
  <c r="AG14" i="25"/>
  <c r="AH14" i="25"/>
  <c r="AI14" i="25"/>
  <c r="AF10" i="25"/>
  <c r="AG10" i="25"/>
  <c r="AH10" i="25"/>
  <c r="AI10" i="25"/>
  <c r="AF16" i="25"/>
  <c r="AG16" i="25"/>
  <c r="AH16" i="25"/>
  <c r="AI16" i="25"/>
  <c r="AH29" i="25"/>
  <c r="AF29" i="25"/>
  <c r="AG29" i="25"/>
  <c r="AI29" i="25"/>
  <c r="AH27" i="25"/>
  <c r="AF27" i="25"/>
  <c r="AG27" i="25"/>
  <c r="AI27" i="25"/>
  <c r="AF20" i="25"/>
  <c r="AG20" i="25"/>
  <c r="AH20" i="25"/>
  <c r="AI20" i="25"/>
  <c r="I314" i="18" l="1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13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285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57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29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01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173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45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17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89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61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33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5" i="18"/>
  <c r="B339" i="18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424" i="23"/>
  <c r="D11425" i="23"/>
  <c r="D11426" i="23"/>
  <c r="D11427" i="23"/>
  <c r="D11428" i="23"/>
  <c r="D11429" i="23"/>
  <c r="D11430" i="23"/>
  <c r="D11431" i="23"/>
  <c r="D11432" i="23"/>
  <c r="D11433" i="23"/>
  <c r="D11434" i="23"/>
  <c r="D11435" i="23"/>
  <c r="D11436" i="23"/>
  <c r="D11437" i="23"/>
  <c r="D11438" i="23"/>
  <c r="D11439" i="23"/>
  <c r="D11440" i="23"/>
  <c r="D11441" i="23"/>
  <c r="D11442" i="23"/>
  <c r="D11443" i="23"/>
  <c r="D11444" i="23"/>
  <c r="D11445" i="23"/>
  <c r="D11446" i="23"/>
  <c r="D11447" i="23"/>
  <c r="D11448" i="23"/>
  <c r="D11449" i="23"/>
  <c r="D11450" i="23"/>
  <c r="D11451" i="23"/>
  <c r="D11452" i="23"/>
  <c r="D11453" i="23"/>
  <c r="D11454" i="23"/>
  <c r="D11455" i="23"/>
  <c r="D11456" i="23"/>
  <c r="D11457" i="23"/>
  <c r="D11458" i="23"/>
  <c r="D11459" i="23"/>
  <c r="D11460" i="23"/>
  <c r="D11461" i="23"/>
  <c r="D11462" i="23"/>
  <c r="D11463" i="23"/>
  <c r="D11464" i="23"/>
  <c r="D11465" i="23"/>
  <c r="D11466" i="23"/>
  <c r="D11467" i="23"/>
  <c r="D11468" i="23"/>
  <c r="D11469" i="23"/>
  <c r="D11470" i="23"/>
  <c r="D11471" i="23"/>
  <c r="D11472" i="23"/>
  <c r="D11473" i="23"/>
  <c r="D11474" i="23"/>
  <c r="D11475" i="23"/>
  <c r="D11476" i="23"/>
  <c r="D11477" i="23"/>
  <c r="D11478" i="23"/>
  <c r="D11479" i="23"/>
  <c r="D11480" i="23"/>
  <c r="D11481" i="23"/>
  <c r="D11482" i="23"/>
  <c r="D11483" i="23"/>
  <c r="D11484" i="23"/>
  <c r="D11485" i="23"/>
  <c r="D11486" i="23"/>
  <c r="D11487" i="23"/>
  <c r="D11488" i="23"/>
  <c r="D11489" i="23"/>
  <c r="D11490" i="23"/>
  <c r="D11491" i="23"/>
  <c r="D11492" i="23"/>
  <c r="D11493" i="23"/>
  <c r="D11494" i="23"/>
  <c r="D11495" i="23"/>
  <c r="D11496" i="23"/>
  <c r="D11497" i="23"/>
  <c r="D11498" i="23"/>
  <c r="D11499" i="23"/>
  <c r="D11500" i="23"/>
  <c r="D11501" i="23"/>
  <c r="D11502" i="23"/>
  <c r="D11503" i="23"/>
  <c r="D11504" i="23"/>
  <c r="D11505" i="23"/>
  <c r="D11506" i="23"/>
  <c r="D11507" i="23"/>
  <c r="D11508" i="23"/>
  <c r="D11509" i="23"/>
  <c r="D11510" i="23"/>
  <c r="D11511" i="23"/>
  <c r="D11512" i="23"/>
  <c r="D11513" i="23"/>
  <c r="D11514" i="23"/>
  <c r="D11515" i="23"/>
  <c r="D11516" i="23"/>
  <c r="D11517" i="23"/>
  <c r="D11518" i="23"/>
  <c r="D11519" i="23"/>
  <c r="D11520" i="23"/>
  <c r="D11521" i="23"/>
  <c r="D11522" i="23"/>
  <c r="D11523" i="23"/>
  <c r="D11524" i="23"/>
  <c r="D11525" i="23"/>
  <c r="D11526" i="23"/>
  <c r="D11527" i="23"/>
  <c r="D11528" i="23"/>
  <c r="D11529" i="23"/>
  <c r="D11530" i="23"/>
  <c r="D11531" i="23"/>
  <c r="D11532" i="23"/>
  <c r="D11533" i="23"/>
  <c r="D11534" i="23"/>
  <c r="D11535" i="23"/>
  <c r="D11536" i="23"/>
  <c r="D11537" i="23"/>
  <c r="D11538" i="23"/>
  <c r="D11539" i="23"/>
  <c r="D11540" i="23"/>
  <c r="D11541" i="23"/>
  <c r="D11542" i="23"/>
  <c r="D11543" i="23"/>
  <c r="D11544" i="23"/>
  <c r="D11545" i="23"/>
  <c r="D11546" i="23"/>
  <c r="D11547" i="23"/>
  <c r="D11548" i="23"/>
  <c r="D11549" i="23"/>
  <c r="D11550" i="23"/>
  <c r="D11551" i="23"/>
  <c r="D11552" i="23"/>
  <c r="D11553" i="23"/>
  <c r="D11554" i="23"/>
  <c r="D11555" i="23"/>
  <c r="D11556" i="23"/>
  <c r="D11557" i="23"/>
  <c r="D11558" i="23"/>
  <c r="D11559" i="23"/>
  <c r="D11560" i="23"/>
  <c r="D11561" i="23"/>
  <c r="D11562" i="23"/>
  <c r="D11563" i="23"/>
  <c r="D11564" i="23"/>
  <c r="D11565" i="23"/>
  <c r="D11566" i="23"/>
  <c r="D11567" i="23"/>
  <c r="D11568" i="23"/>
  <c r="D11569" i="23"/>
  <c r="D11570" i="23"/>
  <c r="D11571" i="23"/>
  <c r="D11572" i="23"/>
  <c r="D11573" i="23"/>
  <c r="D11574" i="23"/>
  <c r="D11575" i="23"/>
  <c r="D11576" i="23"/>
  <c r="D11577" i="23"/>
  <c r="D11578" i="23"/>
  <c r="D11579" i="23"/>
  <c r="D11580" i="23"/>
  <c r="D11581" i="23"/>
  <c r="D11582" i="23"/>
  <c r="D11583" i="23"/>
  <c r="D11584" i="23"/>
  <c r="D11585" i="23"/>
  <c r="D11586" i="23"/>
  <c r="D11587" i="23"/>
  <c r="D11588" i="23"/>
  <c r="D11589" i="23"/>
  <c r="D11590" i="23"/>
  <c r="D11591" i="23"/>
  <c r="D11592" i="23"/>
  <c r="D11593" i="23"/>
  <c r="D11594" i="23"/>
  <c r="D11595" i="23"/>
  <c r="D11596" i="23"/>
  <c r="D11597" i="23"/>
  <c r="D11598" i="23"/>
  <c r="D11599" i="23"/>
  <c r="D11600" i="23"/>
  <c r="D11601" i="23"/>
  <c r="D11602" i="23"/>
  <c r="D11603" i="23"/>
  <c r="D11604" i="23"/>
  <c r="D11605" i="23"/>
  <c r="D11606" i="23"/>
  <c r="D11607" i="23"/>
  <c r="D11608" i="23"/>
  <c r="D11609" i="23"/>
  <c r="D11610" i="23"/>
  <c r="D11611" i="23"/>
  <c r="D11612" i="23"/>
  <c r="D11613" i="23"/>
  <c r="D11614" i="23"/>
  <c r="D11615" i="23"/>
  <c r="D11616" i="23"/>
  <c r="D11617" i="23"/>
  <c r="D11618" i="23"/>
  <c r="D11619" i="23"/>
  <c r="D11620" i="23"/>
  <c r="D11621" i="23"/>
  <c r="D11622" i="23"/>
  <c r="D11623" i="23"/>
  <c r="D11624" i="23"/>
  <c r="D11625" i="23"/>
  <c r="D11626" i="23"/>
  <c r="D11627" i="23"/>
  <c r="D11628" i="23"/>
  <c r="D11629" i="23"/>
  <c r="D11630" i="23"/>
  <c r="D11631" i="23"/>
  <c r="D11632" i="23"/>
  <c r="D11633" i="23"/>
  <c r="D11634" i="23"/>
  <c r="D11635" i="23"/>
  <c r="D11636" i="23"/>
  <c r="D11637" i="23"/>
  <c r="D11638" i="23"/>
  <c r="D11639" i="23"/>
  <c r="D11640" i="23"/>
  <c r="D11641" i="23"/>
  <c r="D11642" i="23"/>
  <c r="D11643" i="23"/>
  <c r="D11644" i="23"/>
  <c r="D11645" i="23"/>
  <c r="D11646" i="23"/>
  <c r="D11647" i="23"/>
  <c r="D11648" i="23"/>
  <c r="D11649" i="23"/>
  <c r="D11650" i="23"/>
  <c r="D11651" i="23"/>
  <c r="D11652" i="23"/>
  <c r="D11653" i="23"/>
  <c r="D11654" i="23"/>
  <c r="D11655" i="23"/>
  <c r="D11656" i="23"/>
  <c r="D11657" i="23"/>
  <c r="D11658" i="23"/>
  <c r="D11659" i="23"/>
  <c r="D11660" i="23"/>
  <c r="D11661" i="23"/>
  <c r="D11662" i="23"/>
  <c r="D11663" i="23"/>
  <c r="D11664" i="23"/>
  <c r="D11665" i="23"/>
  <c r="D11666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45" i="23"/>
  <c r="D12046" i="23"/>
  <c r="D12047" i="23"/>
  <c r="D12048" i="23"/>
  <c r="D12049" i="23"/>
  <c r="D12050" i="23"/>
  <c r="D12051" i="23"/>
  <c r="D12052" i="23"/>
  <c r="D12053" i="23"/>
  <c r="D12054" i="23"/>
  <c r="D12055" i="23"/>
  <c r="D12056" i="23"/>
  <c r="D12057" i="23"/>
  <c r="D12058" i="23"/>
  <c r="D12059" i="23"/>
  <c r="D12060" i="23"/>
  <c r="D12061" i="23"/>
  <c r="D12062" i="23"/>
  <c r="D12063" i="23"/>
  <c r="D12064" i="23"/>
  <c r="D12065" i="23"/>
  <c r="D12066" i="23"/>
  <c r="D12067" i="23"/>
  <c r="D12068" i="23"/>
  <c r="D12069" i="23"/>
  <c r="D12070" i="23"/>
  <c r="D12071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398" i="23"/>
  <c r="D10399" i="23"/>
  <c r="D10400" i="23"/>
  <c r="D10401" i="23"/>
  <c r="D10402" i="23"/>
  <c r="D10403" i="23"/>
  <c r="D10404" i="23"/>
  <c r="D10405" i="23"/>
  <c r="D10406" i="23"/>
  <c r="D10407" i="23"/>
  <c r="D10408" i="23"/>
  <c r="D10409" i="23"/>
  <c r="D10410" i="23"/>
  <c r="D10411" i="23"/>
  <c r="D10412" i="23"/>
  <c r="D10413" i="23"/>
  <c r="D10414" i="23"/>
  <c r="D10415" i="23"/>
  <c r="D10416" i="23"/>
  <c r="D10417" i="23"/>
  <c r="D10418" i="23"/>
  <c r="D10419" i="23"/>
  <c r="D10420" i="23"/>
  <c r="D10421" i="23"/>
  <c r="D10422" i="23"/>
  <c r="D10423" i="23"/>
  <c r="D10424" i="23"/>
  <c r="D10425" i="23"/>
  <c r="D10426" i="23"/>
  <c r="D10427" i="23"/>
  <c r="D10428" i="23"/>
  <c r="D10429" i="23"/>
  <c r="D10430" i="23"/>
  <c r="D10431" i="23"/>
  <c r="D10432" i="23"/>
  <c r="D10433" i="23"/>
  <c r="D10434" i="23"/>
  <c r="D10435" i="23"/>
  <c r="D10436" i="23"/>
  <c r="D10437" i="23"/>
  <c r="D10438" i="23"/>
  <c r="D10439" i="23"/>
  <c r="D10440" i="23"/>
  <c r="D10441" i="23"/>
  <c r="D10442" i="23"/>
  <c r="D10443" i="23"/>
  <c r="D10444" i="23"/>
  <c r="D10445" i="23"/>
  <c r="D10446" i="23"/>
  <c r="D10447" i="23"/>
  <c r="D10448" i="23"/>
  <c r="D10449" i="23"/>
  <c r="D10450" i="23"/>
  <c r="D10451" i="23"/>
  <c r="D10452" i="23"/>
  <c r="D10453" i="23"/>
  <c r="D10454" i="23"/>
  <c r="D10455" i="23"/>
  <c r="D10456" i="23"/>
  <c r="D10457" i="23"/>
  <c r="D10458" i="23"/>
  <c r="D10459" i="23"/>
  <c r="D10460" i="23"/>
  <c r="D10461" i="23"/>
  <c r="D10462" i="23"/>
  <c r="D10463" i="23"/>
  <c r="D10464" i="23"/>
  <c r="D10465" i="23"/>
  <c r="D10466" i="23"/>
  <c r="D10467" i="23"/>
  <c r="D10468" i="23"/>
  <c r="D10469" i="23"/>
  <c r="D10470" i="23"/>
  <c r="D10471" i="23"/>
  <c r="D10472" i="23"/>
  <c r="D10473" i="23"/>
  <c r="D10474" i="23"/>
  <c r="D10475" i="23"/>
  <c r="D10476" i="23"/>
  <c r="D10477" i="23"/>
  <c r="D10478" i="23"/>
  <c r="D10479" i="23"/>
  <c r="D10480" i="23"/>
  <c r="D10481" i="23"/>
  <c r="D10482" i="23"/>
  <c r="D10483" i="23"/>
  <c r="D10484" i="23"/>
  <c r="D10485" i="23"/>
  <c r="D10486" i="23"/>
  <c r="D10487" i="23"/>
  <c r="D10488" i="23"/>
  <c r="D10489" i="23"/>
  <c r="D10490" i="23"/>
  <c r="D10491" i="23"/>
  <c r="D10492" i="23"/>
  <c r="D10493" i="23"/>
  <c r="D10494" i="23"/>
  <c r="D10495" i="23"/>
  <c r="D10496" i="23"/>
  <c r="D10497" i="23"/>
  <c r="D10498" i="23"/>
  <c r="D10499" i="23"/>
  <c r="D10500" i="23"/>
  <c r="D10501" i="23"/>
  <c r="D10502" i="23"/>
  <c r="D10503" i="23"/>
  <c r="D10504" i="23"/>
  <c r="D10505" i="23"/>
  <c r="D10506" i="23"/>
  <c r="D10507" i="23"/>
  <c r="D10508" i="23"/>
  <c r="D10509" i="23"/>
  <c r="D10510" i="23"/>
  <c r="D10511" i="23"/>
  <c r="D10512" i="23"/>
  <c r="D10513" i="23"/>
  <c r="D10514" i="23"/>
  <c r="D10515" i="23"/>
  <c r="D10516" i="23"/>
  <c r="D10517" i="23"/>
  <c r="D10518" i="23"/>
  <c r="D10519" i="23"/>
  <c r="D10520" i="23"/>
  <c r="D10521" i="23"/>
  <c r="D10522" i="23"/>
  <c r="D10523" i="23"/>
  <c r="D10524" i="23"/>
  <c r="D10525" i="23"/>
  <c r="D10526" i="23"/>
  <c r="D10527" i="23"/>
  <c r="D10528" i="23"/>
  <c r="D10529" i="23"/>
  <c r="D10530" i="23"/>
  <c r="D10531" i="23"/>
  <c r="D10532" i="23"/>
  <c r="D10533" i="23"/>
  <c r="D10534" i="23"/>
  <c r="D10535" i="23"/>
  <c r="D10536" i="23"/>
  <c r="D10537" i="23"/>
  <c r="D10538" i="23"/>
  <c r="D10539" i="23"/>
  <c r="D10540" i="23"/>
  <c r="D10541" i="23"/>
  <c r="D10542" i="23"/>
  <c r="D10543" i="23"/>
  <c r="D10544" i="23"/>
  <c r="D10545" i="23"/>
  <c r="D10546" i="23"/>
  <c r="D10547" i="23"/>
  <c r="D10548" i="23"/>
  <c r="D10549" i="23"/>
  <c r="D10550" i="23"/>
  <c r="D10551" i="23"/>
  <c r="D10552" i="23"/>
  <c r="D10553" i="23"/>
  <c r="D10554" i="23"/>
  <c r="D10555" i="23"/>
  <c r="D10556" i="23"/>
  <c r="D10557" i="23"/>
  <c r="D10558" i="23"/>
  <c r="D10559" i="23"/>
  <c r="D10560" i="23"/>
  <c r="D10561" i="23"/>
  <c r="D10562" i="23"/>
  <c r="D10563" i="23"/>
  <c r="D10564" i="23"/>
  <c r="D10565" i="23"/>
  <c r="D10566" i="23"/>
  <c r="D10567" i="23"/>
  <c r="D10568" i="23"/>
  <c r="D10569" i="23"/>
  <c r="D10570" i="23"/>
  <c r="D10571" i="23"/>
  <c r="D10572" i="23"/>
  <c r="D10573" i="23"/>
  <c r="D10574" i="23"/>
  <c r="D10575" i="23"/>
  <c r="D10576" i="23"/>
  <c r="D10577" i="23"/>
  <c r="D10578" i="23"/>
  <c r="D10579" i="23"/>
  <c r="D10580" i="23"/>
  <c r="D10581" i="23"/>
  <c r="D10582" i="23"/>
  <c r="D10583" i="23"/>
  <c r="D10584" i="23"/>
  <c r="D10585" i="23"/>
  <c r="D10586" i="23"/>
  <c r="D10587" i="23"/>
  <c r="D10588" i="23"/>
  <c r="D10589" i="23"/>
  <c r="D10590" i="23"/>
  <c r="D10591" i="23"/>
  <c r="D10592" i="23"/>
  <c r="D10593" i="23"/>
  <c r="D10594" i="23"/>
  <c r="D10595" i="23"/>
  <c r="D10596" i="23"/>
  <c r="D10597" i="23"/>
  <c r="D10598" i="23"/>
  <c r="D10599" i="23"/>
  <c r="D10600" i="23"/>
  <c r="D10601" i="23"/>
  <c r="D10602" i="23"/>
  <c r="D10603" i="23"/>
  <c r="D10604" i="23"/>
  <c r="D10605" i="23"/>
  <c r="D10606" i="23"/>
  <c r="D10607" i="23"/>
  <c r="D10608" i="23"/>
  <c r="D10609" i="23"/>
  <c r="D10610" i="23"/>
  <c r="D10611" i="23"/>
  <c r="D10612" i="23"/>
  <c r="D10613" i="23"/>
  <c r="D10614" i="23"/>
  <c r="D10615" i="23"/>
  <c r="D10616" i="23"/>
  <c r="D10617" i="23"/>
  <c r="D10618" i="23"/>
  <c r="D10619" i="23"/>
  <c r="D10620" i="23"/>
  <c r="D10621" i="23"/>
  <c r="D10622" i="23"/>
  <c r="D10623" i="23"/>
  <c r="D10624" i="23"/>
  <c r="D10625" i="23"/>
  <c r="D10626" i="23"/>
  <c r="D10627" i="23"/>
  <c r="D10628" i="23"/>
  <c r="D10629" i="23"/>
  <c r="D10630" i="23"/>
  <c r="D10631" i="23"/>
  <c r="D10632" i="23"/>
  <c r="D10633" i="23"/>
  <c r="D10634" i="23"/>
  <c r="D10635" i="23"/>
  <c r="D10636" i="23"/>
  <c r="D10637" i="23"/>
  <c r="D10638" i="23"/>
  <c r="D10639" i="23"/>
  <c r="D10640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19" i="23"/>
  <c r="D11020" i="23"/>
  <c r="D11021" i="23"/>
  <c r="D11022" i="23"/>
  <c r="D11023" i="23"/>
  <c r="D11024" i="23"/>
  <c r="D11025" i="23"/>
  <c r="D11026" i="23"/>
  <c r="D11027" i="23"/>
  <c r="D11028" i="23"/>
  <c r="D11029" i="23"/>
  <c r="D11030" i="23"/>
  <c r="D11031" i="23"/>
  <c r="D11032" i="23"/>
  <c r="D11033" i="23"/>
  <c r="D11034" i="23"/>
  <c r="D11035" i="23"/>
  <c r="D11036" i="23"/>
  <c r="D11037" i="23"/>
  <c r="D11038" i="23"/>
  <c r="D11039" i="23"/>
  <c r="D11040" i="23"/>
  <c r="D11041" i="23"/>
  <c r="D11042" i="23"/>
  <c r="D11043" i="23"/>
  <c r="D11044" i="23"/>
  <c r="D11045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372" i="23"/>
  <c r="D9373" i="23"/>
  <c r="D9374" i="23"/>
  <c r="D9375" i="23"/>
  <c r="D9376" i="23"/>
  <c r="D9377" i="23"/>
  <c r="D9378" i="23"/>
  <c r="D9379" i="23"/>
  <c r="D9380" i="23"/>
  <c r="D9381" i="23"/>
  <c r="D9382" i="23"/>
  <c r="D9383" i="23"/>
  <c r="D9384" i="23"/>
  <c r="D9385" i="23"/>
  <c r="D9386" i="23"/>
  <c r="D9387" i="23"/>
  <c r="D9388" i="23"/>
  <c r="D9389" i="23"/>
  <c r="D9390" i="23"/>
  <c r="D9391" i="23"/>
  <c r="D9392" i="23"/>
  <c r="D9393" i="23"/>
  <c r="D9394" i="23"/>
  <c r="D9395" i="23"/>
  <c r="D9396" i="23"/>
  <c r="D9397" i="23"/>
  <c r="D9398" i="23"/>
  <c r="D9399" i="23"/>
  <c r="D9400" i="23"/>
  <c r="D9401" i="23"/>
  <c r="D9402" i="23"/>
  <c r="D9403" i="23"/>
  <c r="D9404" i="23"/>
  <c r="D9405" i="23"/>
  <c r="D9406" i="23"/>
  <c r="D9407" i="23"/>
  <c r="D9408" i="23"/>
  <c r="D9409" i="23"/>
  <c r="D9410" i="23"/>
  <c r="D9411" i="23"/>
  <c r="D9412" i="23"/>
  <c r="D9413" i="23"/>
  <c r="D9414" i="23"/>
  <c r="D9415" i="23"/>
  <c r="D9416" i="23"/>
  <c r="D9417" i="23"/>
  <c r="D9418" i="23"/>
  <c r="D9419" i="23"/>
  <c r="D9420" i="23"/>
  <c r="D9421" i="23"/>
  <c r="D9422" i="23"/>
  <c r="D9423" i="23"/>
  <c r="D9424" i="23"/>
  <c r="D9425" i="23"/>
  <c r="D9426" i="23"/>
  <c r="D9427" i="23"/>
  <c r="D9428" i="23"/>
  <c r="D9429" i="23"/>
  <c r="D9430" i="23"/>
  <c r="D9431" i="23"/>
  <c r="D9432" i="23"/>
  <c r="D9433" i="23"/>
  <c r="D9434" i="23"/>
  <c r="D9435" i="23"/>
  <c r="D9436" i="23"/>
  <c r="D9437" i="23"/>
  <c r="D9438" i="23"/>
  <c r="D9439" i="23"/>
  <c r="D9440" i="23"/>
  <c r="D9441" i="23"/>
  <c r="D9442" i="23"/>
  <c r="D9443" i="23"/>
  <c r="D9444" i="23"/>
  <c r="D9445" i="23"/>
  <c r="D9446" i="23"/>
  <c r="D9447" i="23"/>
  <c r="D9448" i="23"/>
  <c r="D9449" i="23"/>
  <c r="D9450" i="23"/>
  <c r="D9451" i="23"/>
  <c r="D9452" i="23"/>
  <c r="D9453" i="23"/>
  <c r="D9454" i="23"/>
  <c r="D9455" i="23"/>
  <c r="D9456" i="23"/>
  <c r="D9457" i="23"/>
  <c r="D9458" i="23"/>
  <c r="D9459" i="23"/>
  <c r="D9460" i="23"/>
  <c r="D9461" i="23"/>
  <c r="D9462" i="23"/>
  <c r="D9463" i="23"/>
  <c r="D9464" i="23"/>
  <c r="D9465" i="23"/>
  <c r="D9466" i="23"/>
  <c r="D9467" i="23"/>
  <c r="D9468" i="23"/>
  <c r="D9469" i="23"/>
  <c r="D9470" i="23"/>
  <c r="D9471" i="23"/>
  <c r="D9472" i="23"/>
  <c r="D9473" i="23"/>
  <c r="D9474" i="23"/>
  <c r="D9475" i="23"/>
  <c r="D9476" i="23"/>
  <c r="D9477" i="23"/>
  <c r="D9478" i="23"/>
  <c r="D9479" i="23"/>
  <c r="D9480" i="23"/>
  <c r="D9481" i="23"/>
  <c r="D9482" i="23"/>
  <c r="D9483" i="23"/>
  <c r="D9484" i="23"/>
  <c r="D9485" i="23"/>
  <c r="D9486" i="23"/>
  <c r="D9487" i="23"/>
  <c r="D9488" i="23"/>
  <c r="D9489" i="23"/>
  <c r="D9490" i="23"/>
  <c r="D9491" i="23"/>
  <c r="D9492" i="23"/>
  <c r="D9493" i="23"/>
  <c r="D9494" i="23"/>
  <c r="D9495" i="23"/>
  <c r="D9496" i="23"/>
  <c r="D9497" i="23"/>
  <c r="D9498" i="23"/>
  <c r="D9499" i="23"/>
  <c r="D9500" i="23"/>
  <c r="D9501" i="23"/>
  <c r="D9502" i="23"/>
  <c r="D9503" i="23"/>
  <c r="D9504" i="23"/>
  <c r="D9505" i="23"/>
  <c r="D9506" i="23"/>
  <c r="D9507" i="23"/>
  <c r="D9508" i="23"/>
  <c r="D9509" i="23"/>
  <c r="D9510" i="23"/>
  <c r="D9511" i="23"/>
  <c r="D9512" i="23"/>
  <c r="D9513" i="23"/>
  <c r="D9514" i="23"/>
  <c r="D9515" i="23"/>
  <c r="D9516" i="23"/>
  <c r="D9517" i="23"/>
  <c r="D9518" i="23"/>
  <c r="D9519" i="23"/>
  <c r="D9520" i="23"/>
  <c r="D9521" i="23"/>
  <c r="D9522" i="23"/>
  <c r="D9523" i="23"/>
  <c r="D9524" i="23"/>
  <c r="D9525" i="23"/>
  <c r="D9526" i="23"/>
  <c r="D9527" i="23"/>
  <c r="D9528" i="23"/>
  <c r="D9529" i="23"/>
  <c r="D9530" i="23"/>
  <c r="D9531" i="23"/>
  <c r="D9532" i="23"/>
  <c r="D9533" i="23"/>
  <c r="D9534" i="23"/>
  <c r="D9535" i="23"/>
  <c r="D9536" i="23"/>
  <c r="D9537" i="23"/>
  <c r="D9538" i="23"/>
  <c r="D9539" i="23"/>
  <c r="D9540" i="23"/>
  <c r="D9541" i="23"/>
  <c r="D9542" i="23"/>
  <c r="D9543" i="23"/>
  <c r="D9544" i="23"/>
  <c r="D9545" i="23"/>
  <c r="D9546" i="23"/>
  <c r="D9547" i="23"/>
  <c r="D9548" i="23"/>
  <c r="D9549" i="23"/>
  <c r="D9550" i="23"/>
  <c r="D9551" i="23"/>
  <c r="D9552" i="23"/>
  <c r="D9553" i="23"/>
  <c r="D9554" i="23"/>
  <c r="D9555" i="23"/>
  <c r="D9556" i="23"/>
  <c r="D9557" i="23"/>
  <c r="D9558" i="23"/>
  <c r="D9559" i="23"/>
  <c r="D9560" i="23"/>
  <c r="D9561" i="23"/>
  <c r="D9562" i="23"/>
  <c r="D9563" i="23"/>
  <c r="D9564" i="23"/>
  <c r="D9565" i="23"/>
  <c r="D9566" i="23"/>
  <c r="D9567" i="23"/>
  <c r="D9568" i="23"/>
  <c r="D9569" i="23"/>
  <c r="D9570" i="23"/>
  <c r="D9571" i="23"/>
  <c r="D9572" i="23"/>
  <c r="D9573" i="23"/>
  <c r="D9574" i="23"/>
  <c r="D9575" i="23"/>
  <c r="D9576" i="23"/>
  <c r="D9577" i="23"/>
  <c r="D9578" i="23"/>
  <c r="D9579" i="23"/>
  <c r="D9580" i="23"/>
  <c r="D9581" i="23"/>
  <c r="D9582" i="23"/>
  <c r="D9583" i="23"/>
  <c r="D9584" i="23"/>
  <c r="D9585" i="23"/>
  <c r="D9586" i="23"/>
  <c r="D9587" i="23"/>
  <c r="D9588" i="23"/>
  <c r="D9589" i="23"/>
  <c r="D9590" i="23"/>
  <c r="D9591" i="23"/>
  <c r="D9592" i="23"/>
  <c r="D9593" i="23"/>
  <c r="D9594" i="23"/>
  <c r="D9595" i="23"/>
  <c r="D9596" i="23"/>
  <c r="D9597" i="23"/>
  <c r="D9598" i="23"/>
  <c r="D9599" i="23"/>
  <c r="D9600" i="23"/>
  <c r="D9601" i="23"/>
  <c r="D9602" i="23"/>
  <c r="D9603" i="23"/>
  <c r="D9604" i="23"/>
  <c r="D9605" i="23"/>
  <c r="D9606" i="23"/>
  <c r="D9607" i="23"/>
  <c r="D9608" i="23"/>
  <c r="D9609" i="23"/>
  <c r="D9610" i="23"/>
  <c r="D9611" i="23"/>
  <c r="D9612" i="23"/>
  <c r="D9613" i="23"/>
  <c r="D9614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9993" i="23"/>
  <c r="D9994" i="23"/>
  <c r="D9995" i="23"/>
  <c r="D9996" i="23"/>
  <c r="D9997" i="23"/>
  <c r="D9998" i="23"/>
  <c r="D9999" i="23"/>
  <c r="D10000" i="23"/>
  <c r="D10001" i="23"/>
  <c r="D10002" i="23"/>
  <c r="D10003" i="23"/>
  <c r="D10004" i="23"/>
  <c r="D10005" i="23"/>
  <c r="D10006" i="23"/>
  <c r="D10007" i="23"/>
  <c r="D10008" i="23"/>
  <c r="D10009" i="23"/>
  <c r="D10010" i="23"/>
  <c r="D10011" i="23"/>
  <c r="D10012" i="23"/>
  <c r="D10013" i="23"/>
  <c r="D10014" i="23"/>
  <c r="D10015" i="23"/>
  <c r="D10016" i="23"/>
  <c r="D10017" i="23"/>
  <c r="D10018" i="23"/>
  <c r="D10019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346" i="23"/>
  <c r="D8347" i="23"/>
  <c r="D8348" i="23"/>
  <c r="D8349" i="23"/>
  <c r="D8350" i="23"/>
  <c r="D8351" i="23"/>
  <c r="D8352" i="23"/>
  <c r="D8353" i="23"/>
  <c r="D8354" i="23"/>
  <c r="D8355" i="23"/>
  <c r="D8356" i="23"/>
  <c r="D8357" i="23"/>
  <c r="D8358" i="23"/>
  <c r="D8359" i="23"/>
  <c r="D8360" i="23"/>
  <c r="D8361" i="23"/>
  <c r="D8362" i="23"/>
  <c r="D8363" i="23"/>
  <c r="D8364" i="23"/>
  <c r="D8365" i="23"/>
  <c r="D8366" i="23"/>
  <c r="D8367" i="23"/>
  <c r="D8368" i="23"/>
  <c r="D8369" i="23"/>
  <c r="D8370" i="23"/>
  <c r="D8371" i="23"/>
  <c r="D8372" i="23"/>
  <c r="D8373" i="23"/>
  <c r="D8374" i="23"/>
  <c r="D8375" i="23"/>
  <c r="D8376" i="23"/>
  <c r="D8377" i="23"/>
  <c r="D8378" i="23"/>
  <c r="D8379" i="23"/>
  <c r="D8380" i="23"/>
  <c r="D8381" i="23"/>
  <c r="D8382" i="23"/>
  <c r="D8383" i="23"/>
  <c r="D8384" i="23"/>
  <c r="D8385" i="23"/>
  <c r="D8386" i="23"/>
  <c r="D8387" i="23"/>
  <c r="D8388" i="23"/>
  <c r="D8389" i="23"/>
  <c r="D8390" i="23"/>
  <c r="D8391" i="23"/>
  <c r="D8392" i="23"/>
  <c r="D8393" i="23"/>
  <c r="D8394" i="23"/>
  <c r="D8395" i="23"/>
  <c r="D8396" i="23"/>
  <c r="D8397" i="23"/>
  <c r="D8398" i="23"/>
  <c r="D8399" i="23"/>
  <c r="D8400" i="23"/>
  <c r="D8401" i="23"/>
  <c r="D8402" i="23"/>
  <c r="D8403" i="23"/>
  <c r="D8404" i="23"/>
  <c r="D8405" i="23"/>
  <c r="D8406" i="23"/>
  <c r="D8407" i="23"/>
  <c r="D8408" i="23"/>
  <c r="D8409" i="23"/>
  <c r="D8410" i="23"/>
  <c r="D8411" i="23"/>
  <c r="D8412" i="23"/>
  <c r="D8413" i="23"/>
  <c r="D8414" i="23"/>
  <c r="D8415" i="23"/>
  <c r="D8416" i="23"/>
  <c r="D8417" i="23"/>
  <c r="D8418" i="23"/>
  <c r="D8419" i="23"/>
  <c r="D8420" i="23"/>
  <c r="D8421" i="23"/>
  <c r="D8422" i="23"/>
  <c r="D8423" i="23"/>
  <c r="D8424" i="23"/>
  <c r="D8425" i="23"/>
  <c r="D8426" i="23"/>
  <c r="D8427" i="23"/>
  <c r="D8428" i="23"/>
  <c r="D8429" i="23"/>
  <c r="D8430" i="23"/>
  <c r="D8431" i="23"/>
  <c r="D8432" i="23"/>
  <c r="D8433" i="23"/>
  <c r="D8434" i="23"/>
  <c r="D8435" i="23"/>
  <c r="D8436" i="23"/>
  <c r="D8437" i="23"/>
  <c r="D8438" i="23"/>
  <c r="D8439" i="23"/>
  <c r="D8440" i="23"/>
  <c r="D8441" i="23"/>
  <c r="D8442" i="23"/>
  <c r="D8443" i="23"/>
  <c r="D8444" i="23"/>
  <c r="D8445" i="23"/>
  <c r="D8446" i="23"/>
  <c r="D8447" i="23"/>
  <c r="D8448" i="23"/>
  <c r="D8449" i="23"/>
  <c r="D8450" i="23"/>
  <c r="D8451" i="23"/>
  <c r="D8452" i="23"/>
  <c r="D8453" i="23"/>
  <c r="D8454" i="23"/>
  <c r="D8455" i="23"/>
  <c r="D8456" i="23"/>
  <c r="D8457" i="23"/>
  <c r="D8458" i="23"/>
  <c r="D8459" i="23"/>
  <c r="D8460" i="23"/>
  <c r="D8461" i="23"/>
  <c r="D8462" i="23"/>
  <c r="D8463" i="23"/>
  <c r="D8464" i="23"/>
  <c r="D8465" i="23"/>
  <c r="D8466" i="23"/>
  <c r="D8467" i="23"/>
  <c r="D8468" i="23"/>
  <c r="D8469" i="23"/>
  <c r="D8470" i="23"/>
  <c r="D8471" i="23"/>
  <c r="D8472" i="23"/>
  <c r="D8473" i="23"/>
  <c r="D8474" i="23"/>
  <c r="D8475" i="23"/>
  <c r="D8476" i="23"/>
  <c r="D8477" i="23"/>
  <c r="D8478" i="23"/>
  <c r="D8479" i="23"/>
  <c r="D8480" i="23"/>
  <c r="D8481" i="23"/>
  <c r="D8482" i="23"/>
  <c r="D8483" i="23"/>
  <c r="D8484" i="23"/>
  <c r="D8485" i="23"/>
  <c r="D8486" i="23"/>
  <c r="D8487" i="23"/>
  <c r="D8488" i="23"/>
  <c r="D8489" i="23"/>
  <c r="D8490" i="23"/>
  <c r="D8491" i="23"/>
  <c r="D8492" i="23"/>
  <c r="D8493" i="23"/>
  <c r="D8494" i="23"/>
  <c r="D8495" i="23"/>
  <c r="D8496" i="23"/>
  <c r="D8497" i="23"/>
  <c r="D8498" i="23"/>
  <c r="D8499" i="23"/>
  <c r="D8500" i="23"/>
  <c r="D8501" i="23"/>
  <c r="D8502" i="23"/>
  <c r="D8503" i="23"/>
  <c r="D8504" i="23"/>
  <c r="D8505" i="23"/>
  <c r="D8506" i="23"/>
  <c r="D8507" i="23"/>
  <c r="D8508" i="23"/>
  <c r="D8509" i="23"/>
  <c r="D8510" i="23"/>
  <c r="D8511" i="23"/>
  <c r="D8512" i="23"/>
  <c r="D8513" i="23"/>
  <c r="D8514" i="23"/>
  <c r="D8515" i="23"/>
  <c r="D8516" i="23"/>
  <c r="D8517" i="23"/>
  <c r="D8518" i="23"/>
  <c r="D8519" i="23"/>
  <c r="D8520" i="23"/>
  <c r="D8521" i="23"/>
  <c r="D8522" i="23"/>
  <c r="D8523" i="23"/>
  <c r="D8524" i="23"/>
  <c r="D8525" i="23"/>
  <c r="D8526" i="23"/>
  <c r="D8527" i="23"/>
  <c r="D8528" i="23"/>
  <c r="D8529" i="23"/>
  <c r="D8530" i="23"/>
  <c r="D8531" i="23"/>
  <c r="D8532" i="23"/>
  <c r="D8533" i="23"/>
  <c r="D8534" i="23"/>
  <c r="D8535" i="23"/>
  <c r="D8536" i="23"/>
  <c r="D8537" i="23"/>
  <c r="D8538" i="23"/>
  <c r="D8539" i="23"/>
  <c r="D8540" i="23"/>
  <c r="D8541" i="23"/>
  <c r="D8542" i="23"/>
  <c r="D8543" i="23"/>
  <c r="D8544" i="23"/>
  <c r="D8545" i="23"/>
  <c r="D8546" i="23"/>
  <c r="D8547" i="23"/>
  <c r="D8548" i="23"/>
  <c r="D8549" i="23"/>
  <c r="D8550" i="23"/>
  <c r="D8551" i="23"/>
  <c r="D8552" i="23"/>
  <c r="D8553" i="23"/>
  <c r="D8554" i="23"/>
  <c r="D8555" i="23"/>
  <c r="D8556" i="23"/>
  <c r="D8557" i="23"/>
  <c r="D8558" i="23"/>
  <c r="D8559" i="23"/>
  <c r="D8560" i="23"/>
  <c r="D8561" i="23"/>
  <c r="D8562" i="23"/>
  <c r="D8563" i="23"/>
  <c r="D8564" i="23"/>
  <c r="D8565" i="23"/>
  <c r="D8566" i="23"/>
  <c r="D8567" i="23"/>
  <c r="D8568" i="23"/>
  <c r="D8569" i="23"/>
  <c r="D8570" i="23"/>
  <c r="D8571" i="23"/>
  <c r="D8572" i="23"/>
  <c r="D8573" i="23"/>
  <c r="D8574" i="23"/>
  <c r="D8575" i="23"/>
  <c r="D8576" i="23"/>
  <c r="D8577" i="23"/>
  <c r="D8578" i="23"/>
  <c r="D8579" i="23"/>
  <c r="D8580" i="23"/>
  <c r="D8581" i="23"/>
  <c r="D8582" i="23"/>
  <c r="D8583" i="23"/>
  <c r="D8584" i="23"/>
  <c r="D8585" i="23"/>
  <c r="D8586" i="23"/>
  <c r="D8587" i="23"/>
  <c r="D8588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8967" i="23"/>
  <c r="D8968" i="23"/>
  <c r="D8969" i="23"/>
  <c r="D8970" i="23"/>
  <c r="D8971" i="23"/>
  <c r="D8972" i="23"/>
  <c r="D8973" i="23"/>
  <c r="D8974" i="23"/>
  <c r="D8975" i="23"/>
  <c r="D8976" i="23"/>
  <c r="D8977" i="23"/>
  <c r="D8978" i="23"/>
  <c r="D8979" i="23"/>
  <c r="D8980" i="23"/>
  <c r="D8981" i="23"/>
  <c r="D8982" i="23"/>
  <c r="D8983" i="23"/>
  <c r="D8984" i="23"/>
  <c r="D8985" i="23"/>
  <c r="D8986" i="23"/>
  <c r="D8987" i="23"/>
  <c r="D8988" i="23"/>
  <c r="D8989" i="23"/>
  <c r="D8990" i="23"/>
  <c r="D8991" i="23"/>
  <c r="D8992" i="23"/>
  <c r="D8993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320" i="23"/>
  <c r="D7321" i="23"/>
  <c r="D7322" i="23"/>
  <c r="D7323" i="23"/>
  <c r="D7324" i="23"/>
  <c r="D7325" i="23"/>
  <c r="D7326" i="23"/>
  <c r="D7327" i="23"/>
  <c r="D7328" i="23"/>
  <c r="D7329" i="23"/>
  <c r="D7330" i="23"/>
  <c r="D7331" i="23"/>
  <c r="D7332" i="23"/>
  <c r="D7333" i="23"/>
  <c r="D7334" i="23"/>
  <c r="D7335" i="23"/>
  <c r="D7336" i="23"/>
  <c r="D7337" i="23"/>
  <c r="D7338" i="23"/>
  <c r="D7339" i="23"/>
  <c r="D7340" i="23"/>
  <c r="D7341" i="23"/>
  <c r="D7342" i="23"/>
  <c r="D7343" i="23"/>
  <c r="D7344" i="23"/>
  <c r="D7345" i="23"/>
  <c r="D7346" i="23"/>
  <c r="D7347" i="23"/>
  <c r="D7348" i="23"/>
  <c r="D7349" i="23"/>
  <c r="D7350" i="23"/>
  <c r="D7351" i="23"/>
  <c r="D7352" i="23"/>
  <c r="D7353" i="23"/>
  <c r="D7354" i="23"/>
  <c r="D7355" i="23"/>
  <c r="D7356" i="23"/>
  <c r="D7357" i="23"/>
  <c r="D7358" i="23"/>
  <c r="D7359" i="23"/>
  <c r="D7360" i="23"/>
  <c r="D7361" i="23"/>
  <c r="D7362" i="23"/>
  <c r="D7363" i="23"/>
  <c r="D7364" i="23"/>
  <c r="D7365" i="23"/>
  <c r="D7366" i="23"/>
  <c r="D7367" i="23"/>
  <c r="D7368" i="23"/>
  <c r="D7369" i="23"/>
  <c r="D7370" i="23"/>
  <c r="D7371" i="23"/>
  <c r="D7372" i="23"/>
  <c r="D7373" i="23"/>
  <c r="D7374" i="23"/>
  <c r="D7375" i="23"/>
  <c r="D7376" i="23"/>
  <c r="D7377" i="23"/>
  <c r="D7378" i="23"/>
  <c r="D7379" i="23"/>
  <c r="D7380" i="23"/>
  <c r="D7381" i="23"/>
  <c r="D7382" i="23"/>
  <c r="D7383" i="23"/>
  <c r="D7384" i="23"/>
  <c r="D7385" i="23"/>
  <c r="D7386" i="23"/>
  <c r="D7387" i="23"/>
  <c r="D7388" i="23"/>
  <c r="D7389" i="23"/>
  <c r="D7390" i="23"/>
  <c r="D7391" i="23"/>
  <c r="D7392" i="23"/>
  <c r="D7393" i="23"/>
  <c r="D7394" i="23"/>
  <c r="D7395" i="23"/>
  <c r="D7396" i="23"/>
  <c r="D7397" i="23"/>
  <c r="D7398" i="23"/>
  <c r="D7399" i="23"/>
  <c r="D7400" i="23"/>
  <c r="D7401" i="23"/>
  <c r="D7402" i="23"/>
  <c r="D7403" i="23"/>
  <c r="D7404" i="23"/>
  <c r="D7405" i="23"/>
  <c r="D7406" i="23"/>
  <c r="D7407" i="23"/>
  <c r="D7408" i="23"/>
  <c r="D7409" i="23"/>
  <c r="D7410" i="23"/>
  <c r="D7411" i="23"/>
  <c r="D7412" i="23"/>
  <c r="D7413" i="23"/>
  <c r="D7414" i="23"/>
  <c r="D7415" i="23"/>
  <c r="D7416" i="23"/>
  <c r="D7417" i="23"/>
  <c r="D7418" i="23"/>
  <c r="D7419" i="23"/>
  <c r="D7420" i="23"/>
  <c r="D7421" i="23"/>
  <c r="D7422" i="23"/>
  <c r="D7423" i="23"/>
  <c r="D7424" i="23"/>
  <c r="D7425" i="23"/>
  <c r="D7426" i="23"/>
  <c r="D7427" i="23"/>
  <c r="D7428" i="23"/>
  <c r="D7429" i="23"/>
  <c r="D7430" i="23"/>
  <c r="D7431" i="23"/>
  <c r="D7432" i="23"/>
  <c r="D7433" i="23"/>
  <c r="D7434" i="23"/>
  <c r="D7435" i="23"/>
  <c r="D7436" i="23"/>
  <c r="D7437" i="23"/>
  <c r="D7438" i="23"/>
  <c r="D7439" i="23"/>
  <c r="D7440" i="23"/>
  <c r="D7441" i="23"/>
  <c r="D7442" i="23"/>
  <c r="D7443" i="23"/>
  <c r="D7444" i="23"/>
  <c r="D7445" i="23"/>
  <c r="D7446" i="23"/>
  <c r="D7447" i="23"/>
  <c r="D7448" i="23"/>
  <c r="D7449" i="23"/>
  <c r="D7450" i="23"/>
  <c r="D7451" i="23"/>
  <c r="D7452" i="23"/>
  <c r="D7453" i="23"/>
  <c r="D7454" i="23"/>
  <c r="D7455" i="23"/>
  <c r="D7456" i="23"/>
  <c r="D7457" i="23"/>
  <c r="D7458" i="23"/>
  <c r="D7459" i="23"/>
  <c r="D7460" i="23"/>
  <c r="D7461" i="23"/>
  <c r="D7462" i="23"/>
  <c r="D7463" i="23"/>
  <c r="D7464" i="23"/>
  <c r="D7465" i="23"/>
  <c r="D7466" i="23"/>
  <c r="D7467" i="23"/>
  <c r="D7468" i="23"/>
  <c r="D7469" i="23"/>
  <c r="D7470" i="23"/>
  <c r="D7471" i="23"/>
  <c r="D7472" i="23"/>
  <c r="D7473" i="23"/>
  <c r="D7474" i="23"/>
  <c r="D7475" i="23"/>
  <c r="D7476" i="23"/>
  <c r="D7477" i="23"/>
  <c r="D7478" i="23"/>
  <c r="D7479" i="23"/>
  <c r="D7480" i="23"/>
  <c r="D7481" i="23"/>
  <c r="D7482" i="23"/>
  <c r="D7483" i="23"/>
  <c r="D7484" i="23"/>
  <c r="D7485" i="23"/>
  <c r="D7486" i="23"/>
  <c r="D7487" i="23"/>
  <c r="D7488" i="23"/>
  <c r="D7489" i="23"/>
  <c r="D7490" i="23"/>
  <c r="D7491" i="23"/>
  <c r="D7492" i="23"/>
  <c r="D7493" i="23"/>
  <c r="D7494" i="23"/>
  <c r="D7495" i="23"/>
  <c r="D7496" i="23"/>
  <c r="D7497" i="23"/>
  <c r="D7498" i="23"/>
  <c r="D7499" i="23"/>
  <c r="D7500" i="23"/>
  <c r="D7501" i="23"/>
  <c r="D7502" i="23"/>
  <c r="D7503" i="23"/>
  <c r="D7504" i="23"/>
  <c r="D7505" i="23"/>
  <c r="D7506" i="23"/>
  <c r="D7507" i="23"/>
  <c r="D7508" i="23"/>
  <c r="D7509" i="23"/>
  <c r="D7510" i="23"/>
  <c r="D7511" i="23"/>
  <c r="D7512" i="23"/>
  <c r="D7513" i="23"/>
  <c r="D7514" i="23"/>
  <c r="D7515" i="23"/>
  <c r="D7516" i="23"/>
  <c r="D7517" i="23"/>
  <c r="D7518" i="23"/>
  <c r="D7519" i="23"/>
  <c r="D7520" i="23"/>
  <c r="D7521" i="23"/>
  <c r="D7522" i="23"/>
  <c r="D7523" i="23"/>
  <c r="D7524" i="23"/>
  <c r="D7525" i="23"/>
  <c r="D7526" i="23"/>
  <c r="D7527" i="23"/>
  <c r="D7528" i="23"/>
  <c r="D7529" i="23"/>
  <c r="D7530" i="23"/>
  <c r="D7531" i="23"/>
  <c r="D7532" i="23"/>
  <c r="D7533" i="23"/>
  <c r="D7534" i="23"/>
  <c r="D7535" i="23"/>
  <c r="D7536" i="23"/>
  <c r="D7537" i="23"/>
  <c r="D7538" i="23"/>
  <c r="D7539" i="23"/>
  <c r="D7540" i="23"/>
  <c r="D7541" i="23"/>
  <c r="D7542" i="23"/>
  <c r="D7543" i="23"/>
  <c r="D7544" i="23"/>
  <c r="D7545" i="23"/>
  <c r="D7546" i="23"/>
  <c r="D7547" i="23"/>
  <c r="D7548" i="23"/>
  <c r="D7549" i="23"/>
  <c r="D7550" i="23"/>
  <c r="D7551" i="23"/>
  <c r="D7552" i="23"/>
  <c r="D7553" i="23"/>
  <c r="D7554" i="23"/>
  <c r="D7555" i="23"/>
  <c r="D7556" i="23"/>
  <c r="D7557" i="23"/>
  <c r="D7558" i="23"/>
  <c r="D7559" i="23"/>
  <c r="D7560" i="23"/>
  <c r="D7561" i="23"/>
  <c r="D7562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41" i="23"/>
  <c r="D7942" i="23"/>
  <c r="D7943" i="23"/>
  <c r="D7944" i="23"/>
  <c r="D7945" i="23"/>
  <c r="D7946" i="23"/>
  <c r="D7947" i="23"/>
  <c r="D7948" i="23"/>
  <c r="D7949" i="23"/>
  <c r="D7950" i="23"/>
  <c r="D7951" i="23"/>
  <c r="D7952" i="23"/>
  <c r="D7953" i="23"/>
  <c r="D7954" i="23"/>
  <c r="D7955" i="23"/>
  <c r="D7956" i="23"/>
  <c r="D7957" i="23"/>
  <c r="D7958" i="23"/>
  <c r="D7959" i="23"/>
  <c r="D7960" i="23"/>
  <c r="D7961" i="23"/>
  <c r="D7962" i="23"/>
  <c r="D7963" i="23"/>
  <c r="D7964" i="23"/>
  <c r="D7965" i="23"/>
  <c r="D7966" i="23"/>
  <c r="D7967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294" i="23"/>
  <c r="D6295" i="23"/>
  <c r="D6296" i="23"/>
  <c r="D6297" i="23"/>
  <c r="D6298" i="23"/>
  <c r="D6299" i="23"/>
  <c r="D6300" i="23"/>
  <c r="D6301" i="23"/>
  <c r="D6302" i="23"/>
  <c r="D6303" i="23"/>
  <c r="D6304" i="23"/>
  <c r="D6305" i="23"/>
  <c r="D6306" i="23"/>
  <c r="D6307" i="23"/>
  <c r="D6308" i="23"/>
  <c r="D6309" i="23"/>
  <c r="D6310" i="23"/>
  <c r="D6311" i="23"/>
  <c r="D6312" i="23"/>
  <c r="D6313" i="23"/>
  <c r="D6314" i="23"/>
  <c r="D6315" i="23"/>
  <c r="D6316" i="23"/>
  <c r="D6317" i="23"/>
  <c r="D6318" i="23"/>
  <c r="D6319" i="23"/>
  <c r="D6320" i="23"/>
  <c r="D6321" i="23"/>
  <c r="D6322" i="23"/>
  <c r="D6323" i="23"/>
  <c r="D6324" i="23"/>
  <c r="D6325" i="23"/>
  <c r="D6326" i="23"/>
  <c r="D6327" i="23"/>
  <c r="D6328" i="23"/>
  <c r="D6329" i="23"/>
  <c r="D6330" i="23"/>
  <c r="D6331" i="23"/>
  <c r="D6332" i="23"/>
  <c r="D6333" i="23"/>
  <c r="D6334" i="23"/>
  <c r="D6335" i="23"/>
  <c r="D6336" i="23"/>
  <c r="D6337" i="23"/>
  <c r="D6338" i="23"/>
  <c r="D6339" i="23"/>
  <c r="D6340" i="23"/>
  <c r="D6341" i="23"/>
  <c r="D6342" i="23"/>
  <c r="D6343" i="23"/>
  <c r="D6344" i="23"/>
  <c r="D6345" i="23"/>
  <c r="D6346" i="23"/>
  <c r="D6347" i="23"/>
  <c r="D6348" i="23"/>
  <c r="D6349" i="23"/>
  <c r="D6350" i="23"/>
  <c r="D6351" i="23"/>
  <c r="D6352" i="23"/>
  <c r="D6353" i="23"/>
  <c r="D6354" i="23"/>
  <c r="D6355" i="23"/>
  <c r="D6356" i="23"/>
  <c r="D6357" i="23"/>
  <c r="D6358" i="23"/>
  <c r="D6359" i="23"/>
  <c r="D6360" i="23"/>
  <c r="D6361" i="23"/>
  <c r="D6362" i="23"/>
  <c r="D6363" i="23"/>
  <c r="D6364" i="23"/>
  <c r="D6365" i="23"/>
  <c r="D6366" i="23"/>
  <c r="D6367" i="23"/>
  <c r="D6368" i="23"/>
  <c r="D6369" i="23"/>
  <c r="D6370" i="23"/>
  <c r="D6371" i="23"/>
  <c r="D6372" i="23"/>
  <c r="D6373" i="23"/>
  <c r="D6374" i="23"/>
  <c r="D6375" i="23"/>
  <c r="D6376" i="23"/>
  <c r="D6377" i="23"/>
  <c r="D6378" i="23"/>
  <c r="D6379" i="23"/>
  <c r="D6380" i="23"/>
  <c r="D6381" i="23"/>
  <c r="D6382" i="23"/>
  <c r="D6383" i="23"/>
  <c r="D6384" i="23"/>
  <c r="D6385" i="23"/>
  <c r="D6386" i="23"/>
  <c r="D6387" i="23"/>
  <c r="D6388" i="23"/>
  <c r="D6389" i="23"/>
  <c r="D6390" i="23"/>
  <c r="D6391" i="23"/>
  <c r="D6392" i="23"/>
  <c r="D6393" i="23"/>
  <c r="D6394" i="23"/>
  <c r="D6395" i="23"/>
  <c r="D6396" i="23"/>
  <c r="D6397" i="23"/>
  <c r="D6398" i="23"/>
  <c r="D6399" i="23"/>
  <c r="D6400" i="23"/>
  <c r="D6401" i="23"/>
  <c r="D6402" i="23"/>
  <c r="D6403" i="23"/>
  <c r="D6404" i="23"/>
  <c r="D6405" i="23"/>
  <c r="D6406" i="23"/>
  <c r="D6407" i="23"/>
  <c r="D6408" i="23"/>
  <c r="D6409" i="23"/>
  <c r="D6410" i="23"/>
  <c r="D6411" i="23"/>
  <c r="D6412" i="23"/>
  <c r="D6413" i="23"/>
  <c r="D6414" i="23"/>
  <c r="D6415" i="23"/>
  <c r="D6416" i="23"/>
  <c r="D6417" i="23"/>
  <c r="D6418" i="23"/>
  <c r="D6419" i="23"/>
  <c r="D6420" i="23"/>
  <c r="D6421" i="23"/>
  <c r="D6422" i="23"/>
  <c r="D6423" i="23"/>
  <c r="D6424" i="23"/>
  <c r="D6425" i="23"/>
  <c r="D6426" i="23"/>
  <c r="D6427" i="23"/>
  <c r="D6428" i="23"/>
  <c r="D6429" i="23"/>
  <c r="D6430" i="23"/>
  <c r="D6431" i="23"/>
  <c r="D6432" i="23"/>
  <c r="D6433" i="23"/>
  <c r="D6434" i="23"/>
  <c r="D6435" i="23"/>
  <c r="D6436" i="23"/>
  <c r="D6437" i="23"/>
  <c r="D6438" i="23"/>
  <c r="D6439" i="23"/>
  <c r="D6440" i="23"/>
  <c r="D6441" i="23"/>
  <c r="D6442" i="23"/>
  <c r="D6443" i="23"/>
  <c r="D6444" i="23"/>
  <c r="D6445" i="23"/>
  <c r="D6446" i="23"/>
  <c r="D6447" i="23"/>
  <c r="D6448" i="23"/>
  <c r="D6449" i="23"/>
  <c r="D6450" i="23"/>
  <c r="D6451" i="23"/>
  <c r="D6452" i="23"/>
  <c r="D6453" i="23"/>
  <c r="D6454" i="23"/>
  <c r="D6455" i="23"/>
  <c r="D6456" i="23"/>
  <c r="D6457" i="23"/>
  <c r="D6458" i="23"/>
  <c r="D6459" i="23"/>
  <c r="D6460" i="23"/>
  <c r="D6461" i="23"/>
  <c r="D6462" i="23"/>
  <c r="D6463" i="23"/>
  <c r="D6464" i="23"/>
  <c r="D6465" i="23"/>
  <c r="D6466" i="23"/>
  <c r="D6467" i="23"/>
  <c r="D6468" i="23"/>
  <c r="D6469" i="23"/>
  <c r="D6470" i="23"/>
  <c r="D6471" i="23"/>
  <c r="D6472" i="23"/>
  <c r="D6473" i="23"/>
  <c r="D6474" i="23"/>
  <c r="D6475" i="23"/>
  <c r="D6476" i="23"/>
  <c r="D6477" i="23"/>
  <c r="D6478" i="23"/>
  <c r="D6479" i="23"/>
  <c r="D6480" i="23"/>
  <c r="D6481" i="23"/>
  <c r="D6482" i="23"/>
  <c r="D6483" i="23"/>
  <c r="D6484" i="23"/>
  <c r="D6485" i="23"/>
  <c r="D6486" i="23"/>
  <c r="D6487" i="23"/>
  <c r="D6488" i="23"/>
  <c r="D6489" i="23"/>
  <c r="D6490" i="23"/>
  <c r="D6491" i="23"/>
  <c r="D6492" i="23"/>
  <c r="D6493" i="23"/>
  <c r="D6494" i="23"/>
  <c r="D6495" i="23"/>
  <c r="D6496" i="23"/>
  <c r="D6497" i="23"/>
  <c r="D6498" i="23"/>
  <c r="D6499" i="23"/>
  <c r="D6500" i="23"/>
  <c r="D6501" i="23"/>
  <c r="D6502" i="23"/>
  <c r="D6503" i="23"/>
  <c r="D6504" i="23"/>
  <c r="D6505" i="23"/>
  <c r="D6506" i="23"/>
  <c r="D6507" i="23"/>
  <c r="D6508" i="23"/>
  <c r="D6509" i="23"/>
  <c r="D6510" i="23"/>
  <c r="D6511" i="23"/>
  <c r="D6512" i="23"/>
  <c r="D6513" i="23"/>
  <c r="D6514" i="23"/>
  <c r="D6515" i="23"/>
  <c r="D6516" i="23"/>
  <c r="D6517" i="23"/>
  <c r="D6518" i="23"/>
  <c r="D6519" i="23"/>
  <c r="D6520" i="23"/>
  <c r="D6521" i="23"/>
  <c r="D6522" i="23"/>
  <c r="D6523" i="23"/>
  <c r="D6524" i="23"/>
  <c r="D6525" i="23"/>
  <c r="D6526" i="23"/>
  <c r="D6527" i="23"/>
  <c r="D6528" i="23"/>
  <c r="D6529" i="23"/>
  <c r="D6530" i="23"/>
  <c r="D6531" i="23"/>
  <c r="D6532" i="23"/>
  <c r="D6533" i="23"/>
  <c r="D6534" i="23"/>
  <c r="D6535" i="23"/>
  <c r="D6536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15" i="23"/>
  <c r="D6916" i="23"/>
  <c r="D6917" i="23"/>
  <c r="D6918" i="23"/>
  <c r="D6919" i="23"/>
  <c r="D6920" i="23"/>
  <c r="D6921" i="23"/>
  <c r="D6922" i="23"/>
  <c r="D6923" i="23"/>
  <c r="D6924" i="23"/>
  <c r="D6925" i="23"/>
  <c r="D6926" i="23"/>
  <c r="D6927" i="23"/>
  <c r="D6928" i="23"/>
  <c r="D6929" i="23"/>
  <c r="D6930" i="23"/>
  <c r="D6931" i="23"/>
  <c r="D6932" i="23"/>
  <c r="D6933" i="23"/>
  <c r="D6934" i="23"/>
  <c r="D6935" i="23"/>
  <c r="D6936" i="23"/>
  <c r="D6937" i="23"/>
  <c r="D6938" i="23"/>
  <c r="D6939" i="23"/>
  <c r="D6940" i="23"/>
  <c r="D6941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268" i="23"/>
  <c r="D5269" i="23"/>
  <c r="D5270" i="23"/>
  <c r="D5271" i="23"/>
  <c r="D5272" i="23"/>
  <c r="D5273" i="23"/>
  <c r="D5274" i="23"/>
  <c r="D5275" i="23"/>
  <c r="D5276" i="23"/>
  <c r="D5277" i="23"/>
  <c r="D5278" i="23"/>
  <c r="D5279" i="23"/>
  <c r="D5280" i="23"/>
  <c r="D5281" i="23"/>
  <c r="D5282" i="23"/>
  <c r="D5283" i="23"/>
  <c r="D5284" i="23"/>
  <c r="D5285" i="23"/>
  <c r="D5286" i="23"/>
  <c r="D5287" i="23"/>
  <c r="D5288" i="23"/>
  <c r="D5289" i="23"/>
  <c r="D5290" i="23"/>
  <c r="D5291" i="23"/>
  <c r="D5292" i="23"/>
  <c r="D5293" i="23"/>
  <c r="D5294" i="23"/>
  <c r="D5295" i="23"/>
  <c r="D5296" i="23"/>
  <c r="D5297" i="23"/>
  <c r="D5298" i="23"/>
  <c r="D5299" i="23"/>
  <c r="D5300" i="23"/>
  <c r="D5301" i="23"/>
  <c r="D5302" i="23"/>
  <c r="D5303" i="23"/>
  <c r="D5304" i="23"/>
  <c r="D5305" i="23"/>
  <c r="D5306" i="23"/>
  <c r="D5307" i="23"/>
  <c r="D5308" i="23"/>
  <c r="D5309" i="23"/>
  <c r="D5310" i="23"/>
  <c r="D5311" i="23"/>
  <c r="D5312" i="23"/>
  <c r="D5313" i="23"/>
  <c r="D5314" i="23"/>
  <c r="D5315" i="23"/>
  <c r="D5316" i="23"/>
  <c r="D5317" i="23"/>
  <c r="D5318" i="23"/>
  <c r="D5319" i="23"/>
  <c r="D5320" i="23"/>
  <c r="D5321" i="23"/>
  <c r="D5322" i="23"/>
  <c r="D5323" i="23"/>
  <c r="D5324" i="23"/>
  <c r="D5325" i="23"/>
  <c r="D5326" i="23"/>
  <c r="D5327" i="23"/>
  <c r="D5328" i="23"/>
  <c r="D5329" i="23"/>
  <c r="D5330" i="23"/>
  <c r="D5331" i="23"/>
  <c r="D5332" i="23"/>
  <c r="D5333" i="23"/>
  <c r="D5334" i="23"/>
  <c r="D5335" i="23"/>
  <c r="D5336" i="23"/>
  <c r="D5337" i="23"/>
  <c r="D5338" i="23"/>
  <c r="D5339" i="23"/>
  <c r="D5340" i="23"/>
  <c r="D5341" i="23"/>
  <c r="D5342" i="23"/>
  <c r="D5343" i="23"/>
  <c r="D5344" i="23"/>
  <c r="D5345" i="23"/>
  <c r="D5346" i="23"/>
  <c r="D5347" i="23"/>
  <c r="D5348" i="23"/>
  <c r="D5349" i="23"/>
  <c r="D5350" i="23"/>
  <c r="D5351" i="23"/>
  <c r="D5352" i="23"/>
  <c r="D5353" i="23"/>
  <c r="D5354" i="23"/>
  <c r="D5355" i="23"/>
  <c r="D5356" i="23"/>
  <c r="D5357" i="23"/>
  <c r="D5358" i="23"/>
  <c r="D5359" i="23"/>
  <c r="D5360" i="23"/>
  <c r="D5361" i="23"/>
  <c r="D5362" i="23"/>
  <c r="D5363" i="23"/>
  <c r="D5364" i="23"/>
  <c r="D5365" i="23"/>
  <c r="D5366" i="23"/>
  <c r="D5367" i="23"/>
  <c r="D5368" i="23"/>
  <c r="D5369" i="23"/>
  <c r="D5370" i="23"/>
  <c r="D5371" i="23"/>
  <c r="D5372" i="23"/>
  <c r="D5373" i="23"/>
  <c r="D5374" i="23"/>
  <c r="D5375" i="23"/>
  <c r="D5376" i="23"/>
  <c r="D5377" i="23"/>
  <c r="D5378" i="23"/>
  <c r="D5379" i="23"/>
  <c r="D5380" i="23"/>
  <c r="D5381" i="23"/>
  <c r="D5382" i="23"/>
  <c r="D5383" i="23"/>
  <c r="D5384" i="23"/>
  <c r="D5385" i="23"/>
  <c r="D5386" i="23"/>
  <c r="D5387" i="23"/>
  <c r="D5388" i="23"/>
  <c r="D5389" i="23"/>
  <c r="D5390" i="23"/>
  <c r="D5391" i="23"/>
  <c r="D5392" i="23"/>
  <c r="D5393" i="23"/>
  <c r="D5394" i="23"/>
  <c r="D5395" i="23"/>
  <c r="D5396" i="23"/>
  <c r="D5397" i="23"/>
  <c r="D5398" i="23"/>
  <c r="D5399" i="23"/>
  <c r="D5400" i="23"/>
  <c r="D5401" i="23"/>
  <c r="D5402" i="23"/>
  <c r="D5403" i="23"/>
  <c r="D5404" i="23"/>
  <c r="D5405" i="23"/>
  <c r="D5406" i="23"/>
  <c r="D5407" i="23"/>
  <c r="D5408" i="23"/>
  <c r="D5409" i="23"/>
  <c r="D5410" i="23"/>
  <c r="D5411" i="23"/>
  <c r="D5412" i="23"/>
  <c r="D5413" i="23"/>
  <c r="D5414" i="23"/>
  <c r="D5415" i="23"/>
  <c r="D5416" i="23"/>
  <c r="D5417" i="23"/>
  <c r="D5418" i="23"/>
  <c r="D5419" i="23"/>
  <c r="D5420" i="23"/>
  <c r="D5421" i="23"/>
  <c r="D5422" i="23"/>
  <c r="D5423" i="23"/>
  <c r="D5424" i="23"/>
  <c r="D5425" i="23"/>
  <c r="D5426" i="23"/>
  <c r="D5427" i="23"/>
  <c r="D5428" i="23"/>
  <c r="D5429" i="23"/>
  <c r="D5430" i="23"/>
  <c r="D5431" i="23"/>
  <c r="D5432" i="23"/>
  <c r="D5433" i="23"/>
  <c r="D5434" i="23"/>
  <c r="D5435" i="23"/>
  <c r="D5436" i="23"/>
  <c r="D5437" i="23"/>
  <c r="D5438" i="23"/>
  <c r="D5439" i="23"/>
  <c r="D5440" i="23"/>
  <c r="D5441" i="23"/>
  <c r="D5442" i="23"/>
  <c r="D5443" i="23"/>
  <c r="D5444" i="23"/>
  <c r="D5445" i="23"/>
  <c r="D5446" i="23"/>
  <c r="D5447" i="23"/>
  <c r="D5448" i="23"/>
  <c r="D5449" i="23"/>
  <c r="D5450" i="23"/>
  <c r="D5451" i="23"/>
  <c r="D5452" i="23"/>
  <c r="D5453" i="23"/>
  <c r="D5454" i="23"/>
  <c r="D5455" i="23"/>
  <c r="D5456" i="23"/>
  <c r="D5457" i="23"/>
  <c r="D5458" i="23"/>
  <c r="D5459" i="23"/>
  <c r="D5460" i="23"/>
  <c r="D5461" i="23"/>
  <c r="D5462" i="23"/>
  <c r="D5463" i="23"/>
  <c r="D5464" i="23"/>
  <c r="D5465" i="23"/>
  <c r="D5466" i="23"/>
  <c r="D5467" i="23"/>
  <c r="D5468" i="23"/>
  <c r="D5469" i="23"/>
  <c r="D5470" i="23"/>
  <c r="D5471" i="23"/>
  <c r="D5472" i="23"/>
  <c r="D5473" i="23"/>
  <c r="D5474" i="23"/>
  <c r="D5475" i="23"/>
  <c r="D5476" i="23"/>
  <c r="D5477" i="23"/>
  <c r="D5478" i="23"/>
  <c r="D5479" i="23"/>
  <c r="D5480" i="23"/>
  <c r="D5481" i="23"/>
  <c r="D5482" i="23"/>
  <c r="D5483" i="23"/>
  <c r="D5484" i="23"/>
  <c r="D5485" i="23"/>
  <c r="D5486" i="23"/>
  <c r="D5487" i="23"/>
  <c r="D5488" i="23"/>
  <c r="D5489" i="23"/>
  <c r="D5490" i="23"/>
  <c r="D5491" i="23"/>
  <c r="D5492" i="23"/>
  <c r="D5493" i="23"/>
  <c r="D5494" i="23"/>
  <c r="D5495" i="23"/>
  <c r="D5496" i="23"/>
  <c r="D5497" i="23"/>
  <c r="D5498" i="23"/>
  <c r="D5499" i="23"/>
  <c r="D5500" i="23"/>
  <c r="D5501" i="23"/>
  <c r="D5502" i="23"/>
  <c r="D5503" i="23"/>
  <c r="D5504" i="23"/>
  <c r="D5505" i="23"/>
  <c r="D5506" i="23"/>
  <c r="D5507" i="23"/>
  <c r="D5508" i="23"/>
  <c r="D5509" i="23"/>
  <c r="D5510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889" i="23"/>
  <c r="D5890" i="23"/>
  <c r="D5891" i="23"/>
  <c r="D5892" i="23"/>
  <c r="D5893" i="23"/>
  <c r="D5894" i="23"/>
  <c r="D5895" i="23"/>
  <c r="D5896" i="23"/>
  <c r="D5897" i="23"/>
  <c r="D5898" i="23"/>
  <c r="D5899" i="23"/>
  <c r="D5900" i="23"/>
  <c r="D5901" i="23"/>
  <c r="D5902" i="23"/>
  <c r="D5903" i="23"/>
  <c r="D5904" i="23"/>
  <c r="D5905" i="23"/>
  <c r="D5906" i="23"/>
  <c r="D5907" i="23"/>
  <c r="D5908" i="23"/>
  <c r="D5909" i="23"/>
  <c r="D5910" i="23"/>
  <c r="D5911" i="23"/>
  <c r="D5912" i="23"/>
  <c r="D5913" i="23"/>
  <c r="D5914" i="23"/>
  <c r="D5915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A11450" i="23"/>
  <c r="C11449" i="23"/>
  <c r="A11449" i="23"/>
  <c r="C11448" i="23"/>
  <c r="A11448" i="23"/>
  <c r="C11447" i="23"/>
  <c r="A11447" i="23"/>
  <c r="C11446" i="23"/>
  <c r="A11446" i="23"/>
  <c r="C11445" i="23"/>
  <c r="A11445" i="23"/>
  <c r="C11444" i="23"/>
  <c r="A11444" i="23"/>
  <c r="C11443" i="23"/>
  <c r="A11443" i="23"/>
  <c r="C11442" i="23"/>
  <c r="A11442" i="23"/>
  <c r="C11441" i="23"/>
  <c r="A11441" i="23"/>
  <c r="C11440" i="23"/>
  <c r="A11440" i="23"/>
  <c r="C11439" i="23"/>
  <c r="A11439" i="23"/>
  <c r="C11438" i="23"/>
  <c r="A11438" i="23"/>
  <c r="C11437" i="23"/>
  <c r="A11437" i="23"/>
  <c r="C11436" i="23"/>
  <c r="A11436" i="23"/>
  <c r="C11435" i="23"/>
  <c r="A11435" i="23"/>
  <c r="C11434" i="23"/>
  <c r="A11434" i="23"/>
  <c r="C11433" i="23"/>
  <c r="A11433" i="23"/>
  <c r="C11432" i="23"/>
  <c r="A11432" i="23"/>
  <c r="C11431" i="23"/>
  <c r="A11431" i="23"/>
  <c r="C11430" i="23"/>
  <c r="A11430" i="23"/>
  <c r="C11429" i="23"/>
  <c r="A11429" i="23"/>
  <c r="C11428" i="23"/>
  <c r="A11428" i="23"/>
  <c r="C11427" i="23"/>
  <c r="A11427" i="23"/>
  <c r="C11426" i="23"/>
  <c r="A11426" i="23"/>
  <c r="C11425" i="23"/>
  <c r="A11425" i="23"/>
  <c r="C11424" i="23"/>
  <c r="A11424" i="23"/>
  <c r="C11477" i="23"/>
  <c r="A11477" i="23"/>
  <c r="C11476" i="23"/>
  <c r="A11476" i="23"/>
  <c r="C11475" i="23"/>
  <c r="A11475" i="23"/>
  <c r="C11474" i="23"/>
  <c r="A11474" i="23"/>
  <c r="C11473" i="23"/>
  <c r="A11473" i="23"/>
  <c r="C11472" i="23"/>
  <c r="A11472" i="23"/>
  <c r="C11471" i="23"/>
  <c r="A11471" i="23"/>
  <c r="C11470" i="23"/>
  <c r="A11470" i="23"/>
  <c r="C11469" i="23"/>
  <c r="A11469" i="23"/>
  <c r="C11468" i="23"/>
  <c r="A11468" i="23"/>
  <c r="C11467" i="23"/>
  <c r="A11467" i="23"/>
  <c r="C11466" i="23"/>
  <c r="A11466" i="23"/>
  <c r="C11465" i="23"/>
  <c r="A11465" i="23"/>
  <c r="C11464" i="23"/>
  <c r="A11464" i="23"/>
  <c r="C11463" i="23"/>
  <c r="A11463" i="23"/>
  <c r="C11462" i="23"/>
  <c r="A11462" i="23"/>
  <c r="C11461" i="23"/>
  <c r="A11461" i="23"/>
  <c r="C11460" i="23"/>
  <c r="A11460" i="23"/>
  <c r="C11459" i="23"/>
  <c r="A11459" i="23"/>
  <c r="C11458" i="23"/>
  <c r="A11458" i="23"/>
  <c r="C11457" i="23"/>
  <c r="A11457" i="23"/>
  <c r="C11456" i="23"/>
  <c r="A11456" i="23"/>
  <c r="C11455" i="23"/>
  <c r="A11455" i="23"/>
  <c r="C11454" i="23"/>
  <c r="A11454" i="23"/>
  <c r="C11453" i="23"/>
  <c r="A11453" i="23"/>
  <c r="C11452" i="23"/>
  <c r="A11452" i="23"/>
  <c r="C11451" i="23"/>
  <c r="A11451" i="23"/>
  <c r="C11504" i="23"/>
  <c r="A11504" i="23"/>
  <c r="C11503" i="23"/>
  <c r="A11503" i="23"/>
  <c r="C11502" i="23"/>
  <c r="A11502" i="23"/>
  <c r="C11501" i="23"/>
  <c r="A11501" i="23"/>
  <c r="C11500" i="23"/>
  <c r="A11500" i="23"/>
  <c r="C11499" i="23"/>
  <c r="A11499" i="23"/>
  <c r="C11498" i="23"/>
  <c r="A11498" i="23"/>
  <c r="C11497" i="23"/>
  <c r="A11497" i="23"/>
  <c r="C11496" i="23"/>
  <c r="A11496" i="23"/>
  <c r="C11495" i="23"/>
  <c r="A11495" i="23"/>
  <c r="C11494" i="23"/>
  <c r="A11494" i="23"/>
  <c r="C11493" i="23"/>
  <c r="A11493" i="23"/>
  <c r="C11492" i="23"/>
  <c r="A11492" i="23"/>
  <c r="C11491" i="23"/>
  <c r="A11491" i="23"/>
  <c r="C11490" i="23"/>
  <c r="A11490" i="23"/>
  <c r="C11489" i="23"/>
  <c r="A11489" i="23"/>
  <c r="C11488" i="23"/>
  <c r="A11488" i="23"/>
  <c r="C11487" i="23"/>
  <c r="A11487" i="23"/>
  <c r="C11486" i="23"/>
  <c r="A11486" i="23"/>
  <c r="C11485" i="23"/>
  <c r="A11485" i="23"/>
  <c r="C11484" i="23"/>
  <c r="A11484" i="23"/>
  <c r="C11483" i="23"/>
  <c r="A11483" i="23"/>
  <c r="C11482" i="23"/>
  <c r="A11482" i="23"/>
  <c r="C11481" i="23"/>
  <c r="A11481" i="23"/>
  <c r="C11480" i="23"/>
  <c r="A11480" i="23"/>
  <c r="C11479" i="23"/>
  <c r="A11479" i="23"/>
  <c r="C11478" i="23"/>
  <c r="A11478" i="23"/>
  <c r="C11531" i="23"/>
  <c r="A11531" i="23"/>
  <c r="C11530" i="23"/>
  <c r="A11530" i="23"/>
  <c r="C11529" i="23"/>
  <c r="A11529" i="23"/>
  <c r="C11528" i="23"/>
  <c r="A11528" i="23"/>
  <c r="C11527" i="23"/>
  <c r="A11527" i="23"/>
  <c r="C11526" i="23"/>
  <c r="A11526" i="23"/>
  <c r="C11525" i="23"/>
  <c r="A11525" i="23"/>
  <c r="C11524" i="23"/>
  <c r="A11524" i="23"/>
  <c r="C11523" i="23"/>
  <c r="A11523" i="23"/>
  <c r="C11522" i="23"/>
  <c r="A11522" i="23"/>
  <c r="C11521" i="23"/>
  <c r="A11521" i="23"/>
  <c r="C11520" i="23"/>
  <c r="A11520" i="23"/>
  <c r="C11519" i="23"/>
  <c r="A11519" i="23"/>
  <c r="C11518" i="23"/>
  <c r="A11518" i="23"/>
  <c r="C11517" i="23"/>
  <c r="A11517" i="23"/>
  <c r="C11516" i="23"/>
  <c r="A11516" i="23"/>
  <c r="C11515" i="23"/>
  <c r="A11515" i="23"/>
  <c r="C11514" i="23"/>
  <c r="A11514" i="23"/>
  <c r="C11513" i="23"/>
  <c r="A11513" i="23"/>
  <c r="C11512" i="23"/>
  <c r="A11512" i="23"/>
  <c r="C11511" i="23"/>
  <c r="A11511" i="23"/>
  <c r="C11510" i="23"/>
  <c r="A11510" i="23"/>
  <c r="C11509" i="23"/>
  <c r="A11509" i="23"/>
  <c r="C11508" i="23"/>
  <c r="A11508" i="23"/>
  <c r="C11507" i="23"/>
  <c r="A11507" i="23"/>
  <c r="C11506" i="23"/>
  <c r="A11506" i="23"/>
  <c r="C11505" i="23"/>
  <c r="A11505" i="23"/>
  <c r="C11558" i="23"/>
  <c r="A11558" i="23"/>
  <c r="C11557" i="23"/>
  <c r="A11557" i="23"/>
  <c r="C11556" i="23"/>
  <c r="A11556" i="23"/>
  <c r="C11555" i="23"/>
  <c r="A11555" i="23"/>
  <c r="C11554" i="23"/>
  <c r="A11554" i="23"/>
  <c r="C11553" i="23"/>
  <c r="A11553" i="23"/>
  <c r="C11552" i="23"/>
  <c r="A11552" i="23"/>
  <c r="C11551" i="23"/>
  <c r="A11551" i="23"/>
  <c r="C11550" i="23"/>
  <c r="A11550" i="23"/>
  <c r="C11549" i="23"/>
  <c r="A11549" i="23"/>
  <c r="C11548" i="23"/>
  <c r="A11548" i="23"/>
  <c r="C11547" i="23"/>
  <c r="A11547" i="23"/>
  <c r="C11546" i="23"/>
  <c r="A11546" i="23"/>
  <c r="C11545" i="23"/>
  <c r="A11545" i="23"/>
  <c r="C11544" i="23"/>
  <c r="A11544" i="23"/>
  <c r="C11543" i="23"/>
  <c r="A11543" i="23"/>
  <c r="C11542" i="23"/>
  <c r="A11542" i="23"/>
  <c r="C11541" i="23"/>
  <c r="A11541" i="23"/>
  <c r="C11540" i="23"/>
  <c r="A11540" i="23"/>
  <c r="C11539" i="23"/>
  <c r="A11539" i="23"/>
  <c r="C11538" i="23"/>
  <c r="A11538" i="23"/>
  <c r="C11537" i="23"/>
  <c r="A11537" i="23"/>
  <c r="C11536" i="23"/>
  <c r="A11536" i="23"/>
  <c r="C11535" i="23"/>
  <c r="A11535" i="23"/>
  <c r="C11534" i="23"/>
  <c r="A11534" i="23"/>
  <c r="C11533" i="23"/>
  <c r="A11533" i="23"/>
  <c r="C11532" i="23"/>
  <c r="A11532" i="23"/>
  <c r="C11585" i="23"/>
  <c r="A11585" i="23"/>
  <c r="C11584" i="23"/>
  <c r="A11584" i="23"/>
  <c r="C11583" i="23"/>
  <c r="A11583" i="23"/>
  <c r="C11582" i="23"/>
  <c r="A11582" i="23"/>
  <c r="C11581" i="23"/>
  <c r="A11581" i="23"/>
  <c r="C11580" i="23"/>
  <c r="A11580" i="23"/>
  <c r="C11579" i="23"/>
  <c r="A11579" i="23"/>
  <c r="C11578" i="23"/>
  <c r="A11578" i="23"/>
  <c r="C11577" i="23"/>
  <c r="A11577" i="23"/>
  <c r="C11576" i="23"/>
  <c r="A11576" i="23"/>
  <c r="C11575" i="23"/>
  <c r="A11575" i="23"/>
  <c r="C11574" i="23"/>
  <c r="A11574" i="23"/>
  <c r="C11573" i="23"/>
  <c r="A11573" i="23"/>
  <c r="C11572" i="23"/>
  <c r="A11572" i="23"/>
  <c r="C11571" i="23"/>
  <c r="A11571" i="23"/>
  <c r="C11570" i="23"/>
  <c r="A11570" i="23"/>
  <c r="C11569" i="23"/>
  <c r="A11569" i="23"/>
  <c r="C11568" i="23"/>
  <c r="A11568" i="23"/>
  <c r="C11567" i="23"/>
  <c r="A11567" i="23"/>
  <c r="C11566" i="23"/>
  <c r="A11566" i="23"/>
  <c r="C11565" i="23"/>
  <c r="A11565" i="23"/>
  <c r="C11564" i="23"/>
  <c r="A11564" i="23"/>
  <c r="C11563" i="23"/>
  <c r="A11563" i="23"/>
  <c r="C11562" i="23"/>
  <c r="A11562" i="23"/>
  <c r="C11561" i="23"/>
  <c r="A11561" i="23"/>
  <c r="C11560" i="23"/>
  <c r="A11560" i="23"/>
  <c r="C11559" i="23"/>
  <c r="A11559" i="23"/>
  <c r="C11612" i="23"/>
  <c r="A11612" i="23"/>
  <c r="C11611" i="23"/>
  <c r="A11611" i="23"/>
  <c r="C11610" i="23"/>
  <c r="A11610" i="23"/>
  <c r="C11609" i="23"/>
  <c r="A11609" i="23"/>
  <c r="C11608" i="23"/>
  <c r="A11608" i="23"/>
  <c r="C11607" i="23"/>
  <c r="A11607" i="23"/>
  <c r="C11606" i="23"/>
  <c r="A11606" i="23"/>
  <c r="C11605" i="23"/>
  <c r="A11605" i="23"/>
  <c r="C11604" i="23"/>
  <c r="A11604" i="23"/>
  <c r="C11603" i="23"/>
  <c r="A11603" i="23"/>
  <c r="C11602" i="23"/>
  <c r="A11602" i="23"/>
  <c r="C11601" i="23"/>
  <c r="A11601" i="23"/>
  <c r="C11600" i="23"/>
  <c r="A11600" i="23"/>
  <c r="C11599" i="23"/>
  <c r="A11599" i="23"/>
  <c r="C11598" i="23"/>
  <c r="A11598" i="23"/>
  <c r="C11597" i="23"/>
  <c r="A11597" i="23"/>
  <c r="C11596" i="23"/>
  <c r="A11596" i="23"/>
  <c r="C11595" i="23"/>
  <c r="A11595" i="23"/>
  <c r="C11594" i="23"/>
  <c r="A11594" i="23"/>
  <c r="C11593" i="23"/>
  <c r="A11593" i="23"/>
  <c r="C11592" i="23"/>
  <c r="A11592" i="23"/>
  <c r="C11591" i="23"/>
  <c r="A11591" i="23"/>
  <c r="C11590" i="23"/>
  <c r="A11590" i="23"/>
  <c r="C11589" i="23"/>
  <c r="A11589" i="23"/>
  <c r="C11588" i="23"/>
  <c r="A11588" i="23"/>
  <c r="C11587" i="23"/>
  <c r="A11587" i="23"/>
  <c r="C11586" i="23"/>
  <c r="A11586" i="23"/>
  <c r="C11639" i="23"/>
  <c r="A11639" i="23"/>
  <c r="C11638" i="23"/>
  <c r="A11638" i="23"/>
  <c r="C11637" i="23"/>
  <c r="A11637" i="23"/>
  <c r="C11636" i="23"/>
  <c r="A11636" i="23"/>
  <c r="C11635" i="23"/>
  <c r="A11635" i="23"/>
  <c r="C11634" i="23"/>
  <c r="A11634" i="23"/>
  <c r="C11633" i="23"/>
  <c r="A11633" i="23"/>
  <c r="C11632" i="23"/>
  <c r="A11632" i="23"/>
  <c r="C11631" i="23"/>
  <c r="A11631" i="23"/>
  <c r="C11630" i="23"/>
  <c r="A11630" i="23"/>
  <c r="C11629" i="23"/>
  <c r="A11629" i="23"/>
  <c r="C11628" i="23"/>
  <c r="A11628" i="23"/>
  <c r="C11627" i="23"/>
  <c r="A11627" i="23"/>
  <c r="C11626" i="23"/>
  <c r="A11626" i="23"/>
  <c r="C11625" i="23"/>
  <c r="A11625" i="23"/>
  <c r="C11624" i="23"/>
  <c r="A11624" i="23"/>
  <c r="C11623" i="23"/>
  <c r="A11623" i="23"/>
  <c r="C11622" i="23"/>
  <c r="A11622" i="23"/>
  <c r="C11621" i="23"/>
  <c r="A11621" i="23"/>
  <c r="C11620" i="23"/>
  <c r="A11620" i="23"/>
  <c r="C11619" i="23"/>
  <c r="A11619" i="23"/>
  <c r="C11618" i="23"/>
  <c r="A11618" i="23"/>
  <c r="C11617" i="23"/>
  <c r="A11617" i="23"/>
  <c r="C11616" i="23"/>
  <c r="A11616" i="23"/>
  <c r="C11615" i="23"/>
  <c r="A11615" i="23"/>
  <c r="C11614" i="23"/>
  <c r="A11614" i="23"/>
  <c r="C11613" i="23"/>
  <c r="A11613" i="23"/>
  <c r="C11666" i="23"/>
  <c r="A11666" i="23"/>
  <c r="C11665" i="23"/>
  <c r="A11665" i="23"/>
  <c r="C11664" i="23"/>
  <c r="A11664" i="23"/>
  <c r="C11663" i="23"/>
  <c r="A11663" i="23"/>
  <c r="C11662" i="23"/>
  <c r="A11662" i="23"/>
  <c r="C11661" i="23"/>
  <c r="A11661" i="23"/>
  <c r="C11660" i="23"/>
  <c r="A11660" i="23"/>
  <c r="C11659" i="23"/>
  <c r="A11659" i="23"/>
  <c r="C11658" i="23"/>
  <c r="A11658" i="23"/>
  <c r="C11657" i="23"/>
  <c r="A11657" i="23"/>
  <c r="C11656" i="23"/>
  <c r="A11656" i="23"/>
  <c r="C11655" i="23"/>
  <c r="A11655" i="23"/>
  <c r="C11654" i="23"/>
  <c r="A11654" i="23"/>
  <c r="C11653" i="23"/>
  <c r="A11653" i="23"/>
  <c r="C11652" i="23"/>
  <c r="A11652" i="23"/>
  <c r="C11651" i="23"/>
  <c r="A11651" i="23"/>
  <c r="C11650" i="23"/>
  <c r="A11650" i="23"/>
  <c r="C11649" i="23"/>
  <c r="A11649" i="23"/>
  <c r="C11648" i="23"/>
  <c r="A11648" i="23"/>
  <c r="C11647" i="23"/>
  <c r="A11647" i="23"/>
  <c r="C11646" i="23"/>
  <c r="A11646" i="23"/>
  <c r="C11645" i="23"/>
  <c r="A11645" i="23"/>
  <c r="C11644" i="23"/>
  <c r="A11644" i="23"/>
  <c r="C11643" i="23"/>
  <c r="A11643" i="23"/>
  <c r="C11642" i="23"/>
  <c r="A11642" i="23"/>
  <c r="C11641" i="23"/>
  <c r="A11641" i="23"/>
  <c r="C11640" i="23"/>
  <c r="A11640" i="23"/>
  <c r="C11423" i="23"/>
  <c r="A11423" i="23"/>
  <c r="C11422" i="23"/>
  <c r="A11422" i="23"/>
  <c r="C11421" i="23"/>
  <c r="A11421" i="23"/>
  <c r="C11420" i="23"/>
  <c r="A11420" i="23"/>
  <c r="C11419" i="23"/>
  <c r="A11419" i="23"/>
  <c r="C11418" i="23"/>
  <c r="A11418" i="23"/>
  <c r="C11417" i="23"/>
  <c r="A11417" i="23"/>
  <c r="C11416" i="23"/>
  <c r="A11416" i="23"/>
  <c r="C11415" i="23"/>
  <c r="A11415" i="23"/>
  <c r="C11414" i="23"/>
  <c r="A11414" i="23"/>
  <c r="C11413" i="23"/>
  <c r="A11413" i="23"/>
  <c r="C11412" i="23"/>
  <c r="A11412" i="23"/>
  <c r="C11411" i="23"/>
  <c r="A11411" i="23"/>
  <c r="C11410" i="23"/>
  <c r="A11410" i="23"/>
  <c r="C11409" i="23"/>
  <c r="A11409" i="23"/>
  <c r="C11408" i="23"/>
  <c r="A11408" i="23"/>
  <c r="C11407" i="23"/>
  <c r="A11407" i="23"/>
  <c r="C11406" i="23"/>
  <c r="A11406" i="23"/>
  <c r="C11405" i="23"/>
  <c r="A11405" i="23"/>
  <c r="C11404" i="23"/>
  <c r="A11404" i="23"/>
  <c r="C11403" i="23"/>
  <c r="A11403" i="23"/>
  <c r="C11402" i="23"/>
  <c r="A11402" i="23"/>
  <c r="C11401" i="23"/>
  <c r="A11401" i="23"/>
  <c r="C11400" i="23"/>
  <c r="A11400" i="23"/>
  <c r="C11399" i="23"/>
  <c r="A11399" i="23"/>
  <c r="C11398" i="23"/>
  <c r="A11398" i="23"/>
  <c r="C11397" i="23"/>
  <c r="A11397" i="23"/>
  <c r="C11774" i="23"/>
  <c r="A11774" i="23"/>
  <c r="C11773" i="23"/>
  <c r="A11773" i="23"/>
  <c r="C11772" i="23"/>
  <c r="A11772" i="23"/>
  <c r="C11771" i="23"/>
  <c r="A11771" i="23"/>
  <c r="C11770" i="23"/>
  <c r="A11770" i="23"/>
  <c r="C11769" i="23"/>
  <c r="A11769" i="23"/>
  <c r="C11768" i="23"/>
  <c r="A11768" i="23"/>
  <c r="C11767" i="23"/>
  <c r="A11767" i="23"/>
  <c r="C11766" i="23"/>
  <c r="A11766" i="23"/>
  <c r="C11765" i="23"/>
  <c r="A11765" i="23"/>
  <c r="C11764" i="23"/>
  <c r="A11764" i="23"/>
  <c r="C11763" i="23"/>
  <c r="A11763" i="23"/>
  <c r="C11762" i="23"/>
  <c r="A11762" i="23"/>
  <c r="C11761" i="23"/>
  <c r="A11761" i="23"/>
  <c r="C11760" i="23"/>
  <c r="A11760" i="23"/>
  <c r="C11759" i="23"/>
  <c r="A11759" i="23"/>
  <c r="C11758" i="23"/>
  <c r="A11758" i="23"/>
  <c r="C11757" i="23"/>
  <c r="A11757" i="23"/>
  <c r="C11756" i="23"/>
  <c r="A11756" i="23"/>
  <c r="C11755" i="23"/>
  <c r="A11755" i="23"/>
  <c r="C11754" i="23"/>
  <c r="A11754" i="23"/>
  <c r="C11753" i="23"/>
  <c r="A11753" i="23"/>
  <c r="C11752" i="23"/>
  <c r="A11752" i="23"/>
  <c r="C11751" i="23"/>
  <c r="A11751" i="23"/>
  <c r="C11750" i="23"/>
  <c r="A11750" i="23"/>
  <c r="C11749" i="23"/>
  <c r="A11749" i="23"/>
  <c r="C11748" i="23"/>
  <c r="A11748" i="23"/>
  <c r="C12125" i="23"/>
  <c r="A12125" i="23"/>
  <c r="C12124" i="23"/>
  <c r="A12124" i="23"/>
  <c r="C12123" i="23"/>
  <c r="A12123" i="23"/>
  <c r="C12122" i="23"/>
  <c r="A12122" i="23"/>
  <c r="C12121" i="23"/>
  <c r="A12121" i="23"/>
  <c r="C12120" i="23"/>
  <c r="A12120" i="23"/>
  <c r="C12119" i="23"/>
  <c r="A12119" i="23"/>
  <c r="C12118" i="23"/>
  <c r="A12118" i="23"/>
  <c r="C12117" i="23"/>
  <c r="A12117" i="23"/>
  <c r="C12116" i="23"/>
  <c r="A12116" i="23"/>
  <c r="C12115" i="23"/>
  <c r="A12115" i="23"/>
  <c r="C12114" i="23"/>
  <c r="A12114" i="23"/>
  <c r="C12113" i="23"/>
  <c r="A12113" i="23"/>
  <c r="C12112" i="23"/>
  <c r="A12112" i="23"/>
  <c r="C12111" i="23"/>
  <c r="A12111" i="23"/>
  <c r="C12110" i="23"/>
  <c r="A12110" i="23"/>
  <c r="C12109" i="23"/>
  <c r="A12109" i="23"/>
  <c r="C12108" i="23"/>
  <c r="A12108" i="23"/>
  <c r="C12107" i="23"/>
  <c r="A12107" i="23"/>
  <c r="C12106" i="23"/>
  <c r="A12106" i="23"/>
  <c r="C12105" i="23"/>
  <c r="A12105" i="23"/>
  <c r="C12104" i="23"/>
  <c r="A12104" i="23"/>
  <c r="C12103" i="23"/>
  <c r="A12103" i="23"/>
  <c r="C12102" i="23"/>
  <c r="A12102" i="23"/>
  <c r="C12101" i="23"/>
  <c r="A12101" i="23"/>
  <c r="C12100" i="23"/>
  <c r="A12100" i="23"/>
  <c r="C12099" i="23"/>
  <c r="A12099" i="23"/>
  <c r="C11801" i="23"/>
  <c r="A11801" i="23"/>
  <c r="C11800" i="23"/>
  <c r="A11800" i="23"/>
  <c r="C11799" i="23"/>
  <c r="A11799" i="23"/>
  <c r="C11798" i="23"/>
  <c r="A11798" i="23"/>
  <c r="C11797" i="23"/>
  <c r="A11797" i="23"/>
  <c r="C11796" i="23"/>
  <c r="A11796" i="23"/>
  <c r="C11795" i="23"/>
  <c r="A11795" i="23"/>
  <c r="C11794" i="23"/>
  <c r="A11794" i="23"/>
  <c r="C11793" i="23"/>
  <c r="A11793" i="23"/>
  <c r="C11792" i="23"/>
  <c r="A11792" i="23"/>
  <c r="C11791" i="23"/>
  <c r="A11791" i="23"/>
  <c r="C11790" i="23"/>
  <c r="A11790" i="23"/>
  <c r="C11789" i="23"/>
  <c r="A11789" i="23"/>
  <c r="C11788" i="23"/>
  <c r="A11788" i="23"/>
  <c r="C11787" i="23"/>
  <c r="A11787" i="23"/>
  <c r="C11786" i="23"/>
  <c r="A11786" i="23"/>
  <c r="C11785" i="23"/>
  <c r="A11785" i="23"/>
  <c r="C11784" i="23"/>
  <c r="A11784" i="23"/>
  <c r="C11783" i="23"/>
  <c r="A11783" i="23"/>
  <c r="C11782" i="23"/>
  <c r="A11782" i="23"/>
  <c r="C11781" i="23"/>
  <c r="A11781" i="23"/>
  <c r="C11780" i="23"/>
  <c r="A11780" i="23"/>
  <c r="C11779" i="23"/>
  <c r="A11779" i="23"/>
  <c r="C11778" i="23"/>
  <c r="A11778" i="23"/>
  <c r="C11777" i="23"/>
  <c r="A11777" i="23"/>
  <c r="C11776" i="23"/>
  <c r="A11776" i="23"/>
  <c r="C11775" i="23"/>
  <c r="A11775" i="23"/>
  <c r="C12260" i="23"/>
  <c r="A12260" i="23"/>
  <c r="C12259" i="23"/>
  <c r="A12259" i="23"/>
  <c r="C12258" i="23"/>
  <c r="A12258" i="23"/>
  <c r="C12257" i="23"/>
  <c r="A12257" i="23"/>
  <c r="C12256" i="23"/>
  <c r="A12256" i="23"/>
  <c r="C12255" i="23"/>
  <c r="A12255" i="23"/>
  <c r="C12254" i="23"/>
  <c r="A12254" i="23"/>
  <c r="C12253" i="23"/>
  <c r="A12253" i="23"/>
  <c r="C12252" i="23"/>
  <c r="A12252" i="23"/>
  <c r="C12251" i="23"/>
  <c r="A12251" i="23"/>
  <c r="C12250" i="23"/>
  <c r="A12250" i="23"/>
  <c r="C12249" i="23"/>
  <c r="A12249" i="23"/>
  <c r="C12248" i="23"/>
  <c r="A12248" i="23"/>
  <c r="C12247" i="23"/>
  <c r="A12247" i="23"/>
  <c r="C12246" i="23"/>
  <c r="A12246" i="23"/>
  <c r="C12245" i="23"/>
  <c r="A12245" i="23"/>
  <c r="C12244" i="23"/>
  <c r="A12244" i="23"/>
  <c r="C12243" i="23"/>
  <c r="A12243" i="23"/>
  <c r="C12242" i="23"/>
  <c r="A12242" i="23"/>
  <c r="C12241" i="23"/>
  <c r="A12241" i="23"/>
  <c r="C12240" i="23"/>
  <c r="A12240" i="23"/>
  <c r="C12239" i="23"/>
  <c r="A12239" i="23"/>
  <c r="C12238" i="23"/>
  <c r="A12238" i="23"/>
  <c r="C12237" i="23"/>
  <c r="A12237" i="23"/>
  <c r="C12236" i="23"/>
  <c r="A12236" i="23"/>
  <c r="C12235" i="23"/>
  <c r="A12235" i="23"/>
  <c r="C12234" i="23"/>
  <c r="A12234" i="23"/>
  <c r="C11396" i="23"/>
  <c r="A11396" i="23"/>
  <c r="C11395" i="23"/>
  <c r="A11395" i="23"/>
  <c r="C11394" i="23"/>
  <c r="A11394" i="23"/>
  <c r="C11393" i="23"/>
  <c r="A11393" i="23"/>
  <c r="C11392" i="23"/>
  <c r="A11392" i="23"/>
  <c r="C11391" i="23"/>
  <c r="A11391" i="23"/>
  <c r="C11390" i="23"/>
  <c r="A11390" i="23"/>
  <c r="C11389" i="23"/>
  <c r="A11389" i="23"/>
  <c r="C11388" i="23"/>
  <c r="A11388" i="23"/>
  <c r="C11387" i="23"/>
  <c r="A11387" i="23"/>
  <c r="C11386" i="23"/>
  <c r="A11386" i="23"/>
  <c r="C11385" i="23"/>
  <c r="A11385" i="23"/>
  <c r="C11384" i="23"/>
  <c r="A11384" i="23"/>
  <c r="C11383" i="23"/>
  <c r="A11383" i="23"/>
  <c r="C11382" i="23"/>
  <c r="A11382" i="23"/>
  <c r="C11381" i="23"/>
  <c r="A11381" i="23"/>
  <c r="C11380" i="23"/>
  <c r="A11380" i="23"/>
  <c r="C11379" i="23"/>
  <c r="A11379" i="23"/>
  <c r="C11378" i="23"/>
  <c r="A11378" i="23"/>
  <c r="C11377" i="23"/>
  <c r="A11377" i="23"/>
  <c r="C11376" i="23"/>
  <c r="A11376" i="23"/>
  <c r="C11375" i="23"/>
  <c r="A11375" i="23"/>
  <c r="C11374" i="23"/>
  <c r="A11374" i="23"/>
  <c r="C11373" i="23"/>
  <c r="A11373" i="23"/>
  <c r="C11372" i="23"/>
  <c r="A11372" i="23"/>
  <c r="C11371" i="23"/>
  <c r="A11371" i="23"/>
  <c r="C11370" i="23"/>
  <c r="A11370" i="23"/>
  <c r="C11747" i="23"/>
  <c r="A11747" i="23"/>
  <c r="C11746" i="23"/>
  <c r="A11746" i="23"/>
  <c r="C11745" i="23"/>
  <c r="A11745" i="23"/>
  <c r="C11744" i="23"/>
  <c r="A11744" i="23"/>
  <c r="C11743" i="23"/>
  <c r="A11743" i="23"/>
  <c r="C11742" i="23"/>
  <c r="A11742" i="23"/>
  <c r="C11741" i="23"/>
  <c r="A11741" i="23"/>
  <c r="C11740" i="23"/>
  <c r="A11740" i="23"/>
  <c r="C11739" i="23"/>
  <c r="A11739" i="23"/>
  <c r="C11738" i="23"/>
  <c r="A11738" i="23"/>
  <c r="C11737" i="23"/>
  <c r="A11737" i="23"/>
  <c r="C11736" i="23"/>
  <c r="A11736" i="23"/>
  <c r="C11735" i="23"/>
  <c r="A11735" i="23"/>
  <c r="C11734" i="23"/>
  <c r="A11734" i="23"/>
  <c r="C11733" i="23"/>
  <c r="A11733" i="23"/>
  <c r="C11732" i="23"/>
  <c r="A11732" i="23"/>
  <c r="C11731" i="23"/>
  <c r="A11731" i="23"/>
  <c r="C11730" i="23"/>
  <c r="A11730" i="23"/>
  <c r="C11729" i="23"/>
  <c r="A11729" i="23"/>
  <c r="C11728" i="23"/>
  <c r="A11728" i="23"/>
  <c r="C11727" i="23"/>
  <c r="A11727" i="23"/>
  <c r="C11726" i="23"/>
  <c r="A11726" i="23"/>
  <c r="C11725" i="23"/>
  <c r="A11725" i="23"/>
  <c r="C11724" i="23"/>
  <c r="A11724" i="23"/>
  <c r="C11723" i="23"/>
  <c r="A11723" i="23"/>
  <c r="C11722" i="23"/>
  <c r="A11722" i="23"/>
  <c r="C11721" i="23"/>
  <c r="A11721" i="23"/>
  <c r="C12044" i="23"/>
  <c r="A12044" i="23"/>
  <c r="C12043" i="23"/>
  <c r="A12043" i="23"/>
  <c r="C12042" i="23"/>
  <c r="A12042" i="23"/>
  <c r="C12041" i="23"/>
  <c r="A12041" i="23"/>
  <c r="C12040" i="23"/>
  <c r="A12040" i="23"/>
  <c r="C12039" i="23"/>
  <c r="A12039" i="23"/>
  <c r="C12038" i="23"/>
  <c r="A12038" i="23"/>
  <c r="C12037" i="23"/>
  <c r="A12037" i="23"/>
  <c r="C12036" i="23"/>
  <c r="A12036" i="23"/>
  <c r="C12035" i="23"/>
  <c r="A12035" i="23"/>
  <c r="C12034" i="23"/>
  <c r="A12034" i="23"/>
  <c r="C12033" i="23"/>
  <c r="A12033" i="23"/>
  <c r="C12032" i="23"/>
  <c r="A12032" i="23"/>
  <c r="C12031" i="23"/>
  <c r="A12031" i="23"/>
  <c r="C12030" i="23"/>
  <c r="A12030" i="23"/>
  <c r="C12029" i="23"/>
  <c r="A12029" i="23"/>
  <c r="C12028" i="23"/>
  <c r="A12028" i="23"/>
  <c r="C12027" i="23"/>
  <c r="A12027" i="23"/>
  <c r="C12026" i="23"/>
  <c r="A12026" i="23"/>
  <c r="C12025" i="23"/>
  <c r="A12025" i="23"/>
  <c r="C12024" i="23"/>
  <c r="A12024" i="23"/>
  <c r="C12023" i="23"/>
  <c r="A12023" i="23"/>
  <c r="C12022" i="23"/>
  <c r="A12022" i="23"/>
  <c r="C12021" i="23"/>
  <c r="A12021" i="23"/>
  <c r="C12020" i="23"/>
  <c r="A12020" i="23"/>
  <c r="C12019" i="23"/>
  <c r="A12019" i="23"/>
  <c r="C12018" i="23"/>
  <c r="A12018" i="23"/>
  <c r="C11855" i="23"/>
  <c r="A11855" i="23"/>
  <c r="C11854" i="23"/>
  <c r="A11854" i="23"/>
  <c r="C11853" i="23"/>
  <c r="A11853" i="23"/>
  <c r="C11852" i="23"/>
  <c r="A11852" i="23"/>
  <c r="C11851" i="23"/>
  <c r="A11851" i="23"/>
  <c r="C11850" i="23"/>
  <c r="A11850" i="23"/>
  <c r="C11849" i="23"/>
  <c r="A11849" i="23"/>
  <c r="C11848" i="23"/>
  <c r="A11848" i="23"/>
  <c r="C11847" i="23"/>
  <c r="A11847" i="23"/>
  <c r="C11846" i="23"/>
  <c r="A11846" i="23"/>
  <c r="C11845" i="23"/>
  <c r="A11845" i="23"/>
  <c r="C11844" i="23"/>
  <c r="A11844" i="23"/>
  <c r="C11843" i="23"/>
  <c r="A11843" i="23"/>
  <c r="C11842" i="23"/>
  <c r="A11842" i="23"/>
  <c r="C11841" i="23"/>
  <c r="A11841" i="23"/>
  <c r="C11840" i="23"/>
  <c r="A11840" i="23"/>
  <c r="C11839" i="23"/>
  <c r="A11839" i="23"/>
  <c r="C11838" i="23"/>
  <c r="A11838" i="23"/>
  <c r="C11837" i="23"/>
  <c r="A11837" i="23"/>
  <c r="C11836" i="23"/>
  <c r="A11836" i="23"/>
  <c r="C11835" i="23"/>
  <c r="A11835" i="23"/>
  <c r="C11834" i="23"/>
  <c r="A11834" i="23"/>
  <c r="C11833" i="23"/>
  <c r="A11833" i="23"/>
  <c r="C11832" i="23"/>
  <c r="A11832" i="23"/>
  <c r="C11831" i="23"/>
  <c r="A11831" i="23"/>
  <c r="C11830" i="23"/>
  <c r="A11830" i="23"/>
  <c r="C11829" i="23"/>
  <c r="A11829" i="23"/>
  <c r="C11936" i="23"/>
  <c r="A11936" i="23"/>
  <c r="C11935" i="23"/>
  <c r="A11935" i="23"/>
  <c r="C11934" i="23"/>
  <c r="A11934" i="23"/>
  <c r="C11933" i="23"/>
  <c r="A11933" i="23"/>
  <c r="C11932" i="23"/>
  <c r="A11932" i="23"/>
  <c r="C11931" i="23"/>
  <c r="A11931" i="23"/>
  <c r="C11930" i="23"/>
  <c r="A11930" i="23"/>
  <c r="C11929" i="23"/>
  <c r="A11929" i="23"/>
  <c r="C11928" i="23"/>
  <c r="A11928" i="23"/>
  <c r="C11927" i="23"/>
  <c r="A11927" i="23"/>
  <c r="C11926" i="23"/>
  <c r="A11926" i="23"/>
  <c r="C11925" i="23"/>
  <c r="A11925" i="23"/>
  <c r="C11924" i="23"/>
  <c r="A11924" i="23"/>
  <c r="C11923" i="23"/>
  <c r="A11923" i="23"/>
  <c r="C11922" i="23"/>
  <c r="A11922" i="23"/>
  <c r="C11921" i="23"/>
  <c r="A11921" i="23"/>
  <c r="C11920" i="23"/>
  <c r="A11920" i="23"/>
  <c r="C11919" i="23"/>
  <c r="A11919" i="23"/>
  <c r="C11918" i="23"/>
  <c r="A11918" i="23"/>
  <c r="C11917" i="23"/>
  <c r="A11917" i="23"/>
  <c r="C11916" i="23"/>
  <c r="A11916" i="23"/>
  <c r="C11915" i="23"/>
  <c r="A11915" i="23"/>
  <c r="C11914" i="23"/>
  <c r="A11914" i="23"/>
  <c r="C11913" i="23"/>
  <c r="A11913" i="23"/>
  <c r="C11912" i="23"/>
  <c r="A11912" i="23"/>
  <c r="C11911" i="23"/>
  <c r="A11911" i="23"/>
  <c r="C11910" i="23"/>
  <c r="A11910" i="23"/>
  <c r="C12206" i="23"/>
  <c r="A12206" i="23"/>
  <c r="C12205" i="23"/>
  <c r="A12205" i="23"/>
  <c r="C12204" i="23"/>
  <c r="A12204" i="23"/>
  <c r="C12203" i="23"/>
  <c r="A12203" i="23"/>
  <c r="C12202" i="23"/>
  <c r="A12202" i="23"/>
  <c r="C12201" i="23"/>
  <c r="A12201" i="23"/>
  <c r="C12200" i="23"/>
  <c r="A12200" i="23"/>
  <c r="C12199" i="23"/>
  <c r="A12199" i="23"/>
  <c r="C12198" i="23"/>
  <c r="A12198" i="23"/>
  <c r="C12197" i="23"/>
  <c r="A12197" i="23"/>
  <c r="C12196" i="23"/>
  <c r="A12196" i="23"/>
  <c r="C12195" i="23"/>
  <c r="A12195" i="23"/>
  <c r="C12194" i="23"/>
  <c r="A12194" i="23"/>
  <c r="C12193" i="23"/>
  <c r="A12193" i="23"/>
  <c r="C12192" i="23"/>
  <c r="A12192" i="23"/>
  <c r="C12191" i="23"/>
  <c r="A12191" i="23"/>
  <c r="C12190" i="23"/>
  <c r="A12190" i="23"/>
  <c r="C12189" i="23"/>
  <c r="A12189" i="23"/>
  <c r="C12188" i="23"/>
  <c r="A12188" i="23"/>
  <c r="C12187" i="23"/>
  <c r="A12187" i="23"/>
  <c r="C12186" i="23"/>
  <c r="A12186" i="23"/>
  <c r="C12185" i="23"/>
  <c r="A12185" i="23"/>
  <c r="C12184" i="23"/>
  <c r="A12184" i="23"/>
  <c r="C12183" i="23"/>
  <c r="A12183" i="23"/>
  <c r="C12182" i="23"/>
  <c r="A12182" i="23"/>
  <c r="C12181" i="23"/>
  <c r="A12181" i="23"/>
  <c r="C12180" i="23"/>
  <c r="A12180" i="23"/>
  <c r="C12152" i="23"/>
  <c r="A12152" i="23"/>
  <c r="C12151" i="23"/>
  <c r="A12151" i="23"/>
  <c r="C12150" i="23"/>
  <c r="A12150" i="23"/>
  <c r="C12149" i="23"/>
  <c r="A12149" i="23"/>
  <c r="C12148" i="23"/>
  <c r="A12148" i="23"/>
  <c r="C12147" i="23"/>
  <c r="A12147" i="23"/>
  <c r="C12146" i="23"/>
  <c r="A12146" i="23"/>
  <c r="C12145" i="23"/>
  <c r="A12145" i="23"/>
  <c r="C12144" i="23"/>
  <c r="A12144" i="23"/>
  <c r="C12143" i="23"/>
  <c r="A12143" i="23"/>
  <c r="C12142" i="23"/>
  <c r="A12142" i="23"/>
  <c r="C12141" i="23"/>
  <c r="A12141" i="23"/>
  <c r="C12140" i="23"/>
  <c r="A12140" i="23"/>
  <c r="C12139" i="23"/>
  <c r="A12139" i="23"/>
  <c r="C12138" i="23"/>
  <c r="A12138" i="23"/>
  <c r="C12137" i="23"/>
  <c r="A12137" i="23"/>
  <c r="C12136" i="23"/>
  <c r="A12136" i="23"/>
  <c r="C12135" i="23"/>
  <c r="A12135" i="23"/>
  <c r="C12134" i="23"/>
  <c r="A12134" i="23"/>
  <c r="C12133" i="23"/>
  <c r="A12133" i="23"/>
  <c r="C12132" i="23"/>
  <c r="A12132" i="23"/>
  <c r="C12131" i="23"/>
  <c r="A12131" i="23"/>
  <c r="C12130" i="23"/>
  <c r="A12130" i="23"/>
  <c r="C12129" i="23"/>
  <c r="A12129" i="23"/>
  <c r="C12128" i="23"/>
  <c r="A12128" i="23"/>
  <c r="C12127" i="23"/>
  <c r="A12127" i="23"/>
  <c r="C12126" i="23"/>
  <c r="A12126" i="23"/>
  <c r="C12098" i="23"/>
  <c r="A12098" i="23"/>
  <c r="C12097" i="23"/>
  <c r="A12097" i="23"/>
  <c r="C12096" i="23"/>
  <c r="A12096" i="23"/>
  <c r="C12095" i="23"/>
  <c r="A12095" i="23"/>
  <c r="C12094" i="23"/>
  <c r="A12094" i="23"/>
  <c r="C12093" i="23"/>
  <c r="A12093" i="23"/>
  <c r="C12092" i="23"/>
  <c r="A12092" i="23"/>
  <c r="C12091" i="23"/>
  <c r="A12091" i="23"/>
  <c r="C12090" i="23"/>
  <c r="A12090" i="23"/>
  <c r="C12089" i="23"/>
  <c r="A12089" i="23"/>
  <c r="C12088" i="23"/>
  <c r="A12088" i="23"/>
  <c r="C12087" i="23"/>
  <c r="A12087" i="23"/>
  <c r="C12086" i="23"/>
  <c r="A12086" i="23"/>
  <c r="C12085" i="23"/>
  <c r="A12085" i="23"/>
  <c r="C12084" i="23"/>
  <c r="A12084" i="23"/>
  <c r="C12083" i="23"/>
  <c r="A12083" i="23"/>
  <c r="C12082" i="23"/>
  <c r="A12082" i="23"/>
  <c r="C12081" i="23"/>
  <c r="A12081" i="23"/>
  <c r="C12080" i="23"/>
  <c r="A12080" i="23"/>
  <c r="C12079" i="23"/>
  <c r="A12079" i="23"/>
  <c r="C12078" i="23"/>
  <c r="A12078" i="23"/>
  <c r="C12077" i="23"/>
  <c r="A12077" i="23"/>
  <c r="C12076" i="23"/>
  <c r="A12076" i="23"/>
  <c r="C12075" i="23"/>
  <c r="A12075" i="23"/>
  <c r="C12074" i="23"/>
  <c r="A12074" i="23"/>
  <c r="C12073" i="23"/>
  <c r="A12073" i="23"/>
  <c r="C12072" i="23"/>
  <c r="A12072" i="23"/>
  <c r="C11909" i="23"/>
  <c r="A11909" i="23"/>
  <c r="C11908" i="23"/>
  <c r="A11908" i="23"/>
  <c r="C11907" i="23"/>
  <c r="A11907" i="23"/>
  <c r="C11906" i="23"/>
  <c r="A11906" i="23"/>
  <c r="C11905" i="23"/>
  <c r="A11905" i="23"/>
  <c r="C11904" i="23"/>
  <c r="A11904" i="23"/>
  <c r="C11903" i="23"/>
  <c r="A11903" i="23"/>
  <c r="C11902" i="23"/>
  <c r="A11902" i="23"/>
  <c r="C11901" i="23"/>
  <c r="A11901" i="23"/>
  <c r="C11900" i="23"/>
  <c r="A11900" i="23"/>
  <c r="C11899" i="23"/>
  <c r="A11899" i="23"/>
  <c r="C11898" i="23"/>
  <c r="A11898" i="23"/>
  <c r="C11897" i="23"/>
  <c r="A11897" i="23"/>
  <c r="C11896" i="23"/>
  <c r="A11896" i="23"/>
  <c r="C11895" i="23"/>
  <c r="A11895" i="23"/>
  <c r="C11894" i="23"/>
  <c r="A11894" i="23"/>
  <c r="C11893" i="23"/>
  <c r="A11893" i="23"/>
  <c r="C11892" i="23"/>
  <c r="A11892" i="23"/>
  <c r="C11891" i="23"/>
  <c r="A11891" i="23"/>
  <c r="C11890" i="23"/>
  <c r="A11890" i="23"/>
  <c r="C11889" i="23"/>
  <c r="A11889" i="23"/>
  <c r="C11888" i="23"/>
  <c r="A11888" i="23"/>
  <c r="C11887" i="23"/>
  <c r="A11887" i="23"/>
  <c r="C11886" i="23"/>
  <c r="A11886" i="23"/>
  <c r="C11885" i="23"/>
  <c r="A11885" i="23"/>
  <c r="C11884" i="23"/>
  <c r="A11884" i="23"/>
  <c r="C11883" i="23"/>
  <c r="A11883" i="23"/>
  <c r="C11342" i="23"/>
  <c r="A11342" i="23"/>
  <c r="C11341" i="23"/>
  <c r="A11341" i="23"/>
  <c r="C11340" i="23"/>
  <c r="A11340" i="23"/>
  <c r="C11339" i="23"/>
  <c r="A11339" i="23"/>
  <c r="C11338" i="23"/>
  <c r="A11338" i="23"/>
  <c r="C11337" i="23"/>
  <c r="A11337" i="23"/>
  <c r="C11336" i="23"/>
  <c r="A11336" i="23"/>
  <c r="C11335" i="23"/>
  <c r="A11335" i="23"/>
  <c r="C11334" i="23"/>
  <c r="A11334" i="23"/>
  <c r="C11333" i="23"/>
  <c r="A11333" i="23"/>
  <c r="C11332" i="23"/>
  <c r="A11332" i="23"/>
  <c r="C11331" i="23"/>
  <c r="A11331" i="23"/>
  <c r="C11330" i="23"/>
  <c r="A11330" i="23"/>
  <c r="C11329" i="23"/>
  <c r="A11329" i="23"/>
  <c r="C11328" i="23"/>
  <c r="A11328" i="23"/>
  <c r="C11327" i="23"/>
  <c r="A11327" i="23"/>
  <c r="C11326" i="23"/>
  <c r="A11326" i="23"/>
  <c r="C11325" i="23"/>
  <c r="A11325" i="23"/>
  <c r="C11324" i="23"/>
  <c r="A11324" i="23"/>
  <c r="C11323" i="23"/>
  <c r="A11323" i="23"/>
  <c r="C11322" i="23"/>
  <c r="A11322" i="23"/>
  <c r="C11321" i="23"/>
  <c r="A11321" i="23"/>
  <c r="C11320" i="23"/>
  <c r="A11320" i="23"/>
  <c r="C11319" i="23"/>
  <c r="A11319" i="23"/>
  <c r="C11318" i="23"/>
  <c r="A11318" i="23"/>
  <c r="C11317" i="23"/>
  <c r="A11317" i="23"/>
  <c r="C11316" i="23"/>
  <c r="A11316" i="23"/>
  <c r="C11882" i="23"/>
  <c r="A11882" i="23"/>
  <c r="C11881" i="23"/>
  <c r="A11881" i="23"/>
  <c r="C11880" i="23"/>
  <c r="A11880" i="23"/>
  <c r="C11879" i="23"/>
  <c r="A11879" i="23"/>
  <c r="C11878" i="23"/>
  <c r="A11878" i="23"/>
  <c r="C11877" i="23"/>
  <c r="A11877" i="23"/>
  <c r="C11876" i="23"/>
  <c r="A11876" i="23"/>
  <c r="C11875" i="23"/>
  <c r="A11875" i="23"/>
  <c r="C11874" i="23"/>
  <c r="A11874" i="23"/>
  <c r="C11873" i="23"/>
  <c r="A11873" i="23"/>
  <c r="C11872" i="23"/>
  <c r="A11872" i="23"/>
  <c r="C11871" i="23"/>
  <c r="A11871" i="23"/>
  <c r="C11870" i="23"/>
  <c r="A11870" i="23"/>
  <c r="C11869" i="23"/>
  <c r="A11869" i="23"/>
  <c r="C11868" i="23"/>
  <c r="A11868" i="23"/>
  <c r="C11867" i="23"/>
  <c r="A11867" i="23"/>
  <c r="C11866" i="23"/>
  <c r="A11866" i="23"/>
  <c r="C11865" i="23"/>
  <c r="A11865" i="23"/>
  <c r="C11864" i="23"/>
  <c r="A11864" i="23"/>
  <c r="C11863" i="23"/>
  <c r="A11863" i="23"/>
  <c r="C11862" i="23"/>
  <c r="A11862" i="23"/>
  <c r="C11861" i="23"/>
  <c r="A11861" i="23"/>
  <c r="C11860" i="23"/>
  <c r="A11860" i="23"/>
  <c r="C11859" i="23"/>
  <c r="A11859" i="23"/>
  <c r="C11858" i="23"/>
  <c r="A11858" i="23"/>
  <c r="C11857" i="23"/>
  <c r="A11857" i="23"/>
  <c r="C11856" i="23"/>
  <c r="A11856" i="23"/>
  <c r="C11693" i="23"/>
  <c r="A11693" i="23"/>
  <c r="C11692" i="23"/>
  <c r="A11692" i="23"/>
  <c r="C11691" i="23"/>
  <c r="A11691" i="23"/>
  <c r="C11690" i="23"/>
  <c r="A11690" i="23"/>
  <c r="C11689" i="23"/>
  <c r="A11689" i="23"/>
  <c r="C11688" i="23"/>
  <c r="A11688" i="23"/>
  <c r="C11687" i="23"/>
  <c r="A11687" i="23"/>
  <c r="C11686" i="23"/>
  <c r="A11686" i="23"/>
  <c r="C11685" i="23"/>
  <c r="A11685" i="23"/>
  <c r="C11684" i="23"/>
  <c r="A11684" i="23"/>
  <c r="C11683" i="23"/>
  <c r="A11683" i="23"/>
  <c r="C11682" i="23"/>
  <c r="A11682" i="23"/>
  <c r="C11681" i="23"/>
  <c r="A11681" i="23"/>
  <c r="C11680" i="23"/>
  <c r="A11680" i="23"/>
  <c r="C11679" i="23"/>
  <c r="A11679" i="23"/>
  <c r="C11678" i="23"/>
  <c r="A11678" i="23"/>
  <c r="C11677" i="23"/>
  <c r="A11677" i="23"/>
  <c r="C11676" i="23"/>
  <c r="A11676" i="23"/>
  <c r="C11675" i="23"/>
  <c r="A11675" i="23"/>
  <c r="C11674" i="23"/>
  <c r="A11674" i="23"/>
  <c r="C11673" i="23"/>
  <c r="A11673" i="23"/>
  <c r="C11672" i="23"/>
  <c r="A11672" i="23"/>
  <c r="C11671" i="23"/>
  <c r="A11671" i="23"/>
  <c r="C11670" i="23"/>
  <c r="A11670" i="23"/>
  <c r="C11669" i="23"/>
  <c r="A11669" i="23"/>
  <c r="C11668" i="23"/>
  <c r="A11668" i="23"/>
  <c r="C11667" i="23"/>
  <c r="A11667" i="23"/>
  <c r="C12287" i="23"/>
  <c r="A12287" i="23"/>
  <c r="C12286" i="23"/>
  <c r="A12286" i="23"/>
  <c r="C12285" i="23"/>
  <c r="A12285" i="23"/>
  <c r="C12284" i="23"/>
  <c r="A12284" i="23"/>
  <c r="C12283" i="23"/>
  <c r="A12283" i="23"/>
  <c r="C12282" i="23"/>
  <c r="A12282" i="23"/>
  <c r="C12281" i="23"/>
  <c r="A12281" i="23"/>
  <c r="C12280" i="23"/>
  <c r="A12280" i="23"/>
  <c r="C12279" i="23"/>
  <c r="A12279" i="23"/>
  <c r="C12278" i="23"/>
  <c r="A12278" i="23"/>
  <c r="C12277" i="23"/>
  <c r="A12277" i="23"/>
  <c r="C12276" i="23"/>
  <c r="A12276" i="23"/>
  <c r="C12275" i="23"/>
  <c r="A12275" i="23"/>
  <c r="C12274" i="23"/>
  <c r="A12274" i="23"/>
  <c r="C12273" i="23"/>
  <c r="A12273" i="23"/>
  <c r="C12272" i="23"/>
  <c r="A12272" i="23"/>
  <c r="C12271" i="23"/>
  <c r="A12271" i="23"/>
  <c r="C12270" i="23"/>
  <c r="A12270" i="23"/>
  <c r="C12269" i="23"/>
  <c r="A12269" i="23"/>
  <c r="C12268" i="23"/>
  <c r="A12268" i="23"/>
  <c r="C12267" i="23"/>
  <c r="A12267" i="23"/>
  <c r="C12266" i="23"/>
  <c r="A12266" i="23"/>
  <c r="C12265" i="23"/>
  <c r="A12265" i="23"/>
  <c r="C12264" i="23"/>
  <c r="A12264" i="23"/>
  <c r="C12263" i="23"/>
  <c r="A12263" i="23"/>
  <c r="C12262" i="23"/>
  <c r="A12262" i="23"/>
  <c r="C12261" i="23"/>
  <c r="A12261" i="23"/>
  <c r="C12017" i="23"/>
  <c r="A12017" i="23"/>
  <c r="C12016" i="23"/>
  <c r="A12016" i="23"/>
  <c r="C12015" i="23"/>
  <c r="A12015" i="23"/>
  <c r="C12014" i="23"/>
  <c r="A12014" i="23"/>
  <c r="C12013" i="23"/>
  <c r="A12013" i="23"/>
  <c r="C12012" i="23"/>
  <c r="A12012" i="23"/>
  <c r="C12011" i="23"/>
  <c r="A12011" i="23"/>
  <c r="C12010" i="23"/>
  <c r="A12010" i="23"/>
  <c r="C12009" i="23"/>
  <c r="A12009" i="23"/>
  <c r="C12008" i="23"/>
  <c r="A12008" i="23"/>
  <c r="C12007" i="23"/>
  <c r="A12007" i="23"/>
  <c r="C12006" i="23"/>
  <c r="A12006" i="23"/>
  <c r="C12005" i="23"/>
  <c r="A12005" i="23"/>
  <c r="C12004" i="23"/>
  <c r="A12004" i="23"/>
  <c r="C12003" i="23"/>
  <c r="A12003" i="23"/>
  <c r="C12002" i="23"/>
  <c r="A12002" i="23"/>
  <c r="C12001" i="23"/>
  <c r="A12001" i="23"/>
  <c r="C12000" i="23"/>
  <c r="A12000" i="23"/>
  <c r="C11999" i="23"/>
  <c r="A11999" i="23"/>
  <c r="C11998" i="23"/>
  <c r="A11998" i="23"/>
  <c r="C11997" i="23"/>
  <c r="A11997" i="23"/>
  <c r="C11996" i="23"/>
  <c r="A11996" i="23"/>
  <c r="C11995" i="23"/>
  <c r="A11995" i="23"/>
  <c r="C11994" i="23"/>
  <c r="A11994" i="23"/>
  <c r="C11993" i="23"/>
  <c r="A11993" i="23"/>
  <c r="C11992" i="23"/>
  <c r="A11992" i="23"/>
  <c r="C11991" i="23"/>
  <c r="A11991" i="23"/>
  <c r="C12314" i="23"/>
  <c r="A12314" i="23"/>
  <c r="C12313" i="23"/>
  <c r="A12313" i="23"/>
  <c r="C12312" i="23"/>
  <c r="A12312" i="23"/>
  <c r="C12311" i="23"/>
  <c r="A12311" i="23"/>
  <c r="C12310" i="23"/>
  <c r="A12310" i="23"/>
  <c r="C12309" i="23"/>
  <c r="A12309" i="23"/>
  <c r="C12308" i="23"/>
  <c r="A12308" i="23"/>
  <c r="C12307" i="23"/>
  <c r="A12307" i="23"/>
  <c r="C12306" i="23"/>
  <c r="A12306" i="23"/>
  <c r="C12305" i="23"/>
  <c r="A12305" i="23"/>
  <c r="C12304" i="23"/>
  <c r="A12304" i="23"/>
  <c r="C12303" i="23"/>
  <c r="A12303" i="23"/>
  <c r="C12302" i="23"/>
  <c r="A12302" i="23"/>
  <c r="C12301" i="23"/>
  <c r="A12301" i="23"/>
  <c r="C12300" i="23"/>
  <c r="A12300" i="23"/>
  <c r="C12299" i="23"/>
  <c r="A12299" i="23"/>
  <c r="C12298" i="23"/>
  <c r="A12298" i="23"/>
  <c r="C12297" i="23"/>
  <c r="A12297" i="23"/>
  <c r="C12296" i="23"/>
  <c r="A12296" i="23"/>
  <c r="C12295" i="23"/>
  <c r="A12295" i="23"/>
  <c r="C12294" i="23"/>
  <c r="A12294" i="23"/>
  <c r="C12293" i="23"/>
  <c r="A12293" i="23"/>
  <c r="C12292" i="23"/>
  <c r="A12292" i="23"/>
  <c r="C12291" i="23"/>
  <c r="A12291" i="23"/>
  <c r="C12290" i="23"/>
  <c r="A12290" i="23"/>
  <c r="C12289" i="23"/>
  <c r="A12289" i="23"/>
  <c r="C12288" i="23"/>
  <c r="A12288" i="23"/>
  <c r="C11963" i="23"/>
  <c r="A11963" i="23"/>
  <c r="C11962" i="23"/>
  <c r="A11962" i="23"/>
  <c r="C11961" i="23"/>
  <c r="A11961" i="23"/>
  <c r="C11960" i="23"/>
  <c r="A11960" i="23"/>
  <c r="C11959" i="23"/>
  <c r="A11959" i="23"/>
  <c r="C11958" i="23"/>
  <c r="A11958" i="23"/>
  <c r="C11957" i="23"/>
  <c r="A11957" i="23"/>
  <c r="C11956" i="23"/>
  <c r="A11956" i="23"/>
  <c r="C11955" i="23"/>
  <c r="A11955" i="23"/>
  <c r="C11954" i="23"/>
  <c r="A11954" i="23"/>
  <c r="C11953" i="23"/>
  <c r="A11953" i="23"/>
  <c r="C11952" i="23"/>
  <c r="A11952" i="23"/>
  <c r="C11951" i="23"/>
  <c r="A11951" i="23"/>
  <c r="C11950" i="23"/>
  <c r="A11950" i="23"/>
  <c r="C11949" i="23"/>
  <c r="A11949" i="23"/>
  <c r="C11948" i="23"/>
  <c r="A11948" i="23"/>
  <c r="C11947" i="23"/>
  <c r="A11947" i="23"/>
  <c r="C11946" i="23"/>
  <c r="A11946" i="23"/>
  <c r="C11945" i="23"/>
  <c r="A11945" i="23"/>
  <c r="C11944" i="23"/>
  <c r="A11944" i="23"/>
  <c r="C11943" i="23"/>
  <c r="A11943" i="23"/>
  <c r="C11942" i="23"/>
  <c r="A11942" i="23"/>
  <c r="C11941" i="23"/>
  <c r="A11941" i="23"/>
  <c r="C11940" i="23"/>
  <c r="A11940" i="23"/>
  <c r="C11939" i="23"/>
  <c r="A11939" i="23"/>
  <c r="C11938" i="23"/>
  <c r="A11938" i="23"/>
  <c r="C11937" i="23"/>
  <c r="A11937" i="23"/>
  <c r="C11990" i="23"/>
  <c r="A11990" i="23"/>
  <c r="C11989" i="23"/>
  <c r="A11989" i="23"/>
  <c r="C11988" i="23"/>
  <c r="A11988" i="23"/>
  <c r="C11987" i="23"/>
  <c r="A11987" i="23"/>
  <c r="C11986" i="23"/>
  <c r="A11986" i="23"/>
  <c r="C11985" i="23"/>
  <c r="A11985" i="23"/>
  <c r="C11984" i="23"/>
  <c r="A11984" i="23"/>
  <c r="C11983" i="23"/>
  <c r="A11983" i="23"/>
  <c r="C11982" i="23"/>
  <c r="A11982" i="23"/>
  <c r="C11981" i="23"/>
  <c r="A11981" i="23"/>
  <c r="C11980" i="23"/>
  <c r="A11980" i="23"/>
  <c r="C11979" i="23"/>
  <c r="A11979" i="23"/>
  <c r="C11978" i="23"/>
  <c r="A11978" i="23"/>
  <c r="C11977" i="23"/>
  <c r="A11977" i="23"/>
  <c r="C11976" i="23"/>
  <c r="A11976" i="23"/>
  <c r="C11975" i="23"/>
  <c r="A11975" i="23"/>
  <c r="C11974" i="23"/>
  <c r="A11974" i="23"/>
  <c r="C11973" i="23"/>
  <c r="A11973" i="23"/>
  <c r="C11972" i="23"/>
  <c r="A11972" i="23"/>
  <c r="C11971" i="23"/>
  <c r="A11971" i="23"/>
  <c r="C11970" i="23"/>
  <c r="A11970" i="23"/>
  <c r="C11969" i="23"/>
  <c r="A11969" i="23"/>
  <c r="C11968" i="23"/>
  <c r="A11968" i="23"/>
  <c r="C11967" i="23"/>
  <c r="A11967" i="23"/>
  <c r="C11966" i="23"/>
  <c r="A11966" i="23"/>
  <c r="C11965" i="23"/>
  <c r="A11965" i="23"/>
  <c r="C11964" i="23"/>
  <c r="A11964" i="23"/>
  <c r="C11720" i="23"/>
  <c r="A11720" i="23"/>
  <c r="C11719" i="23"/>
  <c r="A11719" i="23"/>
  <c r="C11718" i="23"/>
  <c r="A11718" i="23"/>
  <c r="C11717" i="23"/>
  <c r="A11717" i="23"/>
  <c r="C11716" i="23"/>
  <c r="A11716" i="23"/>
  <c r="C11715" i="23"/>
  <c r="A11715" i="23"/>
  <c r="C11714" i="23"/>
  <c r="A11714" i="23"/>
  <c r="C11713" i="23"/>
  <c r="A11713" i="23"/>
  <c r="C11712" i="23"/>
  <c r="A11712" i="23"/>
  <c r="C11711" i="23"/>
  <c r="A11711" i="23"/>
  <c r="C11710" i="23"/>
  <c r="A11710" i="23"/>
  <c r="C11709" i="23"/>
  <c r="A11709" i="23"/>
  <c r="C11708" i="23"/>
  <c r="A11708" i="23"/>
  <c r="C11707" i="23"/>
  <c r="A11707" i="23"/>
  <c r="C11706" i="23"/>
  <c r="A11706" i="23"/>
  <c r="C11705" i="23"/>
  <c r="A11705" i="23"/>
  <c r="C11704" i="23"/>
  <c r="A11704" i="23"/>
  <c r="C11703" i="23"/>
  <c r="A11703" i="23"/>
  <c r="C11702" i="23"/>
  <c r="A11702" i="23"/>
  <c r="C11701" i="23"/>
  <c r="A11701" i="23"/>
  <c r="C11700" i="23"/>
  <c r="A11700" i="23"/>
  <c r="C11699" i="23"/>
  <c r="A11699" i="23"/>
  <c r="C11698" i="23"/>
  <c r="A11698" i="23"/>
  <c r="C11697" i="23"/>
  <c r="A11697" i="23"/>
  <c r="C11696" i="23"/>
  <c r="A11696" i="23"/>
  <c r="C11695" i="23"/>
  <c r="A11695" i="23"/>
  <c r="C11694" i="23"/>
  <c r="A11694" i="23"/>
  <c r="C11315" i="23"/>
  <c r="A11315" i="23"/>
  <c r="C11314" i="23"/>
  <c r="A11314" i="23"/>
  <c r="C11313" i="23"/>
  <c r="A11313" i="23"/>
  <c r="C11312" i="23"/>
  <c r="A11312" i="23"/>
  <c r="C11311" i="23"/>
  <c r="A11311" i="23"/>
  <c r="C11310" i="23"/>
  <c r="A11310" i="23"/>
  <c r="C11309" i="23"/>
  <c r="A11309" i="23"/>
  <c r="C11308" i="23"/>
  <c r="A11308" i="23"/>
  <c r="C11307" i="23"/>
  <c r="A11307" i="23"/>
  <c r="C11306" i="23"/>
  <c r="A11306" i="23"/>
  <c r="C11305" i="23"/>
  <c r="A11305" i="23"/>
  <c r="C11304" i="23"/>
  <c r="A11304" i="23"/>
  <c r="C11303" i="23"/>
  <c r="A11303" i="23"/>
  <c r="C11302" i="23"/>
  <c r="A11302" i="23"/>
  <c r="C11301" i="23"/>
  <c r="A11301" i="23"/>
  <c r="C11300" i="23"/>
  <c r="A11300" i="23"/>
  <c r="C11299" i="23"/>
  <c r="A11299" i="23"/>
  <c r="C11298" i="23"/>
  <c r="A11298" i="23"/>
  <c r="C11297" i="23"/>
  <c r="A11297" i="23"/>
  <c r="C11296" i="23"/>
  <c r="A11296" i="23"/>
  <c r="C11295" i="23"/>
  <c r="A11295" i="23"/>
  <c r="C11294" i="23"/>
  <c r="A11294" i="23"/>
  <c r="C11293" i="23"/>
  <c r="A11293" i="23"/>
  <c r="C11292" i="23"/>
  <c r="A11292" i="23"/>
  <c r="C11291" i="23"/>
  <c r="A11291" i="23"/>
  <c r="C11290" i="23"/>
  <c r="A11290" i="23"/>
  <c r="C11289" i="23"/>
  <c r="A11289" i="23"/>
  <c r="C11828" i="23"/>
  <c r="A11828" i="23"/>
  <c r="C11827" i="23"/>
  <c r="A11827" i="23"/>
  <c r="C11826" i="23"/>
  <c r="A11826" i="23"/>
  <c r="C11825" i="23"/>
  <c r="A11825" i="23"/>
  <c r="C11824" i="23"/>
  <c r="A11824" i="23"/>
  <c r="C11823" i="23"/>
  <c r="A11823" i="23"/>
  <c r="C11822" i="23"/>
  <c r="A11822" i="23"/>
  <c r="C11821" i="23"/>
  <c r="A11821" i="23"/>
  <c r="C11820" i="23"/>
  <c r="A11820" i="23"/>
  <c r="C11819" i="23"/>
  <c r="A11819" i="23"/>
  <c r="C11818" i="23"/>
  <c r="A11818" i="23"/>
  <c r="C11817" i="23"/>
  <c r="A11817" i="23"/>
  <c r="C11816" i="23"/>
  <c r="A11816" i="23"/>
  <c r="C11815" i="23"/>
  <c r="A11815" i="23"/>
  <c r="C11814" i="23"/>
  <c r="A11814" i="23"/>
  <c r="C11813" i="23"/>
  <c r="A11813" i="23"/>
  <c r="C11812" i="23"/>
  <c r="A11812" i="23"/>
  <c r="C11811" i="23"/>
  <c r="A11811" i="23"/>
  <c r="C11810" i="23"/>
  <c r="A11810" i="23"/>
  <c r="C11809" i="23"/>
  <c r="A11809" i="23"/>
  <c r="C11808" i="23"/>
  <c r="A11808" i="23"/>
  <c r="C11807" i="23"/>
  <c r="A11807" i="23"/>
  <c r="C11806" i="23"/>
  <c r="A11806" i="23"/>
  <c r="C11805" i="23"/>
  <c r="A11805" i="23"/>
  <c r="C11804" i="23"/>
  <c r="A11804" i="23"/>
  <c r="C11803" i="23"/>
  <c r="A11803" i="23"/>
  <c r="C11802" i="23"/>
  <c r="A11802" i="23"/>
  <c r="C12179" i="23"/>
  <c r="A12179" i="23"/>
  <c r="C12178" i="23"/>
  <c r="A12178" i="23"/>
  <c r="C12177" i="23"/>
  <c r="A12177" i="23"/>
  <c r="C12176" i="23"/>
  <c r="A12176" i="23"/>
  <c r="C12175" i="23"/>
  <c r="A12175" i="23"/>
  <c r="C12174" i="23"/>
  <c r="A12174" i="23"/>
  <c r="C12173" i="23"/>
  <c r="A12173" i="23"/>
  <c r="C12172" i="23"/>
  <c r="A12172" i="23"/>
  <c r="C12171" i="23"/>
  <c r="A12171" i="23"/>
  <c r="C12170" i="23"/>
  <c r="A12170" i="23"/>
  <c r="C12169" i="23"/>
  <c r="A12169" i="23"/>
  <c r="C12168" i="23"/>
  <c r="A12168" i="23"/>
  <c r="C12167" i="23"/>
  <c r="A12167" i="23"/>
  <c r="C12166" i="23"/>
  <c r="A12166" i="23"/>
  <c r="C12165" i="23"/>
  <c r="A12165" i="23"/>
  <c r="C12164" i="23"/>
  <c r="A12164" i="23"/>
  <c r="C12163" i="23"/>
  <c r="A12163" i="23"/>
  <c r="C12162" i="23"/>
  <c r="A12162" i="23"/>
  <c r="C12161" i="23"/>
  <c r="A12161" i="23"/>
  <c r="C12160" i="23"/>
  <c r="A12160" i="23"/>
  <c r="C12159" i="23"/>
  <c r="A12159" i="23"/>
  <c r="C12158" i="23"/>
  <c r="A12158" i="23"/>
  <c r="C12157" i="23"/>
  <c r="A12157" i="23"/>
  <c r="C12156" i="23"/>
  <c r="A12156" i="23"/>
  <c r="C12155" i="23"/>
  <c r="A12155" i="23"/>
  <c r="C12154" i="23"/>
  <c r="A12154" i="23"/>
  <c r="C12153" i="23"/>
  <c r="A12153" i="23"/>
  <c r="C12233" i="23"/>
  <c r="A12233" i="23"/>
  <c r="C12232" i="23"/>
  <c r="A12232" i="23"/>
  <c r="C12231" i="23"/>
  <c r="A12231" i="23"/>
  <c r="C12230" i="23"/>
  <c r="A12230" i="23"/>
  <c r="C12229" i="23"/>
  <c r="A12229" i="23"/>
  <c r="C12228" i="23"/>
  <c r="A12228" i="23"/>
  <c r="C12227" i="23"/>
  <c r="A12227" i="23"/>
  <c r="C12226" i="23"/>
  <c r="A12226" i="23"/>
  <c r="C12225" i="23"/>
  <c r="A12225" i="23"/>
  <c r="C12224" i="23"/>
  <c r="A12224" i="23"/>
  <c r="C12223" i="23"/>
  <c r="A12223" i="23"/>
  <c r="C12222" i="23"/>
  <c r="A12222" i="23"/>
  <c r="C12221" i="23"/>
  <c r="A12221" i="23"/>
  <c r="C12220" i="23"/>
  <c r="A12220" i="23"/>
  <c r="C12219" i="23"/>
  <c r="A12219" i="23"/>
  <c r="C12218" i="23"/>
  <c r="A12218" i="23"/>
  <c r="C12217" i="23"/>
  <c r="A12217" i="23"/>
  <c r="C12216" i="23"/>
  <c r="A12216" i="23"/>
  <c r="C12215" i="23"/>
  <c r="A12215" i="23"/>
  <c r="C12214" i="23"/>
  <c r="A12214" i="23"/>
  <c r="C12213" i="23"/>
  <c r="A12213" i="23"/>
  <c r="C12212" i="23"/>
  <c r="A12212" i="23"/>
  <c r="C12211" i="23"/>
  <c r="A12211" i="23"/>
  <c r="C12210" i="23"/>
  <c r="A12210" i="23"/>
  <c r="C12209" i="23"/>
  <c r="A12209" i="23"/>
  <c r="C12208" i="23"/>
  <c r="A12208" i="23"/>
  <c r="C12207" i="23"/>
  <c r="A12207" i="23"/>
  <c r="C11369" i="23"/>
  <c r="A11369" i="23"/>
  <c r="C11368" i="23"/>
  <c r="A11368" i="23"/>
  <c r="C11367" i="23"/>
  <c r="A11367" i="23"/>
  <c r="C11366" i="23"/>
  <c r="A11366" i="23"/>
  <c r="C11365" i="23"/>
  <c r="A11365" i="23"/>
  <c r="C11364" i="23"/>
  <c r="A11364" i="23"/>
  <c r="C11363" i="23"/>
  <c r="A11363" i="23"/>
  <c r="C11362" i="23"/>
  <c r="A11362" i="23"/>
  <c r="C11361" i="23"/>
  <c r="A11361" i="23"/>
  <c r="C11360" i="23"/>
  <c r="A11360" i="23"/>
  <c r="C11359" i="23"/>
  <c r="A11359" i="23"/>
  <c r="C11358" i="23"/>
  <c r="A11358" i="23"/>
  <c r="C11357" i="23"/>
  <c r="A11357" i="23"/>
  <c r="C11356" i="23"/>
  <c r="A11356" i="23"/>
  <c r="C11355" i="23"/>
  <c r="A11355" i="23"/>
  <c r="C11354" i="23"/>
  <c r="A11354" i="23"/>
  <c r="C11353" i="23"/>
  <c r="A11353" i="23"/>
  <c r="C11352" i="23"/>
  <c r="A11352" i="23"/>
  <c r="C11351" i="23"/>
  <c r="A11351" i="23"/>
  <c r="C11350" i="23"/>
  <c r="A11350" i="23"/>
  <c r="C11349" i="23"/>
  <c r="A11349" i="23"/>
  <c r="C11348" i="23"/>
  <c r="A11348" i="23"/>
  <c r="C11347" i="23"/>
  <c r="A11347" i="23"/>
  <c r="C11346" i="23"/>
  <c r="A11346" i="23"/>
  <c r="C11345" i="23"/>
  <c r="A11345" i="23"/>
  <c r="C11344" i="23"/>
  <c r="A11344" i="23"/>
  <c r="C11343" i="23"/>
  <c r="A11343" i="23"/>
  <c r="C12071" i="23"/>
  <c r="A12071" i="23"/>
  <c r="C12070" i="23"/>
  <c r="A12070" i="23"/>
  <c r="C12069" i="23"/>
  <c r="A12069" i="23"/>
  <c r="C12068" i="23"/>
  <c r="A12068" i="23"/>
  <c r="C12067" i="23"/>
  <c r="A12067" i="23"/>
  <c r="C12066" i="23"/>
  <c r="A12066" i="23"/>
  <c r="C12065" i="23"/>
  <c r="A12065" i="23"/>
  <c r="C12064" i="23"/>
  <c r="A12064" i="23"/>
  <c r="C12063" i="23"/>
  <c r="A12063" i="23"/>
  <c r="C12062" i="23"/>
  <c r="A12062" i="23"/>
  <c r="C12061" i="23"/>
  <c r="A12061" i="23"/>
  <c r="C12060" i="23"/>
  <c r="A12060" i="23"/>
  <c r="C12059" i="23"/>
  <c r="A12059" i="23"/>
  <c r="C12058" i="23"/>
  <c r="A12058" i="23"/>
  <c r="C12057" i="23"/>
  <c r="A12057" i="23"/>
  <c r="C12056" i="23"/>
  <c r="A12056" i="23"/>
  <c r="C12055" i="23"/>
  <c r="A12055" i="23"/>
  <c r="C12054" i="23"/>
  <c r="A12054" i="23"/>
  <c r="C12053" i="23"/>
  <c r="A12053" i="23"/>
  <c r="C12052" i="23"/>
  <c r="A12052" i="23"/>
  <c r="C12051" i="23"/>
  <c r="A12051" i="23"/>
  <c r="C12050" i="23"/>
  <c r="A12050" i="23"/>
  <c r="C12049" i="23"/>
  <c r="A12049" i="23"/>
  <c r="C12048" i="23"/>
  <c r="A12048" i="23"/>
  <c r="C12047" i="23"/>
  <c r="A12047" i="23"/>
  <c r="C12046" i="23"/>
  <c r="A12046" i="23"/>
  <c r="C12045" i="23"/>
  <c r="A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A10424" i="23"/>
  <c r="C10423" i="23"/>
  <c r="A10423" i="23"/>
  <c r="C10422" i="23"/>
  <c r="A10422" i="23"/>
  <c r="C10421" i="23"/>
  <c r="A10421" i="23"/>
  <c r="C10420" i="23"/>
  <c r="A10420" i="23"/>
  <c r="C10419" i="23"/>
  <c r="A10419" i="23"/>
  <c r="C10418" i="23"/>
  <c r="A10418" i="23"/>
  <c r="C10417" i="23"/>
  <c r="A10417" i="23"/>
  <c r="C10416" i="23"/>
  <c r="A10416" i="23"/>
  <c r="C10415" i="23"/>
  <c r="A10415" i="23"/>
  <c r="C10414" i="23"/>
  <c r="A10414" i="23"/>
  <c r="C10413" i="23"/>
  <c r="A10413" i="23"/>
  <c r="C10412" i="23"/>
  <c r="A10412" i="23"/>
  <c r="C10411" i="23"/>
  <c r="A10411" i="23"/>
  <c r="C10410" i="23"/>
  <c r="A10410" i="23"/>
  <c r="C10409" i="23"/>
  <c r="A10409" i="23"/>
  <c r="C10408" i="23"/>
  <c r="A10408" i="23"/>
  <c r="C10407" i="23"/>
  <c r="A10407" i="23"/>
  <c r="C10406" i="23"/>
  <c r="A10406" i="23"/>
  <c r="C10405" i="23"/>
  <c r="A10405" i="23"/>
  <c r="C10404" i="23"/>
  <c r="A10404" i="23"/>
  <c r="C10403" i="23"/>
  <c r="A10403" i="23"/>
  <c r="C10402" i="23"/>
  <c r="A10402" i="23"/>
  <c r="C10401" i="23"/>
  <c r="A10401" i="23"/>
  <c r="C10400" i="23"/>
  <c r="A10400" i="23"/>
  <c r="C10399" i="23"/>
  <c r="A10399" i="23"/>
  <c r="C10398" i="23"/>
  <c r="A10398" i="23"/>
  <c r="C10451" i="23"/>
  <c r="A10451" i="23"/>
  <c r="C10450" i="23"/>
  <c r="A10450" i="23"/>
  <c r="C10449" i="23"/>
  <c r="A10449" i="23"/>
  <c r="C10448" i="23"/>
  <c r="A10448" i="23"/>
  <c r="C10447" i="23"/>
  <c r="A10447" i="23"/>
  <c r="C10446" i="23"/>
  <c r="A10446" i="23"/>
  <c r="C10445" i="23"/>
  <c r="A10445" i="23"/>
  <c r="C10444" i="23"/>
  <c r="A10444" i="23"/>
  <c r="C10443" i="23"/>
  <c r="A10443" i="23"/>
  <c r="C10442" i="23"/>
  <c r="A10442" i="23"/>
  <c r="C10441" i="23"/>
  <c r="A10441" i="23"/>
  <c r="C10440" i="23"/>
  <c r="A10440" i="23"/>
  <c r="C10439" i="23"/>
  <c r="A10439" i="23"/>
  <c r="C10438" i="23"/>
  <c r="A10438" i="23"/>
  <c r="C10437" i="23"/>
  <c r="A10437" i="23"/>
  <c r="C10436" i="23"/>
  <c r="A10436" i="23"/>
  <c r="C10435" i="23"/>
  <c r="A10435" i="23"/>
  <c r="C10434" i="23"/>
  <c r="A10434" i="23"/>
  <c r="C10433" i="23"/>
  <c r="A10433" i="23"/>
  <c r="C10432" i="23"/>
  <c r="A10432" i="23"/>
  <c r="C10431" i="23"/>
  <c r="A10431" i="23"/>
  <c r="C10430" i="23"/>
  <c r="A10430" i="23"/>
  <c r="C10429" i="23"/>
  <c r="A10429" i="23"/>
  <c r="C10428" i="23"/>
  <c r="A10428" i="23"/>
  <c r="C10427" i="23"/>
  <c r="A10427" i="23"/>
  <c r="C10426" i="23"/>
  <c r="A10426" i="23"/>
  <c r="C10425" i="23"/>
  <c r="A10425" i="23"/>
  <c r="C10478" i="23"/>
  <c r="A10478" i="23"/>
  <c r="C10477" i="23"/>
  <c r="A10477" i="23"/>
  <c r="C10476" i="23"/>
  <c r="A10476" i="23"/>
  <c r="C10475" i="23"/>
  <c r="A10475" i="23"/>
  <c r="C10474" i="23"/>
  <c r="A10474" i="23"/>
  <c r="C10473" i="23"/>
  <c r="A10473" i="23"/>
  <c r="C10472" i="23"/>
  <c r="A10472" i="23"/>
  <c r="C10471" i="23"/>
  <c r="A10471" i="23"/>
  <c r="C10470" i="23"/>
  <c r="A10470" i="23"/>
  <c r="C10469" i="23"/>
  <c r="A10469" i="23"/>
  <c r="C10468" i="23"/>
  <c r="A10468" i="23"/>
  <c r="C10467" i="23"/>
  <c r="A10467" i="23"/>
  <c r="C10466" i="23"/>
  <c r="A10466" i="23"/>
  <c r="C10465" i="23"/>
  <c r="A10465" i="23"/>
  <c r="C10464" i="23"/>
  <c r="A10464" i="23"/>
  <c r="C10463" i="23"/>
  <c r="A10463" i="23"/>
  <c r="C10462" i="23"/>
  <c r="A10462" i="23"/>
  <c r="C10461" i="23"/>
  <c r="A10461" i="23"/>
  <c r="C10460" i="23"/>
  <c r="A10460" i="23"/>
  <c r="C10459" i="23"/>
  <c r="A10459" i="23"/>
  <c r="C10458" i="23"/>
  <c r="A10458" i="23"/>
  <c r="C10457" i="23"/>
  <c r="A10457" i="23"/>
  <c r="C10456" i="23"/>
  <c r="A10456" i="23"/>
  <c r="C10455" i="23"/>
  <c r="A10455" i="23"/>
  <c r="C10454" i="23"/>
  <c r="A10454" i="23"/>
  <c r="C10453" i="23"/>
  <c r="A10453" i="23"/>
  <c r="C10452" i="23"/>
  <c r="A10452" i="23"/>
  <c r="C10505" i="23"/>
  <c r="A10505" i="23"/>
  <c r="C10504" i="23"/>
  <c r="A10504" i="23"/>
  <c r="C10503" i="23"/>
  <c r="A10503" i="23"/>
  <c r="C10502" i="23"/>
  <c r="A10502" i="23"/>
  <c r="C10501" i="23"/>
  <c r="A10501" i="23"/>
  <c r="C10500" i="23"/>
  <c r="A10500" i="23"/>
  <c r="C10499" i="23"/>
  <c r="A10499" i="23"/>
  <c r="C10498" i="23"/>
  <c r="A10498" i="23"/>
  <c r="C10497" i="23"/>
  <c r="A10497" i="23"/>
  <c r="C10496" i="23"/>
  <c r="A10496" i="23"/>
  <c r="C10495" i="23"/>
  <c r="A10495" i="23"/>
  <c r="C10494" i="23"/>
  <c r="A10494" i="23"/>
  <c r="C10493" i="23"/>
  <c r="A10493" i="23"/>
  <c r="C10492" i="23"/>
  <c r="A10492" i="23"/>
  <c r="C10491" i="23"/>
  <c r="A10491" i="23"/>
  <c r="C10490" i="23"/>
  <c r="A10490" i="23"/>
  <c r="C10489" i="23"/>
  <c r="A10489" i="23"/>
  <c r="C10488" i="23"/>
  <c r="A10488" i="23"/>
  <c r="C10487" i="23"/>
  <c r="A10487" i="23"/>
  <c r="C10486" i="23"/>
  <c r="A10486" i="23"/>
  <c r="C10485" i="23"/>
  <c r="A10485" i="23"/>
  <c r="C10484" i="23"/>
  <c r="A10484" i="23"/>
  <c r="C10483" i="23"/>
  <c r="A10483" i="23"/>
  <c r="C10482" i="23"/>
  <c r="A10482" i="23"/>
  <c r="C10481" i="23"/>
  <c r="A10481" i="23"/>
  <c r="C10480" i="23"/>
  <c r="A10480" i="23"/>
  <c r="C10479" i="23"/>
  <c r="A10479" i="23"/>
  <c r="C10532" i="23"/>
  <c r="A10532" i="23"/>
  <c r="C10531" i="23"/>
  <c r="A10531" i="23"/>
  <c r="C10530" i="23"/>
  <c r="A10530" i="23"/>
  <c r="C10529" i="23"/>
  <c r="A10529" i="23"/>
  <c r="C10528" i="23"/>
  <c r="A10528" i="23"/>
  <c r="C10527" i="23"/>
  <c r="A10527" i="23"/>
  <c r="C10526" i="23"/>
  <c r="A10526" i="23"/>
  <c r="C10525" i="23"/>
  <c r="A10525" i="23"/>
  <c r="C10524" i="23"/>
  <c r="A10524" i="23"/>
  <c r="C10523" i="23"/>
  <c r="A10523" i="23"/>
  <c r="C10522" i="23"/>
  <c r="A10522" i="23"/>
  <c r="C10521" i="23"/>
  <c r="A10521" i="23"/>
  <c r="C10520" i="23"/>
  <c r="A10520" i="23"/>
  <c r="C10519" i="23"/>
  <c r="A10519" i="23"/>
  <c r="C10518" i="23"/>
  <c r="A10518" i="23"/>
  <c r="C10517" i="23"/>
  <c r="A10517" i="23"/>
  <c r="C10516" i="23"/>
  <c r="A10516" i="23"/>
  <c r="C10515" i="23"/>
  <c r="A10515" i="23"/>
  <c r="C10514" i="23"/>
  <c r="A10514" i="23"/>
  <c r="C10513" i="23"/>
  <c r="A10513" i="23"/>
  <c r="C10512" i="23"/>
  <c r="A10512" i="23"/>
  <c r="C10511" i="23"/>
  <c r="A10511" i="23"/>
  <c r="C10510" i="23"/>
  <c r="A10510" i="23"/>
  <c r="C10509" i="23"/>
  <c r="A10509" i="23"/>
  <c r="C10508" i="23"/>
  <c r="A10508" i="23"/>
  <c r="C10507" i="23"/>
  <c r="A10507" i="23"/>
  <c r="C10506" i="23"/>
  <c r="A10506" i="23"/>
  <c r="C10559" i="23"/>
  <c r="A10559" i="23"/>
  <c r="C10558" i="23"/>
  <c r="A10558" i="23"/>
  <c r="C10557" i="23"/>
  <c r="A10557" i="23"/>
  <c r="C10556" i="23"/>
  <c r="A10556" i="23"/>
  <c r="C10555" i="23"/>
  <c r="A10555" i="23"/>
  <c r="C10554" i="23"/>
  <c r="A10554" i="23"/>
  <c r="C10553" i="23"/>
  <c r="A10553" i="23"/>
  <c r="C10552" i="23"/>
  <c r="A10552" i="23"/>
  <c r="C10551" i="23"/>
  <c r="A10551" i="23"/>
  <c r="C10550" i="23"/>
  <c r="A10550" i="23"/>
  <c r="C10549" i="23"/>
  <c r="A10549" i="23"/>
  <c r="C10548" i="23"/>
  <c r="A10548" i="23"/>
  <c r="C10547" i="23"/>
  <c r="A10547" i="23"/>
  <c r="C10546" i="23"/>
  <c r="A10546" i="23"/>
  <c r="C10545" i="23"/>
  <c r="A10545" i="23"/>
  <c r="C10544" i="23"/>
  <c r="A10544" i="23"/>
  <c r="C10543" i="23"/>
  <c r="A10543" i="23"/>
  <c r="C10542" i="23"/>
  <c r="A10542" i="23"/>
  <c r="C10541" i="23"/>
  <c r="A10541" i="23"/>
  <c r="C10540" i="23"/>
  <c r="A10540" i="23"/>
  <c r="C10539" i="23"/>
  <c r="A10539" i="23"/>
  <c r="C10538" i="23"/>
  <c r="A10538" i="23"/>
  <c r="C10537" i="23"/>
  <c r="A10537" i="23"/>
  <c r="C10536" i="23"/>
  <c r="A10536" i="23"/>
  <c r="C10535" i="23"/>
  <c r="A10535" i="23"/>
  <c r="C10534" i="23"/>
  <c r="A10534" i="23"/>
  <c r="C10533" i="23"/>
  <c r="A10533" i="23"/>
  <c r="C10586" i="23"/>
  <c r="A10586" i="23"/>
  <c r="C10585" i="23"/>
  <c r="A10585" i="23"/>
  <c r="C10584" i="23"/>
  <c r="A10584" i="23"/>
  <c r="C10583" i="23"/>
  <c r="A10583" i="23"/>
  <c r="C10582" i="23"/>
  <c r="A10582" i="23"/>
  <c r="C10581" i="23"/>
  <c r="A10581" i="23"/>
  <c r="C10580" i="23"/>
  <c r="A10580" i="23"/>
  <c r="C10579" i="23"/>
  <c r="A10579" i="23"/>
  <c r="C10578" i="23"/>
  <c r="A10578" i="23"/>
  <c r="C10577" i="23"/>
  <c r="A10577" i="23"/>
  <c r="C10576" i="23"/>
  <c r="A10576" i="23"/>
  <c r="C10575" i="23"/>
  <c r="A10575" i="23"/>
  <c r="C10574" i="23"/>
  <c r="A10574" i="23"/>
  <c r="C10573" i="23"/>
  <c r="A10573" i="23"/>
  <c r="C10572" i="23"/>
  <c r="A10572" i="23"/>
  <c r="C10571" i="23"/>
  <c r="A10571" i="23"/>
  <c r="C10570" i="23"/>
  <c r="A10570" i="23"/>
  <c r="C10569" i="23"/>
  <c r="A10569" i="23"/>
  <c r="C10568" i="23"/>
  <c r="A10568" i="23"/>
  <c r="C10567" i="23"/>
  <c r="A10567" i="23"/>
  <c r="C10566" i="23"/>
  <c r="A10566" i="23"/>
  <c r="C10565" i="23"/>
  <c r="A10565" i="23"/>
  <c r="C10564" i="23"/>
  <c r="A10564" i="23"/>
  <c r="C10563" i="23"/>
  <c r="A10563" i="23"/>
  <c r="C10562" i="23"/>
  <c r="A10562" i="23"/>
  <c r="C10561" i="23"/>
  <c r="A10561" i="23"/>
  <c r="C10560" i="23"/>
  <c r="A10560" i="23"/>
  <c r="C10613" i="23"/>
  <c r="A10613" i="23"/>
  <c r="C10612" i="23"/>
  <c r="A10612" i="23"/>
  <c r="C10611" i="23"/>
  <c r="A10611" i="23"/>
  <c r="C10610" i="23"/>
  <c r="A10610" i="23"/>
  <c r="C10609" i="23"/>
  <c r="A10609" i="23"/>
  <c r="C10608" i="23"/>
  <c r="A10608" i="23"/>
  <c r="C10607" i="23"/>
  <c r="A10607" i="23"/>
  <c r="C10606" i="23"/>
  <c r="A10606" i="23"/>
  <c r="C10605" i="23"/>
  <c r="A10605" i="23"/>
  <c r="C10604" i="23"/>
  <c r="A10604" i="23"/>
  <c r="C10603" i="23"/>
  <c r="A10603" i="23"/>
  <c r="C10602" i="23"/>
  <c r="A10602" i="23"/>
  <c r="C10601" i="23"/>
  <c r="A10601" i="23"/>
  <c r="C10600" i="23"/>
  <c r="A10600" i="23"/>
  <c r="C10599" i="23"/>
  <c r="A10599" i="23"/>
  <c r="C10598" i="23"/>
  <c r="A10598" i="23"/>
  <c r="C10597" i="23"/>
  <c r="A10597" i="23"/>
  <c r="C10596" i="23"/>
  <c r="A10596" i="23"/>
  <c r="C10595" i="23"/>
  <c r="A10595" i="23"/>
  <c r="C10594" i="23"/>
  <c r="A10594" i="23"/>
  <c r="C10593" i="23"/>
  <c r="A10593" i="23"/>
  <c r="C10592" i="23"/>
  <c r="A10592" i="23"/>
  <c r="C10591" i="23"/>
  <c r="A10591" i="23"/>
  <c r="C10590" i="23"/>
  <c r="A10590" i="23"/>
  <c r="C10589" i="23"/>
  <c r="A10589" i="23"/>
  <c r="C10588" i="23"/>
  <c r="A10588" i="23"/>
  <c r="C10587" i="23"/>
  <c r="A10587" i="23"/>
  <c r="C10640" i="23"/>
  <c r="A10640" i="23"/>
  <c r="C10639" i="23"/>
  <c r="A10639" i="23"/>
  <c r="C10638" i="23"/>
  <c r="A10638" i="23"/>
  <c r="C10637" i="23"/>
  <c r="A10637" i="23"/>
  <c r="C10636" i="23"/>
  <c r="A10636" i="23"/>
  <c r="C10635" i="23"/>
  <c r="A10635" i="23"/>
  <c r="C10634" i="23"/>
  <c r="A10634" i="23"/>
  <c r="C10633" i="23"/>
  <c r="A10633" i="23"/>
  <c r="C10632" i="23"/>
  <c r="A10632" i="23"/>
  <c r="C10631" i="23"/>
  <c r="A10631" i="23"/>
  <c r="C10630" i="23"/>
  <c r="A10630" i="23"/>
  <c r="C10629" i="23"/>
  <c r="A10629" i="23"/>
  <c r="C10628" i="23"/>
  <c r="A10628" i="23"/>
  <c r="C10627" i="23"/>
  <c r="A10627" i="23"/>
  <c r="C10626" i="23"/>
  <c r="A10626" i="23"/>
  <c r="C10625" i="23"/>
  <c r="A10625" i="23"/>
  <c r="C10624" i="23"/>
  <c r="A10624" i="23"/>
  <c r="C10623" i="23"/>
  <c r="A10623" i="23"/>
  <c r="C10622" i="23"/>
  <c r="A10622" i="23"/>
  <c r="C10621" i="23"/>
  <c r="A10621" i="23"/>
  <c r="C10620" i="23"/>
  <c r="A10620" i="23"/>
  <c r="C10619" i="23"/>
  <c r="A10619" i="23"/>
  <c r="C10618" i="23"/>
  <c r="A10618" i="23"/>
  <c r="C10617" i="23"/>
  <c r="A10617" i="23"/>
  <c r="C10616" i="23"/>
  <c r="A10616" i="23"/>
  <c r="C10615" i="23"/>
  <c r="A10615" i="23"/>
  <c r="C10614" i="23"/>
  <c r="A10614" i="23"/>
  <c r="C10397" i="23"/>
  <c r="A10397" i="23"/>
  <c r="C10396" i="23"/>
  <c r="A10396" i="23"/>
  <c r="C10395" i="23"/>
  <c r="A10395" i="23"/>
  <c r="C10394" i="23"/>
  <c r="A10394" i="23"/>
  <c r="C10393" i="23"/>
  <c r="A10393" i="23"/>
  <c r="C10392" i="23"/>
  <c r="A10392" i="23"/>
  <c r="C10391" i="23"/>
  <c r="A10391" i="23"/>
  <c r="C10390" i="23"/>
  <c r="A10390" i="23"/>
  <c r="C10389" i="23"/>
  <c r="A10389" i="23"/>
  <c r="C10388" i="23"/>
  <c r="A10388" i="23"/>
  <c r="C10387" i="23"/>
  <c r="A10387" i="23"/>
  <c r="C10386" i="23"/>
  <c r="A10386" i="23"/>
  <c r="C10385" i="23"/>
  <c r="A10385" i="23"/>
  <c r="C10384" i="23"/>
  <c r="A10384" i="23"/>
  <c r="C10383" i="23"/>
  <c r="A10383" i="23"/>
  <c r="C10382" i="23"/>
  <c r="A10382" i="23"/>
  <c r="C10381" i="23"/>
  <c r="A10381" i="23"/>
  <c r="C10380" i="23"/>
  <c r="A10380" i="23"/>
  <c r="C10379" i="23"/>
  <c r="A10379" i="23"/>
  <c r="C10378" i="23"/>
  <c r="A10378" i="23"/>
  <c r="C10377" i="23"/>
  <c r="A10377" i="23"/>
  <c r="C10376" i="23"/>
  <c r="A10376" i="23"/>
  <c r="C10375" i="23"/>
  <c r="A10375" i="23"/>
  <c r="C10374" i="23"/>
  <c r="A10374" i="23"/>
  <c r="C10373" i="23"/>
  <c r="A10373" i="23"/>
  <c r="C10372" i="23"/>
  <c r="A10372" i="23"/>
  <c r="C10371" i="23"/>
  <c r="A10371" i="23"/>
  <c r="C10748" i="23"/>
  <c r="A10748" i="23"/>
  <c r="C10747" i="23"/>
  <c r="A10747" i="23"/>
  <c r="C10746" i="23"/>
  <c r="A10746" i="23"/>
  <c r="C10745" i="23"/>
  <c r="A10745" i="23"/>
  <c r="C10744" i="23"/>
  <c r="A10744" i="23"/>
  <c r="C10743" i="23"/>
  <c r="A10743" i="23"/>
  <c r="C10742" i="23"/>
  <c r="A10742" i="23"/>
  <c r="C10741" i="23"/>
  <c r="A10741" i="23"/>
  <c r="C10740" i="23"/>
  <c r="A10740" i="23"/>
  <c r="C10739" i="23"/>
  <c r="A10739" i="23"/>
  <c r="C10738" i="23"/>
  <c r="A10738" i="23"/>
  <c r="C10737" i="23"/>
  <c r="A10737" i="23"/>
  <c r="C10736" i="23"/>
  <c r="A10736" i="23"/>
  <c r="C10735" i="23"/>
  <c r="A10735" i="23"/>
  <c r="C10734" i="23"/>
  <c r="A10734" i="23"/>
  <c r="C10733" i="23"/>
  <c r="A10733" i="23"/>
  <c r="C10732" i="23"/>
  <c r="A10732" i="23"/>
  <c r="C10731" i="23"/>
  <c r="A10731" i="23"/>
  <c r="C10730" i="23"/>
  <c r="A10730" i="23"/>
  <c r="C10729" i="23"/>
  <c r="A10729" i="23"/>
  <c r="C10728" i="23"/>
  <c r="A10728" i="23"/>
  <c r="C10727" i="23"/>
  <c r="A10727" i="23"/>
  <c r="C10726" i="23"/>
  <c r="A10726" i="23"/>
  <c r="C10725" i="23"/>
  <c r="A10725" i="23"/>
  <c r="C10724" i="23"/>
  <c r="A10724" i="23"/>
  <c r="C10723" i="23"/>
  <c r="A10723" i="23"/>
  <c r="C10722" i="23"/>
  <c r="A10722" i="23"/>
  <c r="C11099" i="23"/>
  <c r="A11099" i="23"/>
  <c r="C11098" i="23"/>
  <c r="A11098" i="23"/>
  <c r="C11097" i="23"/>
  <c r="A11097" i="23"/>
  <c r="C11096" i="23"/>
  <c r="A11096" i="23"/>
  <c r="C11095" i="23"/>
  <c r="A11095" i="23"/>
  <c r="C11094" i="23"/>
  <c r="A11094" i="23"/>
  <c r="C11093" i="23"/>
  <c r="A11093" i="23"/>
  <c r="C11092" i="23"/>
  <c r="A11092" i="23"/>
  <c r="C11091" i="23"/>
  <c r="A11091" i="23"/>
  <c r="C11090" i="23"/>
  <c r="A11090" i="23"/>
  <c r="C11089" i="23"/>
  <c r="A11089" i="23"/>
  <c r="C11088" i="23"/>
  <c r="A11088" i="23"/>
  <c r="C11087" i="23"/>
  <c r="A11087" i="23"/>
  <c r="C11086" i="23"/>
  <c r="A11086" i="23"/>
  <c r="C11085" i="23"/>
  <c r="A11085" i="23"/>
  <c r="C11084" i="23"/>
  <c r="A11084" i="23"/>
  <c r="C11083" i="23"/>
  <c r="A11083" i="23"/>
  <c r="C11082" i="23"/>
  <c r="A11082" i="23"/>
  <c r="C11081" i="23"/>
  <c r="A11081" i="23"/>
  <c r="C11080" i="23"/>
  <c r="A11080" i="23"/>
  <c r="C11079" i="23"/>
  <c r="A11079" i="23"/>
  <c r="C11078" i="23"/>
  <c r="A11078" i="23"/>
  <c r="C11077" i="23"/>
  <c r="A11077" i="23"/>
  <c r="C11076" i="23"/>
  <c r="A11076" i="23"/>
  <c r="C11075" i="23"/>
  <c r="A11075" i="23"/>
  <c r="C11074" i="23"/>
  <c r="A11074" i="23"/>
  <c r="C11073" i="23"/>
  <c r="A11073" i="23"/>
  <c r="C10775" i="23"/>
  <c r="A10775" i="23"/>
  <c r="C10774" i="23"/>
  <c r="A10774" i="23"/>
  <c r="C10773" i="23"/>
  <c r="A10773" i="23"/>
  <c r="C10772" i="23"/>
  <c r="A10772" i="23"/>
  <c r="C10771" i="23"/>
  <c r="A10771" i="23"/>
  <c r="C10770" i="23"/>
  <c r="A10770" i="23"/>
  <c r="C10769" i="23"/>
  <c r="A10769" i="23"/>
  <c r="C10768" i="23"/>
  <c r="A10768" i="23"/>
  <c r="C10767" i="23"/>
  <c r="A10767" i="23"/>
  <c r="C10766" i="23"/>
  <c r="A10766" i="23"/>
  <c r="C10765" i="23"/>
  <c r="A10765" i="23"/>
  <c r="C10764" i="23"/>
  <c r="A10764" i="23"/>
  <c r="C10763" i="23"/>
  <c r="A10763" i="23"/>
  <c r="C10762" i="23"/>
  <c r="A10762" i="23"/>
  <c r="C10761" i="23"/>
  <c r="A10761" i="23"/>
  <c r="C10760" i="23"/>
  <c r="A10760" i="23"/>
  <c r="C10759" i="23"/>
  <c r="A10759" i="23"/>
  <c r="C10758" i="23"/>
  <c r="A10758" i="23"/>
  <c r="C10757" i="23"/>
  <c r="A10757" i="23"/>
  <c r="C10756" i="23"/>
  <c r="A10756" i="23"/>
  <c r="C10755" i="23"/>
  <c r="A10755" i="23"/>
  <c r="C10754" i="23"/>
  <c r="A10754" i="23"/>
  <c r="C10753" i="23"/>
  <c r="A10753" i="23"/>
  <c r="C10752" i="23"/>
  <c r="A10752" i="23"/>
  <c r="C10751" i="23"/>
  <c r="A10751" i="23"/>
  <c r="C10750" i="23"/>
  <c r="A10750" i="23"/>
  <c r="C10749" i="23"/>
  <c r="A10749" i="23"/>
  <c r="C11234" i="23"/>
  <c r="A11234" i="23"/>
  <c r="C11233" i="23"/>
  <c r="A11233" i="23"/>
  <c r="C11232" i="23"/>
  <c r="A11232" i="23"/>
  <c r="C11231" i="23"/>
  <c r="A11231" i="23"/>
  <c r="C11230" i="23"/>
  <c r="A11230" i="23"/>
  <c r="C11229" i="23"/>
  <c r="A11229" i="23"/>
  <c r="C11228" i="23"/>
  <c r="A11228" i="23"/>
  <c r="C11227" i="23"/>
  <c r="A11227" i="23"/>
  <c r="C11226" i="23"/>
  <c r="A11226" i="23"/>
  <c r="C11225" i="23"/>
  <c r="A11225" i="23"/>
  <c r="C11224" i="23"/>
  <c r="A11224" i="23"/>
  <c r="C11223" i="23"/>
  <c r="A11223" i="23"/>
  <c r="C11222" i="23"/>
  <c r="A11222" i="23"/>
  <c r="C11221" i="23"/>
  <c r="A11221" i="23"/>
  <c r="C11220" i="23"/>
  <c r="A11220" i="23"/>
  <c r="C11219" i="23"/>
  <c r="A11219" i="23"/>
  <c r="C11218" i="23"/>
  <c r="A11218" i="23"/>
  <c r="C11217" i="23"/>
  <c r="A11217" i="23"/>
  <c r="C11216" i="23"/>
  <c r="A11216" i="23"/>
  <c r="C11215" i="23"/>
  <c r="A11215" i="23"/>
  <c r="C11214" i="23"/>
  <c r="A11214" i="23"/>
  <c r="C11213" i="23"/>
  <c r="A11213" i="23"/>
  <c r="C11212" i="23"/>
  <c r="A11212" i="23"/>
  <c r="C11211" i="23"/>
  <c r="A11211" i="23"/>
  <c r="C11210" i="23"/>
  <c r="A11210" i="23"/>
  <c r="C11209" i="23"/>
  <c r="A11209" i="23"/>
  <c r="C11208" i="23"/>
  <c r="A11208" i="23"/>
  <c r="C10370" i="23"/>
  <c r="A10370" i="23"/>
  <c r="C10369" i="23"/>
  <c r="A10369" i="23"/>
  <c r="C10368" i="23"/>
  <c r="A10368" i="23"/>
  <c r="C10367" i="23"/>
  <c r="A10367" i="23"/>
  <c r="C10366" i="23"/>
  <c r="A10366" i="23"/>
  <c r="C10365" i="23"/>
  <c r="A10365" i="23"/>
  <c r="C10364" i="23"/>
  <c r="A10364" i="23"/>
  <c r="C10363" i="23"/>
  <c r="A10363" i="23"/>
  <c r="C10362" i="23"/>
  <c r="A10362" i="23"/>
  <c r="C10361" i="23"/>
  <c r="A10361" i="23"/>
  <c r="C10360" i="23"/>
  <c r="A10360" i="23"/>
  <c r="C10359" i="23"/>
  <c r="A10359" i="23"/>
  <c r="C10358" i="23"/>
  <c r="A10358" i="23"/>
  <c r="C10357" i="23"/>
  <c r="A10357" i="23"/>
  <c r="C10356" i="23"/>
  <c r="A10356" i="23"/>
  <c r="C10355" i="23"/>
  <c r="A10355" i="23"/>
  <c r="C10354" i="23"/>
  <c r="A10354" i="23"/>
  <c r="C10353" i="23"/>
  <c r="A10353" i="23"/>
  <c r="C10352" i="23"/>
  <c r="A10352" i="23"/>
  <c r="C10351" i="23"/>
  <c r="A10351" i="23"/>
  <c r="C10350" i="23"/>
  <c r="A10350" i="23"/>
  <c r="C10349" i="23"/>
  <c r="A10349" i="23"/>
  <c r="C10348" i="23"/>
  <c r="A10348" i="23"/>
  <c r="C10347" i="23"/>
  <c r="A10347" i="23"/>
  <c r="C10346" i="23"/>
  <c r="A10346" i="23"/>
  <c r="C10345" i="23"/>
  <c r="A10345" i="23"/>
  <c r="C10344" i="23"/>
  <c r="A10344" i="23"/>
  <c r="C10721" i="23"/>
  <c r="A10721" i="23"/>
  <c r="C10720" i="23"/>
  <c r="A10720" i="23"/>
  <c r="C10719" i="23"/>
  <c r="A10719" i="23"/>
  <c r="C10718" i="23"/>
  <c r="A10718" i="23"/>
  <c r="C10717" i="23"/>
  <c r="A10717" i="23"/>
  <c r="C10716" i="23"/>
  <c r="A10716" i="23"/>
  <c r="C10715" i="23"/>
  <c r="A10715" i="23"/>
  <c r="C10714" i="23"/>
  <c r="A10714" i="23"/>
  <c r="C10713" i="23"/>
  <c r="A10713" i="23"/>
  <c r="C10712" i="23"/>
  <c r="A10712" i="23"/>
  <c r="C10711" i="23"/>
  <c r="A10711" i="23"/>
  <c r="C10710" i="23"/>
  <c r="A10710" i="23"/>
  <c r="C10709" i="23"/>
  <c r="A10709" i="23"/>
  <c r="C10708" i="23"/>
  <c r="A10708" i="23"/>
  <c r="C10707" i="23"/>
  <c r="A10707" i="23"/>
  <c r="C10706" i="23"/>
  <c r="A10706" i="23"/>
  <c r="C10705" i="23"/>
  <c r="A10705" i="23"/>
  <c r="C10704" i="23"/>
  <c r="A10704" i="23"/>
  <c r="C10703" i="23"/>
  <c r="A10703" i="23"/>
  <c r="C10702" i="23"/>
  <c r="A10702" i="23"/>
  <c r="C10701" i="23"/>
  <c r="A10701" i="23"/>
  <c r="C10700" i="23"/>
  <c r="A10700" i="23"/>
  <c r="C10699" i="23"/>
  <c r="A10699" i="23"/>
  <c r="C10698" i="23"/>
  <c r="A10698" i="23"/>
  <c r="C10697" i="23"/>
  <c r="A10697" i="23"/>
  <c r="C10696" i="23"/>
  <c r="A10696" i="23"/>
  <c r="C10695" i="23"/>
  <c r="A10695" i="23"/>
  <c r="C11018" i="23"/>
  <c r="A11018" i="23"/>
  <c r="C11017" i="23"/>
  <c r="A11017" i="23"/>
  <c r="C11016" i="23"/>
  <c r="A11016" i="23"/>
  <c r="C11015" i="23"/>
  <c r="A11015" i="23"/>
  <c r="C11014" i="23"/>
  <c r="A11014" i="23"/>
  <c r="C11013" i="23"/>
  <c r="A11013" i="23"/>
  <c r="C11012" i="23"/>
  <c r="A11012" i="23"/>
  <c r="C11011" i="23"/>
  <c r="A11011" i="23"/>
  <c r="C11010" i="23"/>
  <c r="A11010" i="23"/>
  <c r="C11009" i="23"/>
  <c r="A11009" i="23"/>
  <c r="C11008" i="23"/>
  <c r="A11008" i="23"/>
  <c r="C11007" i="23"/>
  <c r="A11007" i="23"/>
  <c r="C11006" i="23"/>
  <c r="A11006" i="23"/>
  <c r="C11005" i="23"/>
  <c r="A11005" i="23"/>
  <c r="C11004" i="23"/>
  <c r="A11004" i="23"/>
  <c r="C11003" i="23"/>
  <c r="A11003" i="23"/>
  <c r="C11002" i="23"/>
  <c r="A11002" i="23"/>
  <c r="C11001" i="23"/>
  <c r="A11001" i="23"/>
  <c r="C11000" i="23"/>
  <c r="A11000" i="23"/>
  <c r="C10999" i="23"/>
  <c r="A10999" i="23"/>
  <c r="C10998" i="23"/>
  <c r="A10998" i="23"/>
  <c r="C10997" i="23"/>
  <c r="A10997" i="23"/>
  <c r="C10996" i="23"/>
  <c r="A10996" i="23"/>
  <c r="C10995" i="23"/>
  <c r="A10995" i="23"/>
  <c r="C10994" i="23"/>
  <c r="A10994" i="23"/>
  <c r="C10993" i="23"/>
  <c r="A10993" i="23"/>
  <c r="C10992" i="23"/>
  <c r="A10992" i="23"/>
  <c r="C10829" i="23"/>
  <c r="A10829" i="23"/>
  <c r="C10828" i="23"/>
  <c r="A10828" i="23"/>
  <c r="C10827" i="23"/>
  <c r="A10827" i="23"/>
  <c r="C10826" i="23"/>
  <c r="A10826" i="23"/>
  <c r="C10825" i="23"/>
  <c r="A10825" i="23"/>
  <c r="C10824" i="23"/>
  <c r="A10824" i="23"/>
  <c r="C10823" i="23"/>
  <c r="A10823" i="23"/>
  <c r="C10822" i="23"/>
  <c r="A10822" i="23"/>
  <c r="C10821" i="23"/>
  <c r="A10821" i="23"/>
  <c r="C10820" i="23"/>
  <c r="A10820" i="23"/>
  <c r="C10819" i="23"/>
  <c r="A10819" i="23"/>
  <c r="C10818" i="23"/>
  <c r="A10818" i="23"/>
  <c r="C10817" i="23"/>
  <c r="A10817" i="23"/>
  <c r="C10816" i="23"/>
  <c r="A10816" i="23"/>
  <c r="C10815" i="23"/>
  <c r="A10815" i="23"/>
  <c r="C10814" i="23"/>
  <c r="A10814" i="23"/>
  <c r="C10813" i="23"/>
  <c r="A10813" i="23"/>
  <c r="C10812" i="23"/>
  <c r="A10812" i="23"/>
  <c r="C10811" i="23"/>
  <c r="A10811" i="23"/>
  <c r="C10810" i="23"/>
  <c r="A10810" i="23"/>
  <c r="C10809" i="23"/>
  <c r="A10809" i="23"/>
  <c r="C10808" i="23"/>
  <c r="A10808" i="23"/>
  <c r="C10807" i="23"/>
  <c r="A10807" i="23"/>
  <c r="C10806" i="23"/>
  <c r="A10806" i="23"/>
  <c r="C10805" i="23"/>
  <c r="A10805" i="23"/>
  <c r="C10804" i="23"/>
  <c r="A10804" i="23"/>
  <c r="C10803" i="23"/>
  <c r="A10803" i="23"/>
  <c r="C10910" i="23"/>
  <c r="A10910" i="23"/>
  <c r="C10909" i="23"/>
  <c r="A10909" i="23"/>
  <c r="C10908" i="23"/>
  <c r="A10908" i="23"/>
  <c r="C10907" i="23"/>
  <c r="A10907" i="23"/>
  <c r="C10906" i="23"/>
  <c r="A10906" i="23"/>
  <c r="C10905" i="23"/>
  <c r="A10905" i="23"/>
  <c r="C10904" i="23"/>
  <c r="A10904" i="23"/>
  <c r="C10903" i="23"/>
  <c r="A10903" i="23"/>
  <c r="C10902" i="23"/>
  <c r="A10902" i="23"/>
  <c r="C10901" i="23"/>
  <c r="A10901" i="23"/>
  <c r="C10900" i="23"/>
  <c r="A10900" i="23"/>
  <c r="C10899" i="23"/>
  <c r="A10899" i="23"/>
  <c r="C10898" i="23"/>
  <c r="A10898" i="23"/>
  <c r="C10897" i="23"/>
  <c r="A10897" i="23"/>
  <c r="C10896" i="23"/>
  <c r="A10896" i="23"/>
  <c r="C10895" i="23"/>
  <c r="A10895" i="23"/>
  <c r="C10894" i="23"/>
  <c r="A10894" i="23"/>
  <c r="C10893" i="23"/>
  <c r="A10893" i="23"/>
  <c r="C10892" i="23"/>
  <c r="A10892" i="23"/>
  <c r="C10891" i="23"/>
  <c r="A10891" i="23"/>
  <c r="C10890" i="23"/>
  <c r="A10890" i="23"/>
  <c r="C10889" i="23"/>
  <c r="A10889" i="23"/>
  <c r="C10888" i="23"/>
  <c r="A10888" i="23"/>
  <c r="C10887" i="23"/>
  <c r="A10887" i="23"/>
  <c r="C10886" i="23"/>
  <c r="A10886" i="23"/>
  <c r="C10885" i="23"/>
  <c r="A10885" i="23"/>
  <c r="C10884" i="23"/>
  <c r="A10884" i="23"/>
  <c r="C11180" i="23"/>
  <c r="A11180" i="23"/>
  <c r="C11179" i="23"/>
  <c r="A11179" i="23"/>
  <c r="C11178" i="23"/>
  <c r="A11178" i="23"/>
  <c r="C11177" i="23"/>
  <c r="A11177" i="23"/>
  <c r="C11176" i="23"/>
  <c r="A11176" i="23"/>
  <c r="C11175" i="23"/>
  <c r="A11175" i="23"/>
  <c r="C11174" i="23"/>
  <c r="A11174" i="23"/>
  <c r="C11173" i="23"/>
  <c r="A11173" i="23"/>
  <c r="C11172" i="23"/>
  <c r="A11172" i="23"/>
  <c r="C11171" i="23"/>
  <c r="A11171" i="23"/>
  <c r="C11170" i="23"/>
  <c r="A11170" i="23"/>
  <c r="C11169" i="23"/>
  <c r="A11169" i="23"/>
  <c r="C11168" i="23"/>
  <c r="A11168" i="23"/>
  <c r="C11167" i="23"/>
  <c r="A11167" i="23"/>
  <c r="C11166" i="23"/>
  <c r="A11166" i="23"/>
  <c r="C11165" i="23"/>
  <c r="A11165" i="23"/>
  <c r="C11164" i="23"/>
  <c r="A11164" i="23"/>
  <c r="C11163" i="23"/>
  <c r="A11163" i="23"/>
  <c r="C11162" i="23"/>
  <c r="A11162" i="23"/>
  <c r="C11161" i="23"/>
  <c r="A11161" i="23"/>
  <c r="C11160" i="23"/>
  <c r="A11160" i="23"/>
  <c r="C11159" i="23"/>
  <c r="A11159" i="23"/>
  <c r="C11158" i="23"/>
  <c r="A11158" i="23"/>
  <c r="C11157" i="23"/>
  <c r="A11157" i="23"/>
  <c r="C11156" i="23"/>
  <c r="A11156" i="23"/>
  <c r="C11155" i="23"/>
  <c r="A11155" i="23"/>
  <c r="C11154" i="23"/>
  <c r="A11154" i="23"/>
  <c r="C11126" i="23"/>
  <c r="A11126" i="23"/>
  <c r="C11125" i="23"/>
  <c r="A11125" i="23"/>
  <c r="C11124" i="23"/>
  <c r="A11124" i="23"/>
  <c r="C11123" i="23"/>
  <c r="A11123" i="23"/>
  <c r="C11122" i="23"/>
  <c r="A11122" i="23"/>
  <c r="C11121" i="23"/>
  <c r="A11121" i="23"/>
  <c r="C11120" i="23"/>
  <c r="A11120" i="23"/>
  <c r="C11119" i="23"/>
  <c r="A11119" i="23"/>
  <c r="C11118" i="23"/>
  <c r="A11118" i="23"/>
  <c r="C11117" i="23"/>
  <c r="A11117" i="23"/>
  <c r="C11116" i="23"/>
  <c r="A11116" i="23"/>
  <c r="C11115" i="23"/>
  <c r="A11115" i="23"/>
  <c r="C11114" i="23"/>
  <c r="A11114" i="23"/>
  <c r="C11113" i="23"/>
  <c r="A11113" i="23"/>
  <c r="C11112" i="23"/>
  <c r="A11112" i="23"/>
  <c r="C11111" i="23"/>
  <c r="A11111" i="23"/>
  <c r="C11110" i="23"/>
  <c r="A11110" i="23"/>
  <c r="C11109" i="23"/>
  <c r="A11109" i="23"/>
  <c r="C11108" i="23"/>
  <c r="A11108" i="23"/>
  <c r="C11107" i="23"/>
  <c r="A11107" i="23"/>
  <c r="C11106" i="23"/>
  <c r="A11106" i="23"/>
  <c r="C11105" i="23"/>
  <c r="A11105" i="23"/>
  <c r="C11104" i="23"/>
  <c r="A11104" i="23"/>
  <c r="C11103" i="23"/>
  <c r="A11103" i="23"/>
  <c r="C11102" i="23"/>
  <c r="A11102" i="23"/>
  <c r="C11101" i="23"/>
  <c r="A11101" i="23"/>
  <c r="C11100" i="23"/>
  <c r="A11100" i="23"/>
  <c r="C11072" i="23"/>
  <c r="A11072" i="23"/>
  <c r="C11071" i="23"/>
  <c r="A11071" i="23"/>
  <c r="C11070" i="23"/>
  <c r="A11070" i="23"/>
  <c r="C11069" i="23"/>
  <c r="A11069" i="23"/>
  <c r="C11068" i="23"/>
  <c r="A11068" i="23"/>
  <c r="C11067" i="23"/>
  <c r="A11067" i="23"/>
  <c r="C11066" i="23"/>
  <c r="A11066" i="23"/>
  <c r="C11065" i="23"/>
  <c r="A11065" i="23"/>
  <c r="C11064" i="23"/>
  <c r="A11064" i="23"/>
  <c r="C11063" i="23"/>
  <c r="A11063" i="23"/>
  <c r="C11062" i="23"/>
  <c r="A11062" i="23"/>
  <c r="C11061" i="23"/>
  <c r="A11061" i="23"/>
  <c r="C11060" i="23"/>
  <c r="A11060" i="23"/>
  <c r="C11059" i="23"/>
  <c r="A11059" i="23"/>
  <c r="C11058" i="23"/>
  <c r="A11058" i="23"/>
  <c r="C11057" i="23"/>
  <c r="A11057" i="23"/>
  <c r="C11056" i="23"/>
  <c r="A11056" i="23"/>
  <c r="C11055" i="23"/>
  <c r="A11055" i="23"/>
  <c r="C11054" i="23"/>
  <c r="A11054" i="23"/>
  <c r="C11053" i="23"/>
  <c r="A11053" i="23"/>
  <c r="C11052" i="23"/>
  <c r="A11052" i="23"/>
  <c r="C11051" i="23"/>
  <c r="A11051" i="23"/>
  <c r="C11050" i="23"/>
  <c r="A11050" i="23"/>
  <c r="C11049" i="23"/>
  <c r="A11049" i="23"/>
  <c r="C11048" i="23"/>
  <c r="A11048" i="23"/>
  <c r="C11047" i="23"/>
  <c r="A11047" i="23"/>
  <c r="C11046" i="23"/>
  <c r="A11046" i="23"/>
  <c r="C10883" i="23"/>
  <c r="A10883" i="23"/>
  <c r="C10882" i="23"/>
  <c r="A10882" i="23"/>
  <c r="C10881" i="23"/>
  <c r="A10881" i="23"/>
  <c r="C10880" i="23"/>
  <c r="A10880" i="23"/>
  <c r="C10879" i="23"/>
  <c r="A10879" i="23"/>
  <c r="C10878" i="23"/>
  <c r="A10878" i="23"/>
  <c r="C10877" i="23"/>
  <c r="A10877" i="23"/>
  <c r="C10876" i="23"/>
  <c r="A10876" i="23"/>
  <c r="C10875" i="23"/>
  <c r="A10875" i="23"/>
  <c r="C10874" i="23"/>
  <c r="A10874" i="23"/>
  <c r="C10873" i="23"/>
  <c r="A10873" i="23"/>
  <c r="C10872" i="23"/>
  <c r="A10872" i="23"/>
  <c r="C10871" i="23"/>
  <c r="A10871" i="23"/>
  <c r="C10870" i="23"/>
  <c r="A10870" i="23"/>
  <c r="C10869" i="23"/>
  <c r="A10869" i="23"/>
  <c r="C10868" i="23"/>
  <c r="A10868" i="23"/>
  <c r="C10867" i="23"/>
  <c r="A10867" i="23"/>
  <c r="C10866" i="23"/>
  <c r="A10866" i="23"/>
  <c r="C10865" i="23"/>
  <c r="A10865" i="23"/>
  <c r="C10864" i="23"/>
  <c r="A10864" i="23"/>
  <c r="C10863" i="23"/>
  <c r="A10863" i="23"/>
  <c r="C10862" i="23"/>
  <c r="A10862" i="23"/>
  <c r="C10861" i="23"/>
  <c r="A10861" i="23"/>
  <c r="C10860" i="23"/>
  <c r="A10860" i="23"/>
  <c r="C10859" i="23"/>
  <c r="A10859" i="23"/>
  <c r="C10858" i="23"/>
  <c r="A10858" i="23"/>
  <c r="C10857" i="23"/>
  <c r="A10857" i="23"/>
  <c r="C10316" i="23"/>
  <c r="A10316" i="23"/>
  <c r="C10315" i="23"/>
  <c r="A10315" i="23"/>
  <c r="C10314" i="23"/>
  <c r="A10314" i="23"/>
  <c r="C10313" i="23"/>
  <c r="A10313" i="23"/>
  <c r="C10312" i="23"/>
  <c r="A10312" i="23"/>
  <c r="C10311" i="23"/>
  <c r="A10311" i="23"/>
  <c r="C10310" i="23"/>
  <c r="A10310" i="23"/>
  <c r="C10309" i="23"/>
  <c r="A10309" i="23"/>
  <c r="C10308" i="23"/>
  <c r="A10308" i="23"/>
  <c r="C10307" i="23"/>
  <c r="A10307" i="23"/>
  <c r="C10306" i="23"/>
  <c r="A10306" i="23"/>
  <c r="C10305" i="23"/>
  <c r="A10305" i="23"/>
  <c r="C10304" i="23"/>
  <c r="A10304" i="23"/>
  <c r="C10303" i="23"/>
  <c r="A10303" i="23"/>
  <c r="C10302" i="23"/>
  <c r="A10302" i="23"/>
  <c r="C10301" i="23"/>
  <c r="A10301" i="23"/>
  <c r="C10300" i="23"/>
  <c r="A10300" i="23"/>
  <c r="C10299" i="23"/>
  <c r="A10299" i="23"/>
  <c r="C10298" i="23"/>
  <c r="A10298" i="23"/>
  <c r="C10297" i="23"/>
  <c r="A10297" i="23"/>
  <c r="C10296" i="23"/>
  <c r="A10296" i="23"/>
  <c r="C10295" i="23"/>
  <c r="A10295" i="23"/>
  <c r="C10294" i="23"/>
  <c r="A10294" i="23"/>
  <c r="C10293" i="23"/>
  <c r="A10293" i="23"/>
  <c r="C10292" i="23"/>
  <c r="A10292" i="23"/>
  <c r="C10291" i="23"/>
  <c r="A10291" i="23"/>
  <c r="C10290" i="23"/>
  <c r="A10290" i="23"/>
  <c r="C10856" i="23"/>
  <c r="A10856" i="23"/>
  <c r="C10855" i="23"/>
  <c r="A10855" i="23"/>
  <c r="C10854" i="23"/>
  <c r="A10854" i="23"/>
  <c r="C10853" i="23"/>
  <c r="A10853" i="23"/>
  <c r="C10852" i="23"/>
  <c r="A10852" i="23"/>
  <c r="C10851" i="23"/>
  <c r="A10851" i="23"/>
  <c r="C10850" i="23"/>
  <c r="A10850" i="23"/>
  <c r="C10849" i="23"/>
  <c r="A10849" i="23"/>
  <c r="C10848" i="23"/>
  <c r="A10848" i="23"/>
  <c r="C10847" i="23"/>
  <c r="A10847" i="23"/>
  <c r="C10846" i="23"/>
  <c r="A10846" i="23"/>
  <c r="C10845" i="23"/>
  <c r="A10845" i="23"/>
  <c r="C10844" i="23"/>
  <c r="A10844" i="23"/>
  <c r="C10843" i="23"/>
  <c r="A10843" i="23"/>
  <c r="C10842" i="23"/>
  <c r="A10842" i="23"/>
  <c r="C10841" i="23"/>
  <c r="A10841" i="23"/>
  <c r="C10840" i="23"/>
  <c r="A10840" i="23"/>
  <c r="C10839" i="23"/>
  <c r="A10839" i="23"/>
  <c r="C10838" i="23"/>
  <c r="A10838" i="23"/>
  <c r="C10837" i="23"/>
  <c r="A10837" i="23"/>
  <c r="C10836" i="23"/>
  <c r="A10836" i="23"/>
  <c r="C10835" i="23"/>
  <c r="A10835" i="23"/>
  <c r="C10834" i="23"/>
  <c r="A10834" i="23"/>
  <c r="C10833" i="23"/>
  <c r="A10833" i="23"/>
  <c r="C10832" i="23"/>
  <c r="A10832" i="23"/>
  <c r="C10831" i="23"/>
  <c r="A10831" i="23"/>
  <c r="C10830" i="23"/>
  <c r="A10830" i="23"/>
  <c r="C10667" i="23"/>
  <c r="A10667" i="23"/>
  <c r="C10666" i="23"/>
  <c r="A10666" i="23"/>
  <c r="C10665" i="23"/>
  <c r="A10665" i="23"/>
  <c r="C10664" i="23"/>
  <c r="A10664" i="23"/>
  <c r="C10663" i="23"/>
  <c r="A10663" i="23"/>
  <c r="C10662" i="23"/>
  <c r="A10662" i="23"/>
  <c r="C10661" i="23"/>
  <c r="A10661" i="23"/>
  <c r="C10660" i="23"/>
  <c r="A10660" i="23"/>
  <c r="C10659" i="23"/>
  <c r="A10659" i="23"/>
  <c r="C10658" i="23"/>
  <c r="A10658" i="23"/>
  <c r="C10657" i="23"/>
  <c r="A10657" i="23"/>
  <c r="C10656" i="23"/>
  <c r="A10656" i="23"/>
  <c r="C10655" i="23"/>
  <c r="A10655" i="23"/>
  <c r="C10654" i="23"/>
  <c r="A10654" i="23"/>
  <c r="C10653" i="23"/>
  <c r="A10653" i="23"/>
  <c r="C10652" i="23"/>
  <c r="A10652" i="23"/>
  <c r="C10651" i="23"/>
  <c r="A10651" i="23"/>
  <c r="C10650" i="23"/>
  <c r="A10650" i="23"/>
  <c r="C10649" i="23"/>
  <c r="A10649" i="23"/>
  <c r="C10648" i="23"/>
  <c r="A10648" i="23"/>
  <c r="C10647" i="23"/>
  <c r="A10647" i="23"/>
  <c r="C10646" i="23"/>
  <c r="A10646" i="23"/>
  <c r="C10645" i="23"/>
  <c r="A10645" i="23"/>
  <c r="C10644" i="23"/>
  <c r="A10644" i="23"/>
  <c r="C10643" i="23"/>
  <c r="A10643" i="23"/>
  <c r="C10642" i="23"/>
  <c r="A10642" i="23"/>
  <c r="C10641" i="23"/>
  <c r="A10641" i="23"/>
  <c r="C11261" i="23"/>
  <c r="A11261" i="23"/>
  <c r="C11260" i="23"/>
  <c r="A11260" i="23"/>
  <c r="C11259" i="23"/>
  <c r="A11259" i="23"/>
  <c r="C11258" i="23"/>
  <c r="A11258" i="23"/>
  <c r="C11257" i="23"/>
  <c r="A11257" i="23"/>
  <c r="C11256" i="23"/>
  <c r="A11256" i="23"/>
  <c r="C11255" i="23"/>
  <c r="A11255" i="23"/>
  <c r="C11254" i="23"/>
  <c r="A11254" i="23"/>
  <c r="C11253" i="23"/>
  <c r="A11253" i="23"/>
  <c r="C11252" i="23"/>
  <c r="A11252" i="23"/>
  <c r="C11251" i="23"/>
  <c r="A11251" i="23"/>
  <c r="C11250" i="23"/>
  <c r="A11250" i="23"/>
  <c r="C11249" i="23"/>
  <c r="A11249" i="23"/>
  <c r="C11248" i="23"/>
  <c r="A11248" i="23"/>
  <c r="C11247" i="23"/>
  <c r="A11247" i="23"/>
  <c r="C11246" i="23"/>
  <c r="A11246" i="23"/>
  <c r="C11245" i="23"/>
  <c r="A11245" i="23"/>
  <c r="C11244" i="23"/>
  <c r="A11244" i="23"/>
  <c r="C11243" i="23"/>
  <c r="A11243" i="23"/>
  <c r="C11242" i="23"/>
  <c r="A11242" i="23"/>
  <c r="C11241" i="23"/>
  <c r="A11241" i="23"/>
  <c r="C11240" i="23"/>
  <c r="A11240" i="23"/>
  <c r="C11239" i="23"/>
  <c r="A11239" i="23"/>
  <c r="C11238" i="23"/>
  <c r="A11238" i="23"/>
  <c r="C11237" i="23"/>
  <c r="A11237" i="23"/>
  <c r="C11236" i="23"/>
  <c r="A11236" i="23"/>
  <c r="C11235" i="23"/>
  <c r="A11235" i="23"/>
  <c r="C10991" i="23"/>
  <c r="A10991" i="23"/>
  <c r="C10990" i="23"/>
  <c r="A10990" i="23"/>
  <c r="C10989" i="23"/>
  <c r="A10989" i="23"/>
  <c r="C10988" i="23"/>
  <c r="A10988" i="23"/>
  <c r="C10987" i="23"/>
  <c r="A10987" i="23"/>
  <c r="C10986" i="23"/>
  <c r="A10986" i="23"/>
  <c r="C10985" i="23"/>
  <c r="A10985" i="23"/>
  <c r="C10984" i="23"/>
  <c r="A10984" i="23"/>
  <c r="C10983" i="23"/>
  <c r="A10983" i="23"/>
  <c r="C10982" i="23"/>
  <c r="A10982" i="23"/>
  <c r="C10981" i="23"/>
  <c r="A10981" i="23"/>
  <c r="C10980" i="23"/>
  <c r="A10980" i="23"/>
  <c r="C10979" i="23"/>
  <c r="A10979" i="23"/>
  <c r="C10978" i="23"/>
  <c r="A10978" i="23"/>
  <c r="C10977" i="23"/>
  <c r="A10977" i="23"/>
  <c r="C10976" i="23"/>
  <c r="A10976" i="23"/>
  <c r="C10975" i="23"/>
  <c r="A10975" i="23"/>
  <c r="C10974" i="23"/>
  <c r="A10974" i="23"/>
  <c r="C10973" i="23"/>
  <c r="A10973" i="23"/>
  <c r="C10972" i="23"/>
  <c r="A10972" i="23"/>
  <c r="C10971" i="23"/>
  <c r="A10971" i="23"/>
  <c r="C10970" i="23"/>
  <c r="A10970" i="23"/>
  <c r="C10969" i="23"/>
  <c r="A10969" i="23"/>
  <c r="C10968" i="23"/>
  <c r="A10968" i="23"/>
  <c r="C10967" i="23"/>
  <c r="A10967" i="23"/>
  <c r="C10966" i="23"/>
  <c r="A10966" i="23"/>
  <c r="C10965" i="23"/>
  <c r="A10965" i="23"/>
  <c r="C11288" i="23"/>
  <c r="A11288" i="23"/>
  <c r="C11287" i="23"/>
  <c r="A11287" i="23"/>
  <c r="C11286" i="23"/>
  <c r="A11286" i="23"/>
  <c r="C11285" i="23"/>
  <c r="A11285" i="23"/>
  <c r="C11284" i="23"/>
  <c r="A11284" i="23"/>
  <c r="C11283" i="23"/>
  <c r="A11283" i="23"/>
  <c r="C11282" i="23"/>
  <c r="A11282" i="23"/>
  <c r="C11281" i="23"/>
  <c r="A11281" i="23"/>
  <c r="C11280" i="23"/>
  <c r="A11280" i="23"/>
  <c r="C11279" i="23"/>
  <c r="A11279" i="23"/>
  <c r="C11278" i="23"/>
  <c r="A11278" i="23"/>
  <c r="C11277" i="23"/>
  <c r="A11277" i="23"/>
  <c r="C11276" i="23"/>
  <c r="A11276" i="23"/>
  <c r="C11275" i="23"/>
  <c r="A11275" i="23"/>
  <c r="C11274" i="23"/>
  <c r="A11274" i="23"/>
  <c r="C11273" i="23"/>
  <c r="A11273" i="23"/>
  <c r="C11272" i="23"/>
  <c r="A11272" i="23"/>
  <c r="C11271" i="23"/>
  <c r="A11271" i="23"/>
  <c r="C11270" i="23"/>
  <c r="A11270" i="23"/>
  <c r="C11269" i="23"/>
  <c r="A11269" i="23"/>
  <c r="C11268" i="23"/>
  <c r="A11268" i="23"/>
  <c r="C11267" i="23"/>
  <c r="A11267" i="23"/>
  <c r="C11266" i="23"/>
  <c r="A11266" i="23"/>
  <c r="C11265" i="23"/>
  <c r="A11265" i="23"/>
  <c r="C11264" i="23"/>
  <c r="A11264" i="23"/>
  <c r="C11263" i="23"/>
  <c r="A11263" i="23"/>
  <c r="C11262" i="23"/>
  <c r="A11262" i="23"/>
  <c r="C10937" i="23"/>
  <c r="A10937" i="23"/>
  <c r="C10936" i="23"/>
  <c r="A10936" i="23"/>
  <c r="C10935" i="23"/>
  <c r="A10935" i="23"/>
  <c r="C10934" i="23"/>
  <c r="A10934" i="23"/>
  <c r="C10933" i="23"/>
  <c r="A10933" i="23"/>
  <c r="C10932" i="23"/>
  <c r="A10932" i="23"/>
  <c r="C10931" i="23"/>
  <c r="A10931" i="23"/>
  <c r="C10930" i="23"/>
  <c r="A10930" i="23"/>
  <c r="C10929" i="23"/>
  <c r="A10929" i="23"/>
  <c r="C10928" i="23"/>
  <c r="A10928" i="23"/>
  <c r="C10927" i="23"/>
  <c r="A10927" i="23"/>
  <c r="C10926" i="23"/>
  <c r="A10926" i="23"/>
  <c r="C10925" i="23"/>
  <c r="A10925" i="23"/>
  <c r="C10924" i="23"/>
  <c r="A10924" i="23"/>
  <c r="C10923" i="23"/>
  <c r="A10923" i="23"/>
  <c r="C10922" i="23"/>
  <c r="A10922" i="23"/>
  <c r="C10921" i="23"/>
  <c r="A10921" i="23"/>
  <c r="C10920" i="23"/>
  <c r="A10920" i="23"/>
  <c r="C10919" i="23"/>
  <c r="A10919" i="23"/>
  <c r="C10918" i="23"/>
  <c r="A10918" i="23"/>
  <c r="C10917" i="23"/>
  <c r="A10917" i="23"/>
  <c r="C10916" i="23"/>
  <c r="A10916" i="23"/>
  <c r="C10915" i="23"/>
  <c r="A10915" i="23"/>
  <c r="C10914" i="23"/>
  <c r="A10914" i="23"/>
  <c r="C10913" i="23"/>
  <c r="A10913" i="23"/>
  <c r="C10912" i="23"/>
  <c r="A10912" i="23"/>
  <c r="C10911" i="23"/>
  <c r="A10911" i="23"/>
  <c r="C10964" i="23"/>
  <c r="A10964" i="23"/>
  <c r="C10963" i="23"/>
  <c r="A10963" i="23"/>
  <c r="C10962" i="23"/>
  <c r="A10962" i="23"/>
  <c r="C10961" i="23"/>
  <c r="A10961" i="23"/>
  <c r="C10960" i="23"/>
  <c r="A10960" i="23"/>
  <c r="C10959" i="23"/>
  <c r="A10959" i="23"/>
  <c r="C10958" i="23"/>
  <c r="A10958" i="23"/>
  <c r="C10957" i="23"/>
  <c r="A10957" i="23"/>
  <c r="C10956" i="23"/>
  <c r="A10956" i="23"/>
  <c r="C10955" i="23"/>
  <c r="A10955" i="23"/>
  <c r="C10954" i="23"/>
  <c r="A10954" i="23"/>
  <c r="C10953" i="23"/>
  <c r="A10953" i="23"/>
  <c r="C10952" i="23"/>
  <c r="A10952" i="23"/>
  <c r="C10951" i="23"/>
  <c r="A10951" i="23"/>
  <c r="C10950" i="23"/>
  <c r="A10950" i="23"/>
  <c r="C10949" i="23"/>
  <c r="A10949" i="23"/>
  <c r="C10948" i="23"/>
  <c r="A10948" i="23"/>
  <c r="C10947" i="23"/>
  <c r="A10947" i="23"/>
  <c r="C10946" i="23"/>
  <c r="A10946" i="23"/>
  <c r="C10945" i="23"/>
  <c r="A10945" i="23"/>
  <c r="C10944" i="23"/>
  <c r="A10944" i="23"/>
  <c r="C10943" i="23"/>
  <c r="A10943" i="23"/>
  <c r="C10942" i="23"/>
  <c r="A10942" i="23"/>
  <c r="C10941" i="23"/>
  <c r="A10941" i="23"/>
  <c r="C10940" i="23"/>
  <c r="A10940" i="23"/>
  <c r="C10939" i="23"/>
  <c r="A10939" i="23"/>
  <c r="C10938" i="23"/>
  <c r="A10938" i="23"/>
  <c r="C10694" i="23"/>
  <c r="A10694" i="23"/>
  <c r="C10693" i="23"/>
  <c r="A10693" i="23"/>
  <c r="C10692" i="23"/>
  <c r="A10692" i="23"/>
  <c r="C10691" i="23"/>
  <c r="A10691" i="23"/>
  <c r="C10690" i="23"/>
  <c r="A10690" i="23"/>
  <c r="C10689" i="23"/>
  <c r="A10689" i="23"/>
  <c r="C10688" i="23"/>
  <c r="A10688" i="23"/>
  <c r="C10687" i="23"/>
  <c r="A10687" i="23"/>
  <c r="C10686" i="23"/>
  <c r="A10686" i="23"/>
  <c r="C10685" i="23"/>
  <c r="A10685" i="23"/>
  <c r="C10684" i="23"/>
  <c r="A10684" i="23"/>
  <c r="C10683" i="23"/>
  <c r="A10683" i="23"/>
  <c r="C10682" i="23"/>
  <c r="A10682" i="23"/>
  <c r="C10681" i="23"/>
  <c r="A10681" i="23"/>
  <c r="C10680" i="23"/>
  <c r="A10680" i="23"/>
  <c r="C10679" i="23"/>
  <c r="A10679" i="23"/>
  <c r="C10678" i="23"/>
  <c r="A10678" i="23"/>
  <c r="C10677" i="23"/>
  <c r="A10677" i="23"/>
  <c r="C10676" i="23"/>
  <c r="A10676" i="23"/>
  <c r="C10675" i="23"/>
  <c r="A10675" i="23"/>
  <c r="C10674" i="23"/>
  <c r="A10674" i="23"/>
  <c r="C10673" i="23"/>
  <c r="A10673" i="23"/>
  <c r="C10672" i="23"/>
  <c r="A10672" i="23"/>
  <c r="C10671" i="23"/>
  <c r="A10671" i="23"/>
  <c r="C10670" i="23"/>
  <c r="A10670" i="23"/>
  <c r="C10669" i="23"/>
  <c r="A10669" i="23"/>
  <c r="C10668" i="23"/>
  <c r="A10668" i="23"/>
  <c r="C10289" i="23"/>
  <c r="A10289" i="23"/>
  <c r="C10288" i="23"/>
  <c r="A10288" i="23"/>
  <c r="C10287" i="23"/>
  <c r="A10287" i="23"/>
  <c r="C10286" i="23"/>
  <c r="A10286" i="23"/>
  <c r="C10285" i="23"/>
  <c r="A10285" i="23"/>
  <c r="C10284" i="23"/>
  <c r="A10284" i="23"/>
  <c r="C10283" i="23"/>
  <c r="A10283" i="23"/>
  <c r="C10282" i="23"/>
  <c r="A10282" i="23"/>
  <c r="C10281" i="23"/>
  <c r="A10281" i="23"/>
  <c r="C10280" i="23"/>
  <c r="A10280" i="23"/>
  <c r="C10279" i="23"/>
  <c r="A10279" i="23"/>
  <c r="C10278" i="23"/>
  <c r="A10278" i="23"/>
  <c r="C10277" i="23"/>
  <c r="A10277" i="23"/>
  <c r="C10276" i="23"/>
  <c r="A10276" i="23"/>
  <c r="C10275" i="23"/>
  <c r="A10275" i="23"/>
  <c r="C10274" i="23"/>
  <c r="A10274" i="23"/>
  <c r="C10273" i="23"/>
  <c r="A10273" i="23"/>
  <c r="C10272" i="23"/>
  <c r="A10272" i="23"/>
  <c r="C10271" i="23"/>
  <c r="A10271" i="23"/>
  <c r="C10270" i="23"/>
  <c r="A10270" i="23"/>
  <c r="C10269" i="23"/>
  <c r="A10269" i="23"/>
  <c r="C10268" i="23"/>
  <c r="A10268" i="23"/>
  <c r="C10267" i="23"/>
  <c r="A10267" i="23"/>
  <c r="C10266" i="23"/>
  <c r="A10266" i="23"/>
  <c r="C10265" i="23"/>
  <c r="A10265" i="23"/>
  <c r="C10264" i="23"/>
  <c r="A10264" i="23"/>
  <c r="C10263" i="23"/>
  <c r="A10263" i="23"/>
  <c r="C10802" i="23"/>
  <c r="A10802" i="23"/>
  <c r="C10801" i="23"/>
  <c r="A10801" i="23"/>
  <c r="C10800" i="23"/>
  <c r="A10800" i="23"/>
  <c r="C10799" i="23"/>
  <c r="A10799" i="23"/>
  <c r="C10798" i="23"/>
  <c r="A10798" i="23"/>
  <c r="C10797" i="23"/>
  <c r="A10797" i="23"/>
  <c r="C10796" i="23"/>
  <c r="A10796" i="23"/>
  <c r="C10795" i="23"/>
  <c r="A10795" i="23"/>
  <c r="C10794" i="23"/>
  <c r="A10794" i="23"/>
  <c r="C10793" i="23"/>
  <c r="A10793" i="23"/>
  <c r="C10792" i="23"/>
  <c r="A10792" i="23"/>
  <c r="C10791" i="23"/>
  <c r="A10791" i="23"/>
  <c r="C10790" i="23"/>
  <c r="A10790" i="23"/>
  <c r="C10789" i="23"/>
  <c r="A10789" i="23"/>
  <c r="C10788" i="23"/>
  <c r="A10788" i="23"/>
  <c r="C10787" i="23"/>
  <c r="A10787" i="23"/>
  <c r="C10786" i="23"/>
  <c r="A10786" i="23"/>
  <c r="C10785" i="23"/>
  <c r="A10785" i="23"/>
  <c r="C10784" i="23"/>
  <c r="A10784" i="23"/>
  <c r="C10783" i="23"/>
  <c r="A10783" i="23"/>
  <c r="C10782" i="23"/>
  <c r="A10782" i="23"/>
  <c r="C10781" i="23"/>
  <c r="A10781" i="23"/>
  <c r="C10780" i="23"/>
  <c r="A10780" i="23"/>
  <c r="C10779" i="23"/>
  <c r="A10779" i="23"/>
  <c r="C10778" i="23"/>
  <c r="A10778" i="23"/>
  <c r="C10777" i="23"/>
  <c r="A10777" i="23"/>
  <c r="C10776" i="23"/>
  <c r="A10776" i="23"/>
  <c r="C11153" i="23"/>
  <c r="A11153" i="23"/>
  <c r="C11152" i="23"/>
  <c r="A11152" i="23"/>
  <c r="C11151" i="23"/>
  <c r="A11151" i="23"/>
  <c r="C11150" i="23"/>
  <c r="A11150" i="23"/>
  <c r="C11149" i="23"/>
  <c r="A11149" i="23"/>
  <c r="C11148" i="23"/>
  <c r="A11148" i="23"/>
  <c r="C11147" i="23"/>
  <c r="A11147" i="23"/>
  <c r="C11146" i="23"/>
  <c r="A11146" i="23"/>
  <c r="C11145" i="23"/>
  <c r="A11145" i="23"/>
  <c r="C11144" i="23"/>
  <c r="A11144" i="23"/>
  <c r="C11143" i="23"/>
  <c r="A11143" i="23"/>
  <c r="C11142" i="23"/>
  <c r="A11142" i="23"/>
  <c r="C11141" i="23"/>
  <c r="A11141" i="23"/>
  <c r="C11140" i="23"/>
  <c r="A11140" i="23"/>
  <c r="C11139" i="23"/>
  <c r="A11139" i="23"/>
  <c r="C11138" i="23"/>
  <c r="A11138" i="23"/>
  <c r="C11137" i="23"/>
  <c r="A11137" i="23"/>
  <c r="C11136" i="23"/>
  <c r="A11136" i="23"/>
  <c r="C11135" i="23"/>
  <c r="A11135" i="23"/>
  <c r="C11134" i="23"/>
  <c r="A11134" i="23"/>
  <c r="C11133" i="23"/>
  <c r="A11133" i="23"/>
  <c r="C11132" i="23"/>
  <c r="A11132" i="23"/>
  <c r="C11131" i="23"/>
  <c r="A11131" i="23"/>
  <c r="C11130" i="23"/>
  <c r="A11130" i="23"/>
  <c r="C11129" i="23"/>
  <c r="A11129" i="23"/>
  <c r="C11128" i="23"/>
  <c r="A11128" i="23"/>
  <c r="C11127" i="23"/>
  <c r="A11127" i="23"/>
  <c r="C11207" i="23"/>
  <c r="A11207" i="23"/>
  <c r="C11206" i="23"/>
  <c r="A11206" i="23"/>
  <c r="C11205" i="23"/>
  <c r="A11205" i="23"/>
  <c r="C11204" i="23"/>
  <c r="A11204" i="23"/>
  <c r="C11203" i="23"/>
  <c r="A11203" i="23"/>
  <c r="C11202" i="23"/>
  <c r="A11202" i="23"/>
  <c r="C11201" i="23"/>
  <c r="A11201" i="23"/>
  <c r="C11200" i="23"/>
  <c r="A11200" i="23"/>
  <c r="C11199" i="23"/>
  <c r="A11199" i="23"/>
  <c r="C11198" i="23"/>
  <c r="A11198" i="23"/>
  <c r="C11197" i="23"/>
  <c r="A11197" i="23"/>
  <c r="C11196" i="23"/>
  <c r="A11196" i="23"/>
  <c r="C11195" i="23"/>
  <c r="A11195" i="23"/>
  <c r="C11194" i="23"/>
  <c r="A11194" i="23"/>
  <c r="C11193" i="23"/>
  <c r="A11193" i="23"/>
  <c r="C11192" i="23"/>
  <c r="A11192" i="23"/>
  <c r="C11191" i="23"/>
  <c r="A11191" i="23"/>
  <c r="C11190" i="23"/>
  <c r="A11190" i="23"/>
  <c r="C11189" i="23"/>
  <c r="A11189" i="23"/>
  <c r="C11188" i="23"/>
  <c r="A11188" i="23"/>
  <c r="C11187" i="23"/>
  <c r="A11187" i="23"/>
  <c r="C11186" i="23"/>
  <c r="A11186" i="23"/>
  <c r="C11185" i="23"/>
  <c r="A11185" i="23"/>
  <c r="C11184" i="23"/>
  <c r="A11184" i="23"/>
  <c r="C11183" i="23"/>
  <c r="A11183" i="23"/>
  <c r="C11182" i="23"/>
  <c r="A11182" i="23"/>
  <c r="C11181" i="23"/>
  <c r="A11181" i="23"/>
  <c r="C10343" i="23"/>
  <c r="A10343" i="23"/>
  <c r="C10342" i="23"/>
  <c r="A10342" i="23"/>
  <c r="C10341" i="23"/>
  <c r="A10341" i="23"/>
  <c r="C10340" i="23"/>
  <c r="A10340" i="23"/>
  <c r="C10339" i="23"/>
  <c r="A10339" i="23"/>
  <c r="C10338" i="23"/>
  <c r="A10338" i="23"/>
  <c r="C10337" i="23"/>
  <c r="A10337" i="23"/>
  <c r="C10336" i="23"/>
  <c r="A10336" i="23"/>
  <c r="C10335" i="23"/>
  <c r="A10335" i="23"/>
  <c r="C10334" i="23"/>
  <c r="A10334" i="23"/>
  <c r="C10333" i="23"/>
  <c r="A10333" i="23"/>
  <c r="C10332" i="23"/>
  <c r="A10332" i="23"/>
  <c r="C10331" i="23"/>
  <c r="A10331" i="23"/>
  <c r="C10330" i="23"/>
  <c r="A10330" i="23"/>
  <c r="C10329" i="23"/>
  <c r="A10329" i="23"/>
  <c r="C10328" i="23"/>
  <c r="A10328" i="23"/>
  <c r="C10327" i="23"/>
  <c r="A10327" i="23"/>
  <c r="C10326" i="23"/>
  <c r="A10326" i="23"/>
  <c r="C10325" i="23"/>
  <c r="A10325" i="23"/>
  <c r="C10324" i="23"/>
  <c r="A10324" i="23"/>
  <c r="C10323" i="23"/>
  <c r="A10323" i="23"/>
  <c r="C10322" i="23"/>
  <c r="A10322" i="23"/>
  <c r="C10321" i="23"/>
  <c r="A10321" i="23"/>
  <c r="C10320" i="23"/>
  <c r="A10320" i="23"/>
  <c r="C10319" i="23"/>
  <c r="A10319" i="23"/>
  <c r="C10318" i="23"/>
  <c r="A10318" i="23"/>
  <c r="C10317" i="23"/>
  <c r="A10317" i="23"/>
  <c r="C11045" i="23"/>
  <c r="A11045" i="23"/>
  <c r="C11044" i="23"/>
  <c r="A11044" i="23"/>
  <c r="C11043" i="23"/>
  <c r="A11043" i="23"/>
  <c r="C11042" i="23"/>
  <c r="A11042" i="23"/>
  <c r="C11041" i="23"/>
  <c r="A11041" i="23"/>
  <c r="C11040" i="23"/>
  <c r="A11040" i="23"/>
  <c r="C11039" i="23"/>
  <c r="A11039" i="23"/>
  <c r="C11038" i="23"/>
  <c r="A11038" i="23"/>
  <c r="C11037" i="23"/>
  <c r="A11037" i="23"/>
  <c r="C11036" i="23"/>
  <c r="A11036" i="23"/>
  <c r="C11035" i="23"/>
  <c r="A11035" i="23"/>
  <c r="C11034" i="23"/>
  <c r="A11034" i="23"/>
  <c r="C11033" i="23"/>
  <c r="A11033" i="23"/>
  <c r="C11032" i="23"/>
  <c r="A11032" i="23"/>
  <c r="C11031" i="23"/>
  <c r="A11031" i="23"/>
  <c r="C11030" i="23"/>
  <c r="A11030" i="23"/>
  <c r="C11029" i="23"/>
  <c r="A11029" i="23"/>
  <c r="C11028" i="23"/>
  <c r="A11028" i="23"/>
  <c r="C11027" i="23"/>
  <c r="A11027" i="23"/>
  <c r="C11026" i="23"/>
  <c r="A11026" i="23"/>
  <c r="C11025" i="23"/>
  <c r="A11025" i="23"/>
  <c r="C11024" i="23"/>
  <c r="A11024" i="23"/>
  <c r="C11023" i="23"/>
  <c r="A11023" i="23"/>
  <c r="C11022" i="23"/>
  <c r="A11022" i="23"/>
  <c r="C11021" i="23"/>
  <c r="A11021" i="23"/>
  <c r="C11020" i="23"/>
  <c r="A11020" i="23"/>
  <c r="C11019" i="23"/>
  <c r="A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A9398" i="23"/>
  <c r="C9397" i="23"/>
  <c r="A9397" i="23"/>
  <c r="C9396" i="23"/>
  <c r="A9396" i="23"/>
  <c r="C9395" i="23"/>
  <c r="A9395" i="23"/>
  <c r="C9394" i="23"/>
  <c r="A9394" i="23"/>
  <c r="C9393" i="23"/>
  <c r="A9393" i="23"/>
  <c r="C9392" i="23"/>
  <c r="A9392" i="23"/>
  <c r="C9391" i="23"/>
  <c r="A9391" i="23"/>
  <c r="C9390" i="23"/>
  <c r="A9390" i="23"/>
  <c r="C9389" i="23"/>
  <c r="A9389" i="23"/>
  <c r="C9388" i="23"/>
  <c r="A9388" i="23"/>
  <c r="C9387" i="23"/>
  <c r="A9387" i="23"/>
  <c r="C9386" i="23"/>
  <c r="A9386" i="23"/>
  <c r="C9385" i="23"/>
  <c r="A9385" i="23"/>
  <c r="C9384" i="23"/>
  <c r="A9384" i="23"/>
  <c r="C9383" i="23"/>
  <c r="A9383" i="23"/>
  <c r="C9382" i="23"/>
  <c r="A9382" i="23"/>
  <c r="C9381" i="23"/>
  <c r="A9381" i="23"/>
  <c r="C9380" i="23"/>
  <c r="A9380" i="23"/>
  <c r="C9379" i="23"/>
  <c r="A9379" i="23"/>
  <c r="C9378" i="23"/>
  <c r="A9378" i="23"/>
  <c r="C9377" i="23"/>
  <c r="A9377" i="23"/>
  <c r="C9376" i="23"/>
  <c r="A9376" i="23"/>
  <c r="C9375" i="23"/>
  <c r="A9375" i="23"/>
  <c r="C9374" i="23"/>
  <c r="A9374" i="23"/>
  <c r="C9373" i="23"/>
  <c r="A9373" i="23"/>
  <c r="C9372" i="23"/>
  <c r="A9372" i="23"/>
  <c r="C9425" i="23"/>
  <c r="A9425" i="23"/>
  <c r="C9424" i="23"/>
  <c r="A9424" i="23"/>
  <c r="C9423" i="23"/>
  <c r="A9423" i="23"/>
  <c r="C9422" i="23"/>
  <c r="A9422" i="23"/>
  <c r="C9421" i="23"/>
  <c r="A9421" i="23"/>
  <c r="C9420" i="23"/>
  <c r="A9420" i="23"/>
  <c r="C9419" i="23"/>
  <c r="A9419" i="23"/>
  <c r="C9418" i="23"/>
  <c r="A9418" i="23"/>
  <c r="C9417" i="23"/>
  <c r="A9417" i="23"/>
  <c r="C9416" i="23"/>
  <c r="A9416" i="23"/>
  <c r="C9415" i="23"/>
  <c r="A9415" i="23"/>
  <c r="C9414" i="23"/>
  <c r="A9414" i="23"/>
  <c r="C9413" i="23"/>
  <c r="A9413" i="23"/>
  <c r="C9412" i="23"/>
  <c r="A9412" i="23"/>
  <c r="C9411" i="23"/>
  <c r="A9411" i="23"/>
  <c r="C9410" i="23"/>
  <c r="A9410" i="23"/>
  <c r="C9409" i="23"/>
  <c r="A9409" i="23"/>
  <c r="C9408" i="23"/>
  <c r="A9408" i="23"/>
  <c r="C9407" i="23"/>
  <c r="A9407" i="23"/>
  <c r="C9406" i="23"/>
  <c r="A9406" i="23"/>
  <c r="C9405" i="23"/>
  <c r="A9405" i="23"/>
  <c r="C9404" i="23"/>
  <c r="A9404" i="23"/>
  <c r="C9403" i="23"/>
  <c r="A9403" i="23"/>
  <c r="C9402" i="23"/>
  <c r="A9402" i="23"/>
  <c r="C9401" i="23"/>
  <c r="A9401" i="23"/>
  <c r="C9400" i="23"/>
  <c r="A9400" i="23"/>
  <c r="C9399" i="23"/>
  <c r="A9399" i="23"/>
  <c r="C9452" i="23"/>
  <c r="A9452" i="23"/>
  <c r="C9451" i="23"/>
  <c r="A9451" i="23"/>
  <c r="C9450" i="23"/>
  <c r="A9450" i="23"/>
  <c r="C9449" i="23"/>
  <c r="A9449" i="23"/>
  <c r="C9448" i="23"/>
  <c r="A9448" i="23"/>
  <c r="C9447" i="23"/>
  <c r="A9447" i="23"/>
  <c r="C9446" i="23"/>
  <c r="A9446" i="23"/>
  <c r="C9445" i="23"/>
  <c r="A9445" i="23"/>
  <c r="C9444" i="23"/>
  <c r="A9444" i="23"/>
  <c r="C9443" i="23"/>
  <c r="A9443" i="23"/>
  <c r="C9442" i="23"/>
  <c r="A9442" i="23"/>
  <c r="C9441" i="23"/>
  <c r="A9441" i="23"/>
  <c r="C9440" i="23"/>
  <c r="A9440" i="23"/>
  <c r="C9439" i="23"/>
  <c r="A9439" i="23"/>
  <c r="C9438" i="23"/>
  <c r="A9438" i="23"/>
  <c r="C9437" i="23"/>
  <c r="A9437" i="23"/>
  <c r="C9436" i="23"/>
  <c r="A9436" i="23"/>
  <c r="C9435" i="23"/>
  <c r="A9435" i="23"/>
  <c r="C9434" i="23"/>
  <c r="A9434" i="23"/>
  <c r="C9433" i="23"/>
  <c r="A9433" i="23"/>
  <c r="C9432" i="23"/>
  <c r="A9432" i="23"/>
  <c r="C9431" i="23"/>
  <c r="A9431" i="23"/>
  <c r="C9430" i="23"/>
  <c r="A9430" i="23"/>
  <c r="C9429" i="23"/>
  <c r="A9429" i="23"/>
  <c r="C9428" i="23"/>
  <c r="A9428" i="23"/>
  <c r="C9427" i="23"/>
  <c r="A9427" i="23"/>
  <c r="C9426" i="23"/>
  <c r="A9426" i="23"/>
  <c r="C9479" i="23"/>
  <c r="A9479" i="23"/>
  <c r="C9478" i="23"/>
  <c r="A9478" i="23"/>
  <c r="C9477" i="23"/>
  <c r="A9477" i="23"/>
  <c r="C9476" i="23"/>
  <c r="A9476" i="23"/>
  <c r="C9475" i="23"/>
  <c r="A9475" i="23"/>
  <c r="C9474" i="23"/>
  <c r="A9474" i="23"/>
  <c r="C9473" i="23"/>
  <c r="A9473" i="23"/>
  <c r="C9472" i="23"/>
  <c r="A9472" i="23"/>
  <c r="C9471" i="23"/>
  <c r="A9471" i="23"/>
  <c r="C9470" i="23"/>
  <c r="A9470" i="23"/>
  <c r="C9469" i="23"/>
  <c r="A9469" i="23"/>
  <c r="C9468" i="23"/>
  <c r="A9468" i="23"/>
  <c r="C9467" i="23"/>
  <c r="A9467" i="23"/>
  <c r="C9466" i="23"/>
  <c r="A9466" i="23"/>
  <c r="C9465" i="23"/>
  <c r="A9465" i="23"/>
  <c r="C9464" i="23"/>
  <c r="A9464" i="23"/>
  <c r="C9463" i="23"/>
  <c r="A9463" i="23"/>
  <c r="C9462" i="23"/>
  <c r="A9462" i="23"/>
  <c r="C9461" i="23"/>
  <c r="A9461" i="23"/>
  <c r="C9460" i="23"/>
  <c r="A9460" i="23"/>
  <c r="C9459" i="23"/>
  <c r="A9459" i="23"/>
  <c r="C9458" i="23"/>
  <c r="A9458" i="23"/>
  <c r="C9457" i="23"/>
  <c r="A9457" i="23"/>
  <c r="C9456" i="23"/>
  <c r="A9456" i="23"/>
  <c r="C9455" i="23"/>
  <c r="A9455" i="23"/>
  <c r="C9454" i="23"/>
  <c r="A9454" i="23"/>
  <c r="C9453" i="23"/>
  <c r="A9453" i="23"/>
  <c r="C9506" i="23"/>
  <c r="A9506" i="23"/>
  <c r="C9505" i="23"/>
  <c r="A9505" i="23"/>
  <c r="C9504" i="23"/>
  <c r="A9504" i="23"/>
  <c r="C9503" i="23"/>
  <c r="A9503" i="23"/>
  <c r="C9502" i="23"/>
  <c r="A9502" i="23"/>
  <c r="C9501" i="23"/>
  <c r="A9501" i="23"/>
  <c r="C9500" i="23"/>
  <c r="A9500" i="23"/>
  <c r="C9499" i="23"/>
  <c r="A9499" i="23"/>
  <c r="C9498" i="23"/>
  <c r="A9498" i="23"/>
  <c r="C9497" i="23"/>
  <c r="A9497" i="23"/>
  <c r="C9496" i="23"/>
  <c r="A9496" i="23"/>
  <c r="C9495" i="23"/>
  <c r="A9495" i="23"/>
  <c r="C9494" i="23"/>
  <c r="A9494" i="23"/>
  <c r="C9493" i="23"/>
  <c r="A9493" i="23"/>
  <c r="C9492" i="23"/>
  <c r="A9492" i="23"/>
  <c r="C9491" i="23"/>
  <c r="A9491" i="23"/>
  <c r="C9490" i="23"/>
  <c r="A9490" i="23"/>
  <c r="C9489" i="23"/>
  <c r="A9489" i="23"/>
  <c r="C9488" i="23"/>
  <c r="A9488" i="23"/>
  <c r="C9487" i="23"/>
  <c r="A9487" i="23"/>
  <c r="C9486" i="23"/>
  <c r="A9486" i="23"/>
  <c r="C9485" i="23"/>
  <c r="A9485" i="23"/>
  <c r="C9484" i="23"/>
  <c r="A9484" i="23"/>
  <c r="C9483" i="23"/>
  <c r="A9483" i="23"/>
  <c r="C9482" i="23"/>
  <c r="A9482" i="23"/>
  <c r="C9481" i="23"/>
  <c r="A9481" i="23"/>
  <c r="C9480" i="23"/>
  <c r="A9480" i="23"/>
  <c r="C9533" i="23"/>
  <c r="A9533" i="23"/>
  <c r="C9532" i="23"/>
  <c r="A9532" i="23"/>
  <c r="C9531" i="23"/>
  <c r="A9531" i="23"/>
  <c r="C9530" i="23"/>
  <c r="A9530" i="23"/>
  <c r="C9529" i="23"/>
  <c r="A9529" i="23"/>
  <c r="C9528" i="23"/>
  <c r="A9528" i="23"/>
  <c r="C9527" i="23"/>
  <c r="A9527" i="23"/>
  <c r="C9526" i="23"/>
  <c r="A9526" i="23"/>
  <c r="C9525" i="23"/>
  <c r="A9525" i="23"/>
  <c r="C9524" i="23"/>
  <c r="A9524" i="23"/>
  <c r="C9523" i="23"/>
  <c r="A9523" i="23"/>
  <c r="C9522" i="23"/>
  <c r="A9522" i="23"/>
  <c r="C9521" i="23"/>
  <c r="A9521" i="23"/>
  <c r="C9520" i="23"/>
  <c r="A9520" i="23"/>
  <c r="C9519" i="23"/>
  <c r="A9519" i="23"/>
  <c r="C9518" i="23"/>
  <c r="A9518" i="23"/>
  <c r="C9517" i="23"/>
  <c r="A9517" i="23"/>
  <c r="C9516" i="23"/>
  <c r="A9516" i="23"/>
  <c r="C9515" i="23"/>
  <c r="A9515" i="23"/>
  <c r="C9514" i="23"/>
  <c r="A9514" i="23"/>
  <c r="C9513" i="23"/>
  <c r="A9513" i="23"/>
  <c r="C9512" i="23"/>
  <c r="A9512" i="23"/>
  <c r="C9511" i="23"/>
  <c r="A9511" i="23"/>
  <c r="C9510" i="23"/>
  <c r="A9510" i="23"/>
  <c r="C9509" i="23"/>
  <c r="A9509" i="23"/>
  <c r="C9508" i="23"/>
  <c r="A9508" i="23"/>
  <c r="C9507" i="23"/>
  <c r="A9507" i="23"/>
  <c r="C9560" i="23"/>
  <c r="A9560" i="23"/>
  <c r="C9559" i="23"/>
  <c r="A9559" i="23"/>
  <c r="C9558" i="23"/>
  <c r="A9558" i="23"/>
  <c r="C9557" i="23"/>
  <c r="A9557" i="23"/>
  <c r="C9556" i="23"/>
  <c r="A9556" i="23"/>
  <c r="C9555" i="23"/>
  <c r="A9555" i="23"/>
  <c r="C9554" i="23"/>
  <c r="A9554" i="23"/>
  <c r="C9553" i="23"/>
  <c r="A9553" i="23"/>
  <c r="C9552" i="23"/>
  <c r="A9552" i="23"/>
  <c r="C9551" i="23"/>
  <c r="A9551" i="23"/>
  <c r="C9550" i="23"/>
  <c r="A9550" i="23"/>
  <c r="C9549" i="23"/>
  <c r="A9549" i="23"/>
  <c r="C9548" i="23"/>
  <c r="A9548" i="23"/>
  <c r="C9547" i="23"/>
  <c r="A9547" i="23"/>
  <c r="C9546" i="23"/>
  <c r="A9546" i="23"/>
  <c r="C9545" i="23"/>
  <c r="A9545" i="23"/>
  <c r="C9544" i="23"/>
  <c r="A9544" i="23"/>
  <c r="C9543" i="23"/>
  <c r="A9543" i="23"/>
  <c r="C9542" i="23"/>
  <c r="A9542" i="23"/>
  <c r="C9541" i="23"/>
  <c r="A9541" i="23"/>
  <c r="C9540" i="23"/>
  <c r="A9540" i="23"/>
  <c r="C9539" i="23"/>
  <c r="A9539" i="23"/>
  <c r="C9538" i="23"/>
  <c r="A9538" i="23"/>
  <c r="C9537" i="23"/>
  <c r="A9537" i="23"/>
  <c r="C9536" i="23"/>
  <c r="A9536" i="23"/>
  <c r="C9535" i="23"/>
  <c r="A9535" i="23"/>
  <c r="C9534" i="23"/>
  <c r="A9534" i="23"/>
  <c r="C9587" i="23"/>
  <c r="A9587" i="23"/>
  <c r="C9586" i="23"/>
  <c r="A9586" i="23"/>
  <c r="C9585" i="23"/>
  <c r="A9585" i="23"/>
  <c r="C9584" i="23"/>
  <c r="A9584" i="23"/>
  <c r="C9583" i="23"/>
  <c r="A9583" i="23"/>
  <c r="C9582" i="23"/>
  <c r="A9582" i="23"/>
  <c r="C9581" i="23"/>
  <c r="A9581" i="23"/>
  <c r="C9580" i="23"/>
  <c r="A9580" i="23"/>
  <c r="C9579" i="23"/>
  <c r="A9579" i="23"/>
  <c r="C9578" i="23"/>
  <c r="A9578" i="23"/>
  <c r="C9577" i="23"/>
  <c r="A9577" i="23"/>
  <c r="C9576" i="23"/>
  <c r="A9576" i="23"/>
  <c r="C9575" i="23"/>
  <c r="A9575" i="23"/>
  <c r="C9574" i="23"/>
  <c r="A9574" i="23"/>
  <c r="C9573" i="23"/>
  <c r="A9573" i="23"/>
  <c r="C9572" i="23"/>
  <c r="A9572" i="23"/>
  <c r="C9571" i="23"/>
  <c r="A9571" i="23"/>
  <c r="C9570" i="23"/>
  <c r="A9570" i="23"/>
  <c r="C9569" i="23"/>
  <c r="A9569" i="23"/>
  <c r="C9568" i="23"/>
  <c r="A9568" i="23"/>
  <c r="C9567" i="23"/>
  <c r="A9567" i="23"/>
  <c r="C9566" i="23"/>
  <c r="A9566" i="23"/>
  <c r="C9565" i="23"/>
  <c r="A9565" i="23"/>
  <c r="C9564" i="23"/>
  <c r="A9564" i="23"/>
  <c r="C9563" i="23"/>
  <c r="A9563" i="23"/>
  <c r="C9562" i="23"/>
  <c r="A9562" i="23"/>
  <c r="C9561" i="23"/>
  <c r="A9561" i="23"/>
  <c r="C9614" i="23"/>
  <c r="A9614" i="23"/>
  <c r="C9613" i="23"/>
  <c r="A9613" i="23"/>
  <c r="C9612" i="23"/>
  <c r="A9612" i="23"/>
  <c r="C9611" i="23"/>
  <c r="A9611" i="23"/>
  <c r="C9610" i="23"/>
  <c r="A9610" i="23"/>
  <c r="C9609" i="23"/>
  <c r="A9609" i="23"/>
  <c r="C9608" i="23"/>
  <c r="A9608" i="23"/>
  <c r="C9607" i="23"/>
  <c r="A9607" i="23"/>
  <c r="C9606" i="23"/>
  <c r="A9606" i="23"/>
  <c r="C9605" i="23"/>
  <c r="A9605" i="23"/>
  <c r="C9604" i="23"/>
  <c r="A9604" i="23"/>
  <c r="C9603" i="23"/>
  <c r="A9603" i="23"/>
  <c r="C9602" i="23"/>
  <c r="A9602" i="23"/>
  <c r="C9601" i="23"/>
  <c r="A9601" i="23"/>
  <c r="C9600" i="23"/>
  <c r="A9600" i="23"/>
  <c r="C9599" i="23"/>
  <c r="A9599" i="23"/>
  <c r="C9598" i="23"/>
  <c r="A9598" i="23"/>
  <c r="C9597" i="23"/>
  <c r="A9597" i="23"/>
  <c r="C9596" i="23"/>
  <c r="A9596" i="23"/>
  <c r="C9595" i="23"/>
  <c r="A9595" i="23"/>
  <c r="C9594" i="23"/>
  <c r="A9594" i="23"/>
  <c r="C9593" i="23"/>
  <c r="A9593" i="23"/>
  <c r="C9592" i="23"/>
  <c r="A9592" i="23"/>
  <c r="C9591" i="23"/>
  <c r="A9591" i="23"/>
  <c r="C9590" i="23"/>
  <c r="A9590" i="23"/>
  <c r="C9589" i="23"/>
  <c r="A9589" i="23"/>
  <c r="C9588" i="23"/>
  <c r="A9588" i="23"/>
  <c r="C9371" i="23"/>
  <c r="A9371" i="23"/>
  <c r="C9370" i="23"/>
  <c r="A9370" i="23"/>
  <c r="C9369" i="23"/>
  <c r="A9369" i="23"/>
  <c r="C9368" i="23"/>
  <c r="A9368" i="23"/>
  <c r="C9367" i="23"/>
  <c r="A9367" i="23"/>
  <c r="C9366" i="23"/>
  <c r="A9366" i="23"/>
  <c r="C9365" i="23"/>
  <c r="A9365" i="23"/>
  <c r="C9364" i="23"/>
  <c r="A9364" i="23"/>
  <c r="C9363" i="23"/>
  <c r="A9363" i="23"/>
  <c r="C9362" i="23"/>
  <c r="A9362" i="23"/>
  <c r="C9361" i="23"/>
  <c r="A9361" i="23"/>
  <c r="C9360" i="23"/>
  <c r="A9360" i="23"/>
  <c r="C9359" i="23"/>
  <c r="A9359" i="23"/>
  <c r="C9358" i="23"/>
  <c r="A9358" i="23"/>
  <c r="C9357" i="23"/>
  <c r="A9357" i="23"/>
  <c r="C9356" i="23"/>
  <c r="A9356" i="23"/>
  <c r="C9355" i="23"/>
  <c r="A9355" i="23"/>
  <c r="C9354" i="23"/>
  <c r="A9354" i="23"/>
  <c r="C9353" i="23"/>
  <c r="A9353" i="23"/>
  <c r="C9352" i="23"/>
  <c r="A9352" i="23"/>
  <c r="C9351" i="23"/>
  <c r="A9351" i="23"/>
  <c r="C9350" i="23"/>
  <c r="A9350" i="23"/>
  <c r="C9349" i="23"/>
  <c r="A9349" i="23"/>
  <c r="C9348" i="23"/>
  <c r="A9348" i="23"/>
  <c r="C9347" i="23"/>
  <c r="A9347" i="23"/>
  <c r="C9346" i="23"/>
  <c r="A9346" i="23"/>
  <c r="C9345" i="23"/>
  <c r="A9345" i="23"/>
  <c r="C9722" i="23"/>
  <c r="A9722" i="23"/>
  <c r="C9721" i="23"/>
  <c r="A9721" i="23"/>
  <c r="C9720" i="23"/>
  <c r="A9720" i="23"/>
  <c r="C9719" i="23"/>
  <c r="A9719" i="23"/>
  <c r="C9718" i="23"/>
  <c r="A9718" i="23"/>
  <c r="C9717" i="23"/>
  <c r="A9717" i="23"/>
  <c r="C9716" i="23"/>
  <c r="A9716" i="23"/>
  <c r="C9715" i="23"/>
  <c r="A9715" i="23"/>
  <c r="C9714" i="23"/>
  <c r="A9714" i="23"/>
  <c r="C9713" i="23"/>
  <c r="A9713" i="23"/>
  <c r="C9712" i="23"/>
  <c r="A9712" i="23"/>
  <c r="C9711" i="23"/>
  <c r="A9711" i="23"/>
  <c r="C9710" i="23"/>
  <c r="A9710" i="23"/>
  <c r="C9709" i="23"/>
  <c r="A9709" i="23"/>
  <c r="C9708" i="23"/>
  <c r="A9708" i="23"/>
  <c r="C9707" i="23"/>
  <c r="A9707" i="23"/>
  <c r="C9706" i="23"/>
  <c r="A9706" i="23"/>
  <c r="C9705" i="23"/>
  <c r="A9705" i="23"/>
  <c r="C9704" i="23"/>
  <c r="A9704" i="23"/>
  <c r="C9703" i="23"/>
  <c r="A9703" i="23"/>
  <c r="C9702" i="23"/>
  <c r="A9702" i="23"/>
  <c r="C9701" i="23"/>
  <c r="A9701" i="23"/>
  <c r="C9700" i="23"/>
  <c r="A9700" i="23"/>
  <c r="C9699" i="23"/>
  <c r="A9699" i="23"/>
  <c r="C9698" i="23"/>
  <c r="A9698" i="23"/>
  <c r="C9697" i="23"/>
  <c r="A9697" i="23"/>
  <c r="C9696" i="23"/>
  <c r="A9696" i="23"/>
  <c r="C10073" i="23"/>
  <c r="A10073" i="23"/>
  <c r="C10072" i="23"/>
  <c r="A10072" i="23"/>
  <c r="C10071" i="23"/>
  <c r="A10071" i="23"/>
  <c r="C10070" i="23"/>
  <c r="A10070" i="23"/>
  <c r="C10069" i="23"/>
  <c r="A10069" i="23"/>
  <c r="C10068" i="23"/>
  <c r="A10068" i="23"/>
  <c r="C10067" i="23"/>
  <c r="A10067" i="23"/>
  <c r="C10066" i="23"/>
  <c r="A10066" i="23"/>
  <c r="C10065" i="23"/>
  <c r="A10065" i="23"/>
  <c r="C10064" i="23"/>
  <c r="A10064" i="23"/>
  <c r="C10063" i="23"/>
  <c r="A10063" i="23"/>
  <c r="C10062" i="23"/>
  <c r="A10062" i="23"/>
  <c r="C10061" i="23"/>
  <c r="A10061" i="23"/>
  <c r="C10060" i="23"/>
  <c r="A10060" i="23"/>
  <c r="C10059" i="23"/>
  <c r="A10059" i="23"/>
  <c r="C10058" i="23"/>
  <c r="A10058" i="23"/>
  <c r="C10057" i="23"/>
  <c r="A10057" i="23"/>
  <c r="C10056" i="23"/>
  <c r="A10056" i="23"/>
  <c r="C10055" i="23"/>
  <c r="A10055" i="23"/>
  <c r="C10054" i="23"/>
  <c r="A10054" i="23"/>
  <c r="C10053" i="23"/>
  <c r="A10053" i="23"/>
  <c r="C10052" i="23"/>
  <c r="A10052" i="23"/>
  <c r="C10051" i="23"/>
  <c r="A10051" i="23"/>
  <c r="C10050" i="23"/>
  <c r="A10050" i="23"/>
  <c r="C10049" i="23"/>
  <c r="A10049" i="23"/>
  <c r="C10048" i="23"/>
  <c r="A10048" i="23"/>
  <c r="C10047" i="23"/>
  <c r="A10047" i="23"/>
  <c r="C9749" i="23"/>
  <c r="A9749" i="23"/>
  <c r="C9748" i="23"/>
  <c r="A9748" i="23"/>
  <c r="C9747" i="23"/>
  <c r="A9747" i="23"/>
  <c r="C9746" i="23"/>
  <c r="A9746" i="23"/>
  <c r="C9745" i="23"/>
  <c r="A9745" i="23"/>
  <c r="C9744" i="23"/>
  <c r="A9744" i="23"/>
  <c r="C9743" i="23"/>
  <c r="A9743" i="23"/>
  <c r="C9742" i="23"/>
  <c r="A9742" i="23"/>
  <c r="C9741" i="23"/>
  <c r="A9741" i="23"/>
  <c r="C9740" i="23"/>
  <c r="A9740" i="23"/>
  <c r="C9739" i="23"/>
  <c r="A9739" i="23"/>
  <c r="C9738" i="23"/>
  <c r="A9738" i="23"/>
  <c r="C9737" i="23"/>
  <c r="A9737" i="23"/>
  <c r="C9736" i="23"/>
  <c r="A9736" i="23"/>
  <c r="C9735" i="23"/>
  <c r="A9735" i="23"/>
  <c r="C9734" i="23"/>
  <c r="A9734" i="23"/>
  <c r="C9733" i="23"/>
  <c r="A9733" i="23"/>
  <c r="C9732" i="23"/>
  <c r="A9732" i="23"/>
  <c r="C9731" i="23"/>
  <c r="A9731" i="23"/>
  <c r="C9730" i="23"/>
  <c r="A9730" i="23"/>
  <c r="C9729" i="23"/>
  <c r="A9729" i="23"/>
  <c r="C9728" i="23"/>
  <c r="A9728" i="23"/>
  <c r="C9727" i="23"/>
  <c r="A9727" i="23"/>
  <c r="C9726" i="23"/>
  <c r="A9726" i="23"/>
  <c r="C9725" i="23"/>
  <c r="A9725" i="23"/>
  <c r="C9724" i="23"/>
  <c r="A9724" i="23"/>
  <c r="C9723" i="23"/>
  <c r="A9723" i="23"/>
  <c r="C10208" i="23"/>
  <c r="A10208" i="23"/>
  <c r="C10207" i="23"/>
  <c r="A10207" i="23"/>
  <c r="C10206" i="23"/>
  <c r="A10206" i="23"/>
  <c r="C10205" i="23"/>
  <c r="A10205" i="23"/>
  <c r="C10204" i="23"/>
  <c r="A10204" i="23"/>
  <c r="C10203" i="23"/>
  <c r="A10203" i="23"/>
  <c r="C10202" i="23"/>
  <c r="A10202" i="23"/>
  <c r="C10201" i="23"/>
  <c r="A10201" i="23"/>
  <c r="C10200" i="23"/>
  <c r="A10200" i="23"/>
  <c r="C10199" i="23"/>
  <c r="A10199" i="23"/>
  <c r="C10198" i="23"/>
  <c r="A10198" i="23"/>
  <c r="C10197" i="23"/>
  <c r="A10197" i="23"/>
  <c r="C10196" i="23"/>
  <c r="A10196" i="23"/>
  <c r="C10195" i="23"/>
  <c r="A10195" i="23"/>
  <c r="C10194" i="23"/>
  <c r="A10194" i="23"/>
  <c r="C10193" i="23"/>
  <c r="A10193" i="23"/>
  <c r="C10192" i="23"/>
  <c r="A10192" i="23"/>
  <c r="C10191" i="23"/>
  <c r="A10191" i="23"/>
  <c r="C10190" i="23"/>
  <c r="A10190" i="23"/>
  <c r="C10189" i="23"/>
  <c r="A10189" i="23"/>
  <c r="C10188" i="23"/>
  <c r="A10188" i="23"/>
  <c r="C10187" i="23"/>
  <c r="A10187" i="23"/>
  <c r="C10186" i="23"/>
  <c r="A10186" i="23"/>
  <c r="C10185" i="23"/>
  <c r="A10185" i="23"/>
  <c r="C10184" i="23"/>
  <c r="A10184" i="23"/>
  <c r="C10183" i="23"/>
  <c r="A10183" i="23"/>
  <c r="C10182" i="23"/>
  <c r="A10182" i="23"/>
  <c r="C9344" i="23"/>
  <c r="A9344" i="23"/>
  <c r="C9343" i="23"/>
  <c r="A9343" i="23"/>
  <c r="C9342" i="23"/>
  <c r="A9342" i="23"/>
  <c r="C9341" i="23"/>
  <c r="A9341" i="23"/>
  <c r="C9340" i="23"/>
  <c r="A9340" i="23"/>
  <c r="C9339" i="23"/>
  <c r="A9339" i="23"/>
  <c r="C9338" i="23"/>
  <c r="A9338" i="23"/>
  <c r="C9337" i="23"/>
  <c r="A9337" i="23"/>
  <c r="C9336" i="23"/>
  <c r="A9336" i="23"/>
  <c r="C9335" i="23"/>
  <c r="A9335" i="23"/>
  <c r="C9334" i="23"/>
  <c r="A9334" i="23"/>
  <c r="C9333" i="23"/>
  <c r="A9333" i="23"/>
  <c r="C9332" i="23"/>
  <c r="A9332" i="23"/>
  <c r="C9331" i="23"/>
  <c r="A9331" i="23"/>
  <c r="C9330" i="23"/>
  <c r="A9330" i="23"/>
  <c r="C9329" i="23"/>
  <c r="A9329" i="23"/>
  <c r="C9328" i="23"/>
  <c r="A9328" i="23"/>
  <c r="C9327" i="23"/>
  <c r="A9327" i="23"/>
  <c r="C9326" i="23"/>
  <c r="A9326" i="23"/>
  <c r="C9325" i="23"/>
  <c r="A9325" i="23"/>
  <c r="C9324" i="23"/>
  <c r="A9324" i="23"/>
  <c r="C9323" i="23"/>
  <c r="A9323" i="23"/>
  <c r="C9322" i="23"/>
  <c r="A9322" i="23"/>
  <c r="C9321" i="23"/>
  <c r="A9321" i="23"/>
  <c r="C9320" i="23"/>
  <c r="A9320" i="23"/>
  <c r="C9319" i="23"/>
  <c r="A9319" i="23"/>
  <c r="C9318" i="23"/>
  <c r="A9318" i="23"/>
  <c r="C9695" i="23"/>
  <c r="A9695" i="23"/>
  <c r="C9694" i="23"/>
  <c r="A9694" i="23"/>
  <c r="C9693" i="23"/>
  <c r="A9693" i="23"/>
  <c r="C9692" i="23"/>
  <c r="A9692" i="23"/>
  <c r="C9691" i="23"/>
  <c r="A9691" i="23"/>
  <c r="C9690" i="23"/>
  <c r="A9690" i="23"/>
  <c r="C9689" i="23"/>
  <c r="A9689" i="23"/>
  <c r="C9688" i="23"/>
  <c r="A9688" i="23"/>
  <c r="C9687" i="23"/>
  <c r="A9687" i="23"/>
  <c r="C9686" i="23"/>
  <c r="A9686" i="23"/>
  <c r="C9685" i="23"/>
  <c r="A9685" i="23"/>
  <c r="C9684" i="23"/>
  <c r="A9684" i="23"/>
  <c r="C9683" i="23"/>
  <c r="A9683" i="23"/>
  <c r="C9682" i="23"/>
  <c r="A9682" i="23"/>
  <c r="C9681" i="23"/>
  <c r="A9681" i="23"/>
  <c r="C9680" i="23"/>
  <c r="A9680" i="23"/>
  <c r="C9679" i="23"/>
  <c r="A9679" i="23"/>
  <c r="C9678" i="23"/>
  <c r="A9678" i="23"/>
  <c r="C9677" i="23"/>
  <c r="A9677" i="23"/>
  <c r="C9676" i="23"/>
  <c r="A9676" i="23"/>
  <c r="C9675" i="23"/>
  <c r="A9675" i="23"/>
  <c r="C9674" i="23"/>
  <c r="A9674" i="23"/>
  <c r="C9673" i="23"/>
  <c r="A9673" i="23"/>
  <c r="C9672" i="23"/>
  <c r="A9672" i="23"/>
  <c r="C9671" i="23"/>
  <c r="A9671" i="23"/>
  <c r="C9670" i="23"/>
  <c r="A9670" i="23"/>
  <c r="C9669" i="23"/>
  <c r="A9669" i="23"/>
  <c r="C9992" i="23"/>
  <c r="A9992" i="23"/>
  <c r="C9991" i="23"/>
  <c r="A9991" i="23"/>
  <c r="C9990" i="23"/>
  <c r="A9990" i="23"/>
  <c r="C9989" i="23"/>
  <c r="A9989" i="23"/>
  <c r="C9988" i="23"/>
  <c r="A9988" i="23"/>
  <c r="C9987" i="23"/>
  <c r="A9987" i="23"/>
  <c r="C9986" i="23"/>
  <c r="A9986" i="23"/>
  <c r="C9985" i="23"/>
  <c r="A9985" i="23"/>
  <c r="C9984" i="23"/>
  <c r="A9984" i="23"/>
  <c r="C9983" i="23"/>
  <c r="A9983" i="23"/>
  <c r="C9982" i="23"/>
  <c r="A9982" i="23"/>
  <c r="C9981" i="23"/>
  <c r="A9981" i="23"/>
  <c r="C9980" i="23"/>
  <c r="A9980" i="23"/>
  <c r="C9979" i="23"/>
  <c r="A9979" i="23"/>
  <c r="C9978" i="23"/>
  <c r="A9978" i="23"/>
  <c r="C9977" i="23"/>
  <c r="A9977" i="23"/>
  <c r="C9976" i="23"/>
  <c r="A9976" i="23"/>
  <c r="C9975" i="23"/>
  <c r="A9975" i="23"/>
  <c r="C9974" i="23"/>
  <c r="A9974" i="23"/>
  <c r="C9973" i="23"/>
  <c r="A9973" i="23"/>
  <c r="C9972" i="23"/>
  <c r="A9972" i="23"/>
  <c r="C9971" i="23"/>
  <c r="A9971" i="23"/>
  <c r="C9970" i="23"/>
  <c r="A9970" i="23"/>
  <c r="C9969" i="23"/>
  <c r="A9969" i="23"/>
  <c r="C9968" i="23"/>
  <c r="A9968" i="23"/>
  <c r="C9967" i="23"/>
  <c r="A9967" i="23"/>
  <c r="C9966" i="23"/>
  <c r="A9966" i="23"/>
  <c r="C9803" i="23"/>
  <c r="A9803" i="23"/>
  <c r="C9802" i="23"/>
  <c r="A9802" i="23"/>
  <c r="C9801" i="23"/>
  <c r="A9801" i="23"/>
  <c r="C9800" i="23"/>
  <c r="A9800" i="23"/>
  <c r="C9799" i="23"/>
  <c r="A9799" i="23"/>
  <c r="C9798" i="23"/>
  <c r="A9798" i="23"/>
  <c r="C9797" i="23"/>
  <c r="A9797" i="23"/>
  <c r="C9796" i="23"/>
  <c r="A9796" i="23"/>
  <c r="C9795" i="23"/>
  <c r="A9795" i="23"/>
  <c r="C9794" i="23"/>
  <c r="A9794" i="23"/>
  <c r="C9793" i="23"/>
  <c r="A9793" i="23"/>
  <c r="C9792" i="23"/>
  <c r="A9792" i="23"/>
  <c r="C9791" i="23"/>
  <c r="A9791" i="23"/>
  <c r="C9790" i="23"/>
  <c r="A9790" i="23"/>
  <c r="C9789" i="23"/>
  <c r="A9789" i="23"/>
  <c r="C9788" i="23"/>
  <c r="A9788" i="23"/>
  <c r="C9787" i="23"/>
  <c r="A9787" i="23"/>
  <c r="C9786" i="23"/>
  <c r="A9786" i="23"/>
  <c r="C9785" i="23"/>
  <c r="A9785" i="23"/>
  <c r="C9784" i="23"/>
  <c r="A9784" i="23"/>
  <c r="C9783" i="23"/>
  <c r="A9783" i="23"/>
  <c r="C9782" i="23"/>
  <c r="A9782" i="23"/>
  <c r="C9781" i="23"/>
  <c r="A9781" i="23"/>
  <c r="C9780" i="23"/>
  <c r="A9780" i="23"/>
  <c r="C9779" i="23"/>
  <c r="A9779" i="23"/>
  <c r="C9778" i="23"/>
  <c r="A9778" i="23"/>
  <c r="C9777" i="23"/>
  <c r="A9777" i="23"/>
  <c r="C9884" i="23"/>
  <c r="A9884" i="23"/>
  <c r="C9883" i="23"/>
  <c r="A9883" i="23"/>
  <c r="C9882" i="23"/>
  <c r="A9882" i="23"/>
  <c r="C9881" i="23"/>
  <c r="A9881" i="23"/>
  <c r="C9880" i="23"/>
  <c r="A9880" i="23"/>
  <c r="C9879" i="23"/>
  <c r="A9879" i="23"/>
  <c r="C9878" i="23"/>
  <c r="A9878" i="23"/>
  <c r="C9877" i="23"/>
  <c r="A9877" i="23"/>
  <c r="C9876" i="23"/>
  <c r="A9876" i="23"/>
  <c r="C9875" i="23"/>
  <c r="A9875" i="23"/>
  <c r="C9874" i="23"/>
  <c r="A9874" i="23"/>
  <c r="C9873" i="23"/>
  <c r="A9873" i="23"/>
  <c r="C9872" i="23"/>
  <c r="A9872" i="23"/>
  <c r="C9871" i="23"/>
  <c r="A9871" i="23"/>
  <c r="C9870" i="23"/>
  <c r="A9870" i="23"/>
  <c r="C9869" i="23"/>
  <c r="A9869" i="23"/>
  <c r="C9868" i="23"/>
  <c r="A9868" i="23"/>
  <c r="C9867" i="23"/>
  <c r="A9867" i="23"/>
  <c r="C9866" i="23"/>
  <c r="A9866" i="23"/>
  <c r="C9865" i="23"/>
  <c r="A9865" i="23"/>
  <c r="C9864" i="23"/>
  <c r="A9864" i="23"/>
  <c r="C9863" i="23"/>
  <c r="A9863" i="23"/>
  <c r="C9862" i="23"/>
  <c r="A9862" i="23"/>
  <c r="C9861" i="23"/>
  <c r="A9861" i="23"/>
  <c r="C9860" i="23"/>
  <c r="A9860" i="23"/>
  <c r="C9859" i="23"/>
  <c r="A9859" i="23"/>
  <c r="C9858" i="23"/>
  <c r="A9858" i="23"/>
  <c r="C10154" i="23"/>
  <c r="A10154" i="23"/>
  <c r="C10153" i="23"/>
  <c r="A10153" i="23"/>
  <c r="C10152" i="23"/>
  <c r="A10152" i="23"/>
  <c r="C10151" i="23"/>
  <c r="A10151" i="23"/>
  <c r="C10150" i="23"/>
  <c r="A10150" i="23"/>
  <c r="C10149" i="23"/>
  <c r="A10149" i="23"/>
  <c r="C10148" i="23"/>
  <c r="A10148" i="23"/>
  <c r="C10147" i="23"/>
  <c r="A10147" i="23"/>
  <c r="C10146" i="23"/>
  <c r="A10146" i="23"/>
  <c r="C10145" i="23"/>
  <c r="A10145" i="23"/>
  <c r="C10144" i="23"/>
  <c r="A10144" i="23"/>
  <c r="C10143" i="23"/>
  <c r="A10143" i="23"/>
  <c r="C10142" i="23"/>
  <c r="A10142" i="23"/>
  <c r="C10141" i="23"/>
  <c r="A10141" i="23"/>
  <c r="C10140" i="23"/>
  <c r="A10140" i="23"/>
  <c r="C10139" i="23"/>
  <c r="A10139" i="23"/>
  <c r="C10138" i="23"/>
  <c r="A10138" i="23"/>
  <c r="C10137" i="23"/>
  <c r="A10137" i="23"/>
  <c r="C10136" i="23"/>
  <c r="A10136" i="23"/>
  <c r="C10135" i="23"/>
  <c r="A10135" i="23"/>
  <c r="C10134" i="23"/>
  <c r="A10134" i="23"/>
  <c r="C10133" i="23"/>
  <c r="A10133" i="23"/>
  <c r="C10132" i="23"/>
  <c r="A10132" i="23"/>
  <c r="C10131" i="23"/>
  <c r="A10131" i="23"/>
  <c r="C10130" i="23"/>
  <c r="A10130" i="23"/>
  <c r="C10129" i="23"/>
  <c r="A10129" i="23"/>
  <c r="C10128" i="23"/>
  <c r="A10128" i="23"/>
  <c r="C10100" i="23"/>
  <c r="A10100" i="23"/>
  <c r="C10099" i="23"/>
  <c r="A10099" i="23"/>
  <c r="C10098" i="23"/>
  <c r="A10098" i="23"/>
  <c r="C10097" i="23"/>
  <c r="A10097" i="23"/>
  <c r="C10096" i="23"/>
  <c r="A10096" i="23"/>
  <c r="C10095" i="23"/>
  <c r="A10095" i="23"/>
  <c r="C10094" i="23"/>
  <c r="A10094" i="23"/>
  <c r="C10093" i="23"/>
  <c r="A10093" i="23"/>
  <c r="C10092" i="23"/>
  <c r="A10092" i="23"/>
  <c r="C10091" i="23"/>
  <c r="A10091" i="23"/>
  <c r="C10090" i="23"/>
  <c r="A10090" i="23"/>
  <c r="C10089" i="23"/>
  <c r="A10089" i="23"/>
  <c r="C10088" i="23"/>
  <c r="A10088" i="23"/>
  <c r="C10087" i="23"/>
  <c r="A10087" i="23"/>
  <c r="C10086" i="23"/>
  <c r="A10086" i="23"/>
  <c r="C10085" i="23"/>
  <c r="A10085" i="23"/>
  <c r="C10084" i="23"/>
  <c r="A10084" i="23"/>
  <c r="C10083" i="23"/>
  <c r="A10083" i="23"/>
  <c r="C10082" i="23"/>
  <c r="A10082" i="23"/>
  <c r="C10081" i="23"/>
  <c r="A10081" i="23"/>
  <c r="C10080" i="23"/>
  <c r="A10080" i="23"/>
  <c r="C10079" i="23"/>
  <c r="A10079" i="23"/>
  <c r="C10078" i="23"/>
  <c r="A10078" i="23"/>
  <c r="C10077" i="23"/>
  <c r="A10077" i="23"/>
  <c r="C10076" i="23"/>
  <c r="A10076" i="23"/>
  <c r="C10075" i="23"/>
  <c r="A10075" i="23"/>
  <c r="C10074" i="23"/>
  <c r="A10074" i="23"/>
  <c r="C10046" i="23"/>
  <c r="A10046" i="23"/>
  <c r="C10045" i="23"/>
  <c r="A10045" i="23"/>
  <c r="C10044" i="23"/>
  <c r="A10044" i="23"/>
  <c r="C10043" i="23"/>
  <c r="A10043" i="23"/>
  <c r="C10042" i="23"/>
  <c r="A10042" i="23"/>
  <c r="C10041" i="23"/>
  <c r="A10041" i="23"/>
  <c r="C10040" i="23"/>
  <c r="A10040" i="23"/>
  <c r="C10039" i="23"/>
  <c r="A10039" i="23"/>
  <c r="C10038" i="23"/>
  <c r="A10038" i="23"/>
  <c r="C10037" i="23"/>
  <c r="A10037" i="23"/>
  <c r="C10036" i="23"/>
  <c r="A10036" i="23"/>
  <c r="C10035" i="23"/>
  <c r="A10035" i="23"/>
  <c r="C10034" i="23"/>
  <c r="A10034" i="23"/>
  <c r="C10033" i="23"/>
  <c r="A10033" i="23"/>
  <c r="C10032" i="23"/>
  <c r="A10032" i="23"/>
  <c r="C10031" i="23"/>
  <c r="A10031" i="23"/>
  <c r="C10030" i="23"/>
  <c r="A10030" i="23"/>
  <c r="C10029" i="23"/>
  <c r="A10029" i="23"/>
  <c r="C10028" i="23"/>
  <c r="A10028" i="23"/>
  <c r="C10027" i="23"/>
  <c r="A10027" i="23"/>
  <c r="C10026" i="23"/>
  <c r="A10026" i="23"/>
  <c r="C10025" i="23"/>
  <c r="A10025" i="23"/>
  <c r="C10024" i="23"/>
  <c r="A10024" i="23"/>
  <c r="C10023" i="23"/>
  <c r="A10023" i="23"/>
  <c r="C10022" i="23"/>
  <c r="A10022" i="23"/>
  <c r="C10021" i="23"/>
  <c r="A10021" i="23"/>
  <c r="C10020" i="23"/>
  <c r="A10020" i="23"/>
  <c r="C9857" i="23"/>
  <c r="A9857" i="23"/>
  <c r="C9856" i="23"/>
  <c r="A9856" i="23"/>
  <c r="C9855" i="23"/>
  <c r="A9855" i="23"/>
  <c r="C9854" i="23"/>
  <c r="A9854" i="23"/>
  <c r="C9853" i="23"/>
  <c r="A9853" i="23"/>
  <c r="C9852" i="23"/>
  <c r="A9852" i="23"/>
  <c r="C9851" i="23"/>
  <c r="A9851" i="23"/>
  <c r="C9850" i="23"/>
  <c r="A9850" i="23"/>
  <c r="C9849" i="23"/>
  <c r="A9849" i="23"/>
  <c r="C9848" i="23"/>
  <c r="A9848" i="23"/>
  <c r="C9847" i="23"/>
  <c r="A9847" i="23"/>
  <c r="C9846" i="23"/>
  <c r="A9846" i="23"/>
  <c r="C9845" i="23"/>
  <c r="A9845" i="23"/>
  <c r="C9844" i="23"/>
  <c r="A9844" i="23"/>
  <c r="C9843" i="23"/>
  <c r="A9843" i="23"/>
  <c r="C9842" i="23"/>
  <c r="A9842" i="23"/>
  <c r="C9841" i="23"/>
  <c r="A9841" i="23"/>
  <c r="C9840" i="23"/>
  <c r="A9840" i="23"/>
  <c r="C9839" i="23"/>
  <c r="A9839" i="23"/>
  <c r="C9838" i="23"/>
  <c r="A9838" i="23"/>
  <c r="C9837" i="23"/>
  <c r="A9837" i="23"/>
  <c r="C9836" i="23"/>
  <c r="A9836" i="23"/>
  <c r="C9835" i="23"/>
  <c r="A9835" i="23"/>
  <c r="C9834" i="23"/>
  <c r="A9834" i="23"/>
  <c r="C9833" i="23"/>
  <c r="A9833" i="23"/>
  <c r="C9832" i="23"/>
  <c r="A9832" i="23"/>
  <c r="C9831" i="23"/>
  <c r="A9831" i="23"/>
  <c r="C9290" i="23"/>
  <c r="A9290" i="23"/>
  <c r="C9289" i="23"/>
  <c r="A9289" i="23"/>
  <c r="C9288" i="23"/>
  <c r="A9288" i="23"/>
  <c r="C9287" i="23"/>
  <c r="A9287" i="23"/>
  <c r="C9286" i="23"/>
  <c r="A9286" i="23"/>
  <c r="C9285" i="23"/>
  <c r="A9285" i="23"/>
  <c r="C9284" i="23"/>
  <c r="A9284" i="23"/>
  <c r="C9283" i="23"/>
  <c r="A9283" i="23"/>
  <c r="C9282" i="23"/>
  <c r="A9282" i="23"/>
  <c r="C9281" i="23"/>
  <c r="A9281" i="23"/>
  <c r="C9280" i="23"/>
  <c r="A9280" i="23"/>
  <c r="C9279" i="23"/>
  <c r="A9279" i="23"/>
  <c r="C9278" i="23"/>
  <c r="A9278" i="23"/>
  <c r="C9277" i="23"/>
  <c r="A9277" i="23"/>
  <c r="C9276" i="23"/>
  <c r="A9276" i="23"/>
  <c r="C9275" i="23"/>
  <c r="A9275" i="23"/>
  <c r="C9274" i="23"/>
  <c r="A9274" i="23"/>
  <c r="C9273" i="23"/>
  <c r="A9273" i="23"/>
  <c r="C9272" i="23"/>
  <c r="A9272" i="23"/>
  <c r="C9271" i="23"/>
  <c r="A9271" i="23"/>
  <c r="C9270" i="23"/>
  <c r="A9270" i="23"/>
  <c r="C9269" i="23"/>
  <c r="A9269" i="23"/>
  <c r="C9268" i="23"/>
  <c r="A9268" i="23"/>
  <c r="C9267" i="23"/>
  <c r="A9267" i="23"/>
  <c r="C9266" i="23"/>
  <c r="A9266" i="23"/>
  <c r="C9265" i="23"/>
  <c r="A9265" i="23"/>
  <c r="C9264" i="23"/>
  <c r="A9264" i="23"/>
  <c r="C9830" i="23"/>
  <c r="A9830" i="23"/>
  <c r="C9829" i="23"/>
  <c r="A9829" i="23"/>
  <c r="C9828" i="23"/>
  <c r="A9828" i="23"/>
  <c r="C9827" i="23"/>
  <c r="A9827" i="23"/>
  <c r="C9826" i="23"/>
  <c r="A9826" i="23"/>
  <c r="C9825" i="23"/>
  <c r="A9825" i="23"/>
  <c r="C9824" i="23"/>
  <c r="A9824" i="23"/>
  <c r="C9823" i="23"/>
  <c r="A9823" i="23"/>
  <c r="C9822" i="23"/>
  <c r="A9822" i="23"/>
  <c r="C9821" i="23"/>
  <c r="A9821" i="23"/>
  <c r="C9820" i="23"/>
  <c r="A9820" i="23"/>
  <c r="C9819" i="23"/>
  <c r="A9819" i="23"/>
  <c r="C9818" i="23"/>
  <c r="A9818" i="23"/>
  <c r="C9817" i="23"/>
  <c r="A9817" i="23"/>
  <c r="C9816" i="23"/>
  <c r="A9816" i="23"/>
  <c r="C9815" i="23"/>
  <c r="A9815" i="23"/>
  <c r="C9814" i="23"/>
  <c r="A9814" i="23"/>
  <c r="C9813" i="23"/>
  <c r="A9813" i="23"/>
  <c r="C9812" i="23"/>
  <c r="A9812" i="23"/>
  <c r="C9811" i="23"/>
  <c r="A9811" i="23"/>
  <c r="C9810" i="23"/>
  <c r="A9810" i="23"/>
  <c r="C9809" i="23"/>
  <c r="A9809" i="23"/>
  <c r="C9808" i="23"/>
  <c r="A9808" i="23"/>
  <c r="C9807" i="23"/>
  <c r="A9807" i="23"/>
  <c r="C9806" i="23"/>
  <c r="A9806" i="23"/>
  <c r="C9805" i="23"/>
  <c r="A9805" i="23"/>
  <c r="C9804" i="23"/>
  <c r="A9804" i="23"/>
  <c r="C9641" i="23"/>
  <c r="A9641" i="23"/>
  <c r="C9640" i="23"/>
  <c r="A9640" i="23"/>
  <c r="C9639" i="23"/>
  <c r="A9639" i="23"/>
  <c r="C9638" i="23"/>
  <c r="A9638" i="23"/>
  <c r="C9637" i="23"/>
  <c r="A9637" i="23"/>
  <c r="C9636" i="23"/>
  <c r="A9636" i="23"/>
  <c r="C9635" i="23"/>
  <c r="A9635" i="23"/>
  <c r="C9634" i="23"/>
  <c r="A9634" i="23"/>
  <c r="C9633" i="23"/>
  <c r="A9633" i="23"/>
  <c r="C9632" i="23"/>
  <c r="A9632" i="23"/>
  <c r="C9631" i="23"/>
  <c r="A9631" i="23"/>
  <c r="C9630" i="23"/>
  <c r="A9630" i="23"/>
  <c r="C9629" i="23"/>
  <c r="A9629" i="23"/>
  <c r="C9628" i="23"/>
  <c r="A9628" i="23"/>
  <c r="C9627" i="23"/>
  <c r="A9627" i="23"/>
  <c r="C9626" i="23"/>
  <c r="A9626" i="23"/>
  <c r="C9625" i="23"/>
  <c r="A9625" i="23"/>
  <c r="C9624" i="23"/>
  <c r="A9624" i="23"/>
  <c r="C9623" i="23"/>
  <c r="A9623" i="23"/>
  <c r="C9622" i="23"/>
  <c r="A9622" i="23"/>
  <c r="C9621" i="23"/>
  <c r="A9621" i="23"/>
  <c r="C9620" i="23"/>
  <c r="A9620" i="23"/>
  <c r="C9619" i="23"/>
  <c r="A9619" i="23"/>
  <c r="C9618" i="23"/>
  <c r="A9618" i="23"/>
  <c r="C9617" i="23"/>
  <c r="A9617" i="23"/>
  <c r="C9616" i="23"/>
  <c r="A9616" i="23"/>
  <c r="C9615" i="23"/>
  <c r="A9615" i="23"/>
  <c r="C10235" i="23"/>
  <c r="A10235" i="23"/>
  <c r="C10234" i="23"/>
  <c r="A10234" i="23"/>
  <c r="C10233" i="23"/>
  <c r="A10233" i="23"/>
  <c r="C10232" i="23"/>
  <c r="A10232" i="23"/>
  <c r="C10231" i="23"/>
  <c r="A10231" i="23"/>
  <c r="C10230" i="23"/>
  <c r="A10230" i="23"/>
  <c r="C10229" i="23"/>
  <c r="A10229" i="23"/>
  <c r="C10228" i="23"/>
  <c r="A10228" i="23"/>
  <c r="C10227" i="23"/>
  <c r="A10227" i="23"/>
  <c r="C10226" i="23"/>
  <c r="A10226" i="23"/>
  <c r="C10225" i="23"/>
  <c r="A10225" i="23"/>
  <c r="C10224" i="23"/>
  <c r="A10224" i="23"/>
  <c r="C10223" i="23"/>
  <c r="A10223" i="23"/>
  <c r="C10222" i="23"/>
  <c r="A10222" i="23"/>
  <c r="C10221" i="23"/>
  <c r="A10221" i="23"/>
  <c r="C10220" i="23"/>
  <c r="A10220" i="23"/>
  <c r="C10219" i="23"/>
  <c r="A10219" i="23"/>
  <c r="C10218" i="23"/>
  <c r="A10218" i="23"/>
  <c r="C10217" i="23"/>
  <c r="A10217" i="23"/>
  <c r="C10216" i="23"/>
  <c r="A10216" i="23"/>
  <c r="C10215" i="23"/>
  <c r="A10215" i="23"/>
  <c r="C10214" i="23"/>
  <c r="A10214" i="23"/>
  <c r="C10213" i="23"/>
  <c r="A10213" i="23"/>
  <c r="C10212" i="23"/>
  <c r="A10212" i="23"/>
  <c r="C10211" i="23"/>
  <c r="A10211" i="23"/>
  <c r="C10210" i="23"/>
  <c r="A10210" i="23"/>
  <c r="C10209" i="23"/>
  <c r="A10209" i="23"/>
  <c r="C9965" i="23"/>
  <c r="A9965" i="23"/>
  <c r="C9964" i="23"/>
  <c r="A9964" i="23"/>
  <c r="C9963" i="23"/>
  <c r="A9963" i="23"/>
  <c r="C9962" i="23"/>
  <c r="A9962" i="23"/>
  <c r="C9961" i="23"/>
  <c r="A9961" i="23"/>
  <c r="C9960" i="23"/>
  <c r="A9960" i="23"/>
  <c r="C9959" i="23"/>
  <c r="A9959" i="23"/>
  <c r="C9958" i="23"/>
  <c r="A9958" i="23"/>
  <c r="C9957" i="23"/>
  <c r="A9957" i="23"/>
  <c r="C9956" i="23"/>
  <c r="A9956" i="23"/>
  <c r="C9955" i="23"/>
  <c r="A9955" i="23"/>
  <c r="C9954" i="23"/>
  <c r="A9954" i="23"/>
  <c r="C9953" i="23"/>
  <c r="A9953" i="23"/>
  <c r="C9952" i="23"/>
  <c r="A9952" i="23"/>
  <c r="C9951" i="23"/>
  <c r="A9951" i="23"/>
  <c r="C9950" i="23"/>
  <c r="A9950" i="23"/>
  <c r="C9949" i="23"/>
  <c r="A9949" i="23"/>
  <c r="C9948" i="23"/>
  <c r="A9948" i="23"/>
  <c r="C9947" i="23"/>
  <c r="A9947" i="23"/>
  <c r="C9946" i="23"/>
  <c r="A9946" i="23"/>
  <c r="C9945" i="23"/>
  <c r="A9945" i="23"/>
  <c r="C9944" i="23"/>
  <c r="A9944" i="23"/>
  <c r="C9943" i="23"/>
  <c r="A9943" i="23"/>
  <c r="C9942" i="23"/>
  <c r="A9942" i="23"/>
  <c r="C9941" i="23"/>
  <c r="A9941" i="23"/>
  <c r="C9940" i="23"/>
  <c r="A9940" i="23"/>
  <c r="C9939" i="23"/>
  <c r="A9939" i="23"/>
  <c r="C10262" i="23"/>
  <c r="A10262" i="23"/>
  <c r="C10261" i="23"/>
  <c r="A10261" i="23"/>
  <c r="C10260" i="23"/>
  <c r="A10260" i="23"/>
  <c r="C10259" i="23"/>
  <c r="A10259" i="23"/>
  <c r="C10258" i="23"/>
  <c r="A10258" i="23"/>
  <c r="C10257" i="23"/>
  <c r="A10257" i="23"/>
  <c r="C10256" i="23"/>
  <c r="A10256" i="23"/>
  <c r="C10255" i="23"/>
  <c r="A10255" i="23"/>
  <c r="C10254" i="23"/>
  <c r="A10254" i="23"/>
  <c r="C10253" i="23"/>
  <c r="A10253" i="23"/>
  <c r="C10252" i="23"/>
  <c r="A10252" i="23"/>
  <c r="C10251" i="23"/>
  <c r="A10251" i="23"/>
  <c r="C10250" i="23"/>
  <c r="A10250" i="23"/>
  <c r="C10249" i="23"/>
  <c r="A10249" i="23"/>
  <c r="C10248" i="23"/>
  <c r="A10248" i="23"/>
  <c r="C10247" i="23"/>
  <c r="A10247" i="23"/>
  <c r="C10246" i="23"/>
  <c r="A10246" i="23"/>
  <c r="C10245" i="23"/>
  <c r="A10245" i="23"/>
  <c r="C10244" i="23"/>
  <c r="A10244" i="23"/>
  <c r="C10243" i="23"/>
  <c r="A10243" i="23"/>
  <c r="C10242" i="23"/>
  <c r="A10242" i="23"/>
  <c r="C10241" i="23"/>
  <c r="A10241" i="23"/>
  <c r="C10240" i="23"/>
  <c r="A10240" i="23"/>
  <c r="C10239" i="23"/>
  <c r="A10239" i="23"/>
  <c r="C10238" i="23"/>
  <c r="A10238" i="23"/>
  <c r="C10237" i="23"/>
  <c r="A10237" i="23"/>
  <c r="C10236" i="23"/>
  <c r="A10236" i="23"/>
  <c r="C9911" i="23"/>
  <c r="A9911" i="23"/>
  <c r="C9910" i="23"/>
  <c r="A9910" i="23"/>
  <c r="C9909" i="23"/>
  <c r="A9909" i="23"/>
  <c r="C9908" i="23"/>
  <c r="A9908" i="23"/>
  <c r="C9907" i="23"/>
  <c r="A9907" i="23"/>
  <c r="C9906" i="23"/>
  <c r="A9906" i="23"/>
  <c r="C9905" i="23"/>
  <c r="A9905" i="23"/>
  <c r="C9904" i="23"/>
  <c r="A9904" i="23"/>
  <c r="C9903" i="23"/>
  <c r="A9903" i="23"/>
  <c r="C9902" i="23"/>
  <c r="A9902" i="23"/>
  <c r="C9901" i="23"/>
  <c r="A9901" i="23"/>
  <c r="C9900" i="23"/>
  <c r="A9900" i="23"/>
  <c r="C9899" i="23"/>
  <c r="A9899" i="23"/>
  <c r="C9898" i="23"/>
  <c r="A9898" i="23"/>
  <c r="C9897" i="23"/>
  <c r="A9897" i="23"/>
  <c r="C9896" i="23"/>
  <c r="A9896" i="23"/>
  <c r="C9895" i="23"/>
  <c r="A9895" i="23"/>
  <c r="C9894" i="23"/>
  <c r="A9894" i="23"/>
  <c r="C9893" i="23"/>
  <c r="A9893" i="23"/>
  <c r="C9892" i="23"/>
  <c r="A9892" i="23"/>
  <c r="C9891" i="23"/>
  <c r="A9891" i="23"/>
  <c r="C9890" i="23"/>
  <c r="A9890" i="23"/>
  <c r="C9889" i="23"/>
  <c r="A9889" i="23"/>
  <c r="C9888" i="23"/>
  <c r="A9888" i="23"/>
  <c r="C9887" i="23"/>
  <c r="A9887" i="23"/>
  <c r="C9886" i="23"/>
  <c r="A9886" i="23"/>
  <c r="C9885" i="23"/>
  <c r="A9885" i="23"/>
  <c r="C9938" i="23"/>
  <c r="A9938" i="23"/>
  <c r="C9937" i="23"/>
  <c r="A9937" i="23"/>
  <c r="C9936" i="23"/>
  <c r="A9936" i="23"/>
  <c r="C9935" i="23"/>
  <c r="A9935" i="23"/>
  <c r="C9934" i="23"/>
  <c r="A9934" i="23"/>
  <c r="C9933" i="23"/>
  <c r="A9933" i="23"/>
  <c r="C9932" i="23"/>
  <c r="A9932" i="23"/>
  <c r="C9931" i="23"/>
  <c r="A9931" i="23"/>
  <c r="C9930" i="23"/>
  <c r="A9930" i="23"/>
  <c r="C9929" i="23"/>
  <c r="A9929" i="23"/>
  <c r="C9928" i="23"/>
  <c r="A9928" i="23"/>
  <c r="C9927" i="23"/>
  <c r="A9927" i="23"/>
  <c r="C9926" i="23"/>
  <c r="A9926" i="23"/>
  <c r="C9925" i="23"/>
  <c r="A9925" i="23"/>
  <c r="C9924" i="23"/>
  <c r="A9924" i="23"/>
  <c r="C9923" i="23"/>
  <c r="A9923" i="23"/>
  <c r="C9922" i="23"/>
  <c r="A9922" i="23"/>
  <c r="C9921" i="23"/>
  <c r="A9921" i="23"/>
  <c r="C9920" i="23"/>
  <c r="A9920" i="23"/>
  <c r="C9919" i="23"/>
  <c r="A9919" i="23"/>
  <c r="C9918" i="23"/>
  <c r="A9918" i="23"/>
  <c r="C9917" i="23"/>
  <c r="A9917" i="23"/>
  <c r="C9916" i="23"/>
  <c r="A9916" i="23"/>
  <c r="C9915" i="23"/>
  <c r="A9915" i="23"/>
  <c r="C9914" i="23"/>
  <c r="A9914" i="23"/>
  <c r="C9913" i="23"/>
  <c r="A9913" i="23"/>
  <c r="C9912" i="23"/>
  <c r="A9912" i="23"/>
  <c r="C9668" i="23"/>
  <c r="A9668" i="23"/>
  <c r="C9667" i="23"/>
  <c r="A9667" i="23"/>
  <c r="C9666" i="23"/>
  <c r="A9666" i="23"/>
  <c r="C9665" i="23"/>
  <c r="A9665" i="23"/>
  <c r="C9664" i="23"/>
  <c r="A9664" i="23"/>
  <c r="C9663" i="23"/>
  <c r="A9663" i="23"/>
  <c r="C9662" i="23"/>
  <c r="A9662" i="23"/>
  <c r="C9661" i="23"/>
  <c r="A9661" i="23"/>
  <c r="C9660" i="23"/>
  <c r="A9660" i="23"/>
  <c r="C9659" i="23"/>
  <c r="A9659" i="23"/>
  <c r="C9658" i="23"/>
  <c r="A9658" i="23"/>
  <c r="C9657" i="23"/>
  <c r="A9657" i="23"/>
  <c r="C9656" i="23"/>
  <c r="A9656" i="23"/>
  <c r="C9655" i="23"/>
  <c r="A9655" i="23"/>
  <c r="C9654" i="23"/>
  <c r="A9654" i="23"/>
  <c r="C9653" i="23"/>
  <c r="A9653" i="23"/>
  <c r="C9652" i="23"/>
  <c r="A9652" i="23"/>
  <c r="C9651" i="23"/>
  <c r="A9651" i="23"/>
  <c r="C9650" i="23"/>
  <c r="A9650" i="23"/>
  <c r="C9649" i="23"/>
  <c r="A9649" i="23"/>
  <c r="C9648" i="23"/>
  <c r="A9648" i="23"/>
  <c r="C9647" i="23"/>
  <c r="A9647" i="23"/>
  <c r="C9646" i="23"/>
  <c r="A9646" i="23"/>
  <c r="C9645" i="23"/>
  <c r="A9645" i="23"/>
  <c r="C9644" i="23"/>
  <c r="A9644" i="23"/>
  <c r="C9643" i="23"/>
  <c r="A9643" i="23"/>
  <c r="C9642" i="23"/>
  <c r="A9642" i="23"/>
  <c r="C9263" i="23"/>
  <c r="A9263" i="23"/>
  <c r="C9262" i="23"/>
  <c r="A9262" i="23"/>
  <c r="C9261" i="23"/>
  <c r="A9261" i="23"/>
  <c r="C9260" i="23"/>
  <c r="A9260" i="23"/>
  <c r="C9259" i="23"/>
  <c r="A9259" i="23"/>
  <c r="C9258" i="23"/>
  <c r="A9258" i="23"/>
  <c r="C9257" i="23"/>
  <c r="A9257" i="23"/>
  <c r="C9256" i="23"/>
  <c r="A9256" i="23"/>
  <c r="C9255" i="23"/>
  <c r="A9255" i="23"/>
  <c r="C9254" i="23"/>
  <c r="A9254" i="23"/>
  <c r="C9253" i="23"/>
  <c r="A9253" i="23"/>
  <c r="C9252" i="23"/>
  <c r="A9252" i="23"/>
  <c r="C9251" i="23"/>
  <c r="A9251" i="23"/>
  <c r="C9250" i="23"/>
  <c r="A9250" i="23"/>
  <c r="C9249" i="23"/>
  <c r="A9249" i="23"/>
  <c r="C9248" i="23"/>
  <c r="A9248" i="23"/>
  <c r="C9247" i="23"/>
  <c r="A9247" i="23"/>
  <c r="C9246" i="23"/>
  <c r="A9246" i="23"/>
  <c r="C9245" i="23"/>
  <c r="A9245" i="23"/>
  <c r="C9244" i="23"/>
  <c r="A9244" i="23"/>
  <c r="C9243" i="23"/>
  <c r="A9243" i="23"/>
  <c r="C9242" i="23"/>
  <c r="A9242" i="23"/>
  <c r="C9241" i="23"/>
  <c r="A9241" i="23"/>
  <c r="C9240" i="23"/>
  <c r="A9240" i="23"/>
  <c r="C9239" i="23"/>
  <c r="A9239" i="23"/>
  <c r="C9238" i="23"/>
  <c r="A9238" i="23"/>
  <c r="C9237" i="23"/>
  <c r="A9237" i="23"/>
  <c r="C9776" i="23"/>
  <c r="A9776" i="23"/>
  <c r="C9775" i="23"/>
  <c r="A9775" i="23"/>
  <c r="C9774" i="23"/>
  <c r="A9774" i="23"/>
  <c r="C9773" i="23"/>
  <c r="A9773" i="23"/>
  <c r="C9772" i="23"/>
  <c r="A9772" i="23"/>
  <c r="C9771" i="23"/>
  <c r="A9771" i="23"/>
  <c r="C9770" i="23"/>
  <c r="A9770" i="23"/>
  <c r="C9769" i="23"/>
  <c r="A9769" i="23"/>
  <c r="C9768" i="23"/>
  <c r="A9768" i="23"/>
  <c r="C9767" i="23"/>
  <c r="A9767" i="23"/>
  <c r="C9766" i="23"/>
  <c r="A9766" i="23"/>
  <c r="C9765" i="23"/>
  <c r="A9765" i="23"/>
  <c r="C9764" i="23"/>
  <c r="A9764" i="23"/>
  <c r="C9763" i="23"/>
  <c r="A9763" i="23"/>
  <c r="C9762" i="23"/>
  <c r="A9762" i="23"/>
  <c r="C9761" i="23"/>
  <c r="A9761" i="23"/>
  <c r="C9760" i="23"/>
  <c r="A9760" i="23"/>
  <c r="C9759" i="23"/>
  <c r="A9759" i="23"/>
  <c r="C9758" i="23"/>
  <c r="A9758" i="23"/>
  <c r="C9757" i="23"/>
  <c r="A9757" i="23"/>
  <c r="C9756" i="23"/>
  <c r="A9756" i="23"/>
  <c r="C9755" i="23"/>
  <c r="A9755" i="23"/>
  <c r="C9754" i="23"/>
  <c r="A9754" i="23"/>
  <c r="C9753" i="23"/>
  <c r="A9753" i="23"/>
  <c r="C9752" i="23"/>
  <c r="A9752" i="23"/>
  <c r="C9751" i="23"/>
  <c r="A9751" i="23"/>
  <c r="C9750" i="23"/>
  <c r="A9750" i="23"/>
  <c r="C10127" i="23"/>
  <c r="A10127" i="23"/>
  <c r="C10126" i="23"/>
  <c r="A10126" i="23"/>
  <c r="C10125" i="23"/>
  <c r="A10125" i="23"/>
  <c r="C10124" i="23"/>
  <c r="A10124" i="23"/>
  <c r="C10123" i="23"/>
  <c r="A10123" i="23"/>
  <c r="C10122" i="23"/>
  <c r="A10122" i="23"/>
  <c r="C10121" i="23"/>
  <c r="A10121" i="23"/>
  <c r="C10120" i="23"/>
  <c r="A10120" i="23"/>
  <c r="C10119" i="23"/>
  <c r="A10119" i="23"/>
  <c r="C10118" i="23"/>
  <c r="A10118" i="23"/>
  <c r="C10117" i="23"/>
  <c r="A10117" i="23"/>
  <c r="C10116" i="23"/>
  <c r="A10116" i="23"/>
  <c r="C10115" i="23"/>
  <c r="A10115" i="23"/>
  <c r="C10114" i="23"/>
  <c r="A10114" i="23"/>
  <c r="C10113" i="23"/>
  <c r="A10113" i="23"/>
  <c r="C10112" i="23"/>
  <c r="A10112" i="23"/>
  <c r="C10111" i="23"/>
  <c r="A10111" i="23"/>
  <c r="C10110" i="23"/>
  <c r="A10110" i="23"/>
  <c r="C10109" i="23"/>
  <c r="A10109" i="23"/>
  <c r="C10108" i="23"/>
  <c r="A10108" i="23"/>
  <c r="C10107" i="23"/>
  <c r="A10107" i="23"/>
  <c r="C10106" i="23"/>
  <c r="A10106" i="23"/>
  <c r="C10105" i="23"/>
  <c r="A10105" i="23"/>
  <c r="C10104" i="23"/>
  <c r="A10104" i="23"/>
  <c r="C10103" i="23"/>
  <c r="A10103" i="23"/>
  <c r="C10102" i="23"/>
  <c r="A10102" i="23"/>
  <c r="C10101" i="23"/>
  <c r="A10101" i="23"/>
  <c r="C10181" i="23"/>
  <c r="A10181" i="23"/>
  <c r="C10180" i="23"/>
  <c r="A10180" i="23"/>
  <c r="C10179" i="23"/>
  <c r="A10179" i="23"/>
  <c r="C10178" i="23"/>
  <c r="A10178" i="23"/>
  <c r="C10177" i="23"/>
  <c r="A10177" i="23"/>
  <c r="C10176" i="23"/>
  <c r="A10176" i="23"/>
  <c r="C10175" i="23"/>
  <c r="A10175" i="23"/>
  <c r="C10174" i="23"/>
  <c r="A10174" i="23"/>
  <c r="C10173" i="23"/>
  <c r="A10173" i="23"/>
  <c r="C10172" i="23"/>
  <c r="A10172" i="23"/>
  <c r="C10171" i="23"/>
  <c r="A10171" i="23"/>
  <c r="C10170" i="23"/>
  <c r="A10170" i="23"/>
  <c r="C10169" i="23"/>
  <c r="A10169" i="23"/>
  <c r="C10168" i="23"/>
  <c r="A10168" i="23"/>
  <c r="C10167" i="23"/>
  <c r="A10167" i="23"/>
  <c r="C10166" i="23"/>
  <c r="A10166" i="23"/>
  <c r="C10165" i="23"/>
  <c r="A10165" i="23"/>
  <c r="C10164" i="23"/>
  <c r="A10164" i="23"/>
  <c r="C10163" i="23"/>
  <c r="A10163" i="23"/>
  <c r="C10162" i="23"/>
  <c r="A10162" i="23"/>
  <c r="C10161" i="23"/>
  <c r="A10161" i="23"/>
  <c r="C10160" i="23"/>
  <c r="A10160" i="23"/>
  <c r="C10159" i="23"/>
  <c r="A10159" i="23"/>
  <c r="C10158" i="23"/>
  <c r="A10158" i="23"/>
  <c r="C10157" i="23"/>
  <c r="A10157" i="23"/>
  <c r="C10156" i="23"/>
  <c r="A10156" i="23"/>
  <c r="C10155" i="23"/>
  <c r="A10155" i="23"/>
  <c r="C9317" i="23"/>
  <c r="A9317" i="23"/>
  <c r="C9316" i="23"/>
  <c r="A9316" i="23"/>
  <c r="C9315" i="23"/>
  <c r="A9315" i="23"/>
  <c r="C9314" i="23"/>
  <c r="A9314" i="23"/>
  <c r="C9313" i="23"/>
  <c r="A9313" i="23"/>
  <c r="C9312" i="23"/>
  <c r="A9312" i="23"/>
  <c r="C9311" i="23"/>
  <c r="A9311" i="23"/>
  <c r="C9310" i="23"/>
  <c r="A9310" i="23"/>
  <c r="C9309" i="23"/>
  <c r="A9309" i="23"/>
  <c r="C9308" i="23"/>
  <c r="A9308" i="23"/>
  <c r="C9307" i="23"/>
  <c r="A9307" i="23"/>
  <c r="C9306" i="23"/>
  <c r="A9306" i="23"/>
  <c r="C9305" i="23"/>
  <c r="A9305" i="23"/>
  <c r="C9304" i="23"/>
  <c r="A9304" i="23"/>
  <c r="C9303" i="23"/>
  <c r="A9303" i="23"/>
  <c r="C9302" i="23"/>
  <c r="A9302" i="23"/>
  <c r="C9301" i="23"/>
  <c r="A9301" i="23"/>
  <c r="C9300" i="23"/>
  <c r="A9300" i="23"/>
  <c r="C9299" i="23"/>
  <c r="A9299" i="23"/>
  <c r="C9298" i="23"/>
  <c r="A9298" i="23"/>
  <c r="C9297" i="23"/>
  <c r="A9297" i="23"/>
  <c r="C9296" i="23"/>
  <c r="A9296" i="23"/>
  <c r="C9295" i="23"/>
  <c r="A9295" i="23"/>
  <c r="C9294" i="23"/>
  <c r="A9294" i="23"/>
  <c r="C9293" i="23"/>
  <c r="A9293" i="23"/>
  <c r="C9292" i="23"/>
  <c r="A9292" i="23"/>
  <c r="C9291" i="23"/>
  <c r="A9291" i="23"/>
  <c r="C10019" i="23"/>
  <c r="A10019" i="23"/>
  <c r="C10018" i="23"/>
  <c r="A10018" i="23"/>
  <c r="C10017" i="23"/>
  <c r="A10017" i="23"/>
  <c r="C10016" i="23"/>
  <c r="A10016" i="23"/>
  <c r="C10015" i="23"/>
  <c r="A10015" i="23"/>
  <c r="C10014" i="23"/>
  <c r="A10014" i="23"/>
  <c r="C10013" i="23"/>
  <c r="A10013" i="23"/>
  <c r="C10012" i="23"/>
  <c r="A10012" i="23"/>
  <c r="C10011" i="23"/>
  <c r="A10011" i="23"/>
  <c r="C10010" i="23"/>
  <c r="A10010" i="23"/>
  <c r="C10009" i="23"/>
  <c r="A10009" i="23"/>
  <c r="C10008" i="23"/>
  <c r="A10008" i="23"/>
  <c r="C10007" i="23"/>
  <c r="A10007" i="23"/>
  <c r="C10006" i="23"/>
  <c r="A10006" i="23"/>
  <c r="C10005" i="23"/>
  <c r="A10005" i="23"/>
  <c r="C10004" i="23"/>
  <c r="A10004" i="23"/>
  <c r="C10003" i="23"/>
  <c r="A10003" i="23"/>
  <c r="C10002" i="23"/>
  <c r="A10002" i="23"/>
  <c r="C10001" i="23"/>
  <c r="A10001" i="23"/>
  <c r="C10000" i="23"/>
  <c r="A10000" i="23"/>
  <c r="C9999" i="23"/>
  <c r="A9999" i="23"/>
  <c r="C9998" i="23"/>
  <c r="A9998" i="23"/>
  <c r="C9997" i="23"/>
  <c r="A9997" i="23"/>
  <c r="C9996" i="23"/>
  <c r="A9996" i="23"/>
  <c r="C9995" i="23"/>
  <c r="A9995" i="23"/>
  <c r="C9994" i="23"/>
  <c r="A9994" i="23"/>
  <c r="C9993" i="23"/>
  <c r="A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A8372" i="23"/>
  <c r="C8371" i="23"/>
  <c r="A8371" i="23"/>
  <c r="C8370" i="23"/>
  <c r="A8370" i="23"/>
  <c r="C8369" i="23"/>
  <c r="A8369" i="23"/>
  <c r="C8368" i="23"/>
  <c r="A8368" i="23"/>
  <c r="C8367" i="23"/>
  <c r="A8367" i="23"/>
  <c r="C8366" i="23"/>
  <c r="A8366" i="23"/>
  <c r="C8365" i="23"/>
  <c r="A8365" i="23"/>
  <c r="C8364" i="23"/>
  <c r="A8364" i="23"/>
  <c r="C8363" i="23"/>
  <c r="A8363" i="23"/>
  <c r="C8362" i="23"/>
  <c r="A8362" i="23"/>
  <c r="C8361" i="23"/>
  <c r="A8361" i="23"/>
  <c r="C8360" i="23"/>
  <c r="A8360" i="23"/>
  <c r="C8359" i="23"/>
  <c r="A8359" i="23"/>
  <c r="C8358" i="23"/>
  <c r="A8358" i="23"/>
  <c r="C8357" i="23"/>
  <c r="A8357" i="23"/>
  <c r="C8356" i="23"/>
  <c r="A8356" i="23"/>
  <c r="C8355" i="23"/>
  <c r="A8355" i="23"/>
  <c r="C8354" i="23"/>
  <c r="A8354" i="23"/>
  <c r="C8353" i="23"/>
  <c r="A8353" i="23"/>
  <c r="C8352" i="23"/>
  <c r="A8352" i="23"/>
  <c r="C8351" i="23"/>
  <c r="A8351" i="23"/>
  <c r="C8350" i="23"/>
  <c r="A8350" i="23"/>
  <c r="C8349" i="23"/>
  <c r="A8349" i="23"/>
  <c r="C8348" i="23"/>
  <c r="A8348" i="23"/>
  <c r="C8347" i="23"/>
  <c r="A8347" i="23"/>
  <c r="C8346" i="23"/>
  <c r="A8346" i="23"/>
  <c r="C8399" i="23"/>
  <c r="A8399" i="23"/>
  <c r="C8398" i="23"/>
  <c r="A8398" i="23"/>
  <c r="C8397" i="23"/>
  <c r="A8397" i="23"/>
  <c r="C8396" i="23"/>
  <c r="A8396" i="23"/>
  <c r="C8395" i="23"/>
  <c r="A8395" i="23"/>
  <c r="C8394" i="23"/>
  <c r="A8394" i="23"/>
  <c r="C8393" i="23"/>
  <c r="A8393" i="23"/>
  <c r="C8392" i="23"/>
  <c r="A8392" i="23"/>
  <c r="C8391" i="23"/>
  <c r="A8391" i="23"/>
  <c r="C8390" i="23"/>
  <c r="A8390" i="23"/>
  <c r="C8389" i="23"/>
  <c r="A8389" i="23"/>
  <c r="C8388" i="23"/>
  <c r="A8388" i="23"/>
  <c r="C8387" i="23"/>
  <c r="A8387" i="23"/>
  <c r="C8386" i="23"/>
  <c r="A8386" i="23"/>
  <c r="C8385" i="23"/>
  <c r="A8385" i="23"/>
  <c r="C8384" i="23"/>
  <c r="A8384" i="23"/>
  <c r="C8383" i="23"/>
  <c r="A8383" i="23"/>
  <c r="C8382" i="23"/>
  <c r="A8382" i="23"/>
  <c r="C8381" i="23"/>
  <c r="A8381" i="23"/>
  <c r="C8380" i="23"/>
  <c r="A8380" i="23"/>
  <c r="C8379" i="23"/>
  <c r="A8379" i="23"/>
  <c r="C8378" i="23"/>
  <c r="A8378" i="23"/>
  <c r="C8377" i="23"/>
  <c r="A8377" i="23"/>
  <c r="C8376" i="23"/>
  <c r="A8376" i="23"/>
  <c r="C8375" i="23"/>
  <c r="A8375" i="23"/>
  <c r="C8374" i="23"/>
  <c r="A8374" i="23"/>
  <c r="C8373" i="23"/>
  <c r="A8373" i="23"/>
  <c r="C8426" i="23"/>
  <c r="A8426" i="23"/>
  <c r="C8425" i="23"/>
  <c r="A8425" i="23"/>
  <c r="C8424" i="23"/>
  <c r="A8424" i="23"/>
  <c r="C8423" i="23"/>
  <c r="A8423" i="23"/>
  <c r="C8422" i="23"/>
  <c r="A8422" i="23"/>
  <c r="C8421" i="23"/>
  <c r="A8421" i="23"/>
  <c r="C8420" i="23"/>
  <c r="A8420" i="23"/>
  <c r="C8419" i="23"/>
  <c r="A8419" i="23"/>
  <c r="C8418" i="23"/>
  <c r="A8418" i="23"/>
  <c r="C8417" i="23"/>
  <c r="A8417" i="23"/>
  <c r="C8416" i="23"/>
  <c r="A8416" i="23"/>
  <c r="C8415" i="23"/>
  <c r="A8415" i="23"/>
  <c r="C8414" i="23"/>
  <c r="A8414" i="23"/>
  <c r="C8413" i="23"/>
  <c r="A8413" i="23"/>
  <c r="C8412" i="23"/>
  <c r="A8412" i="23"/>
  <c r="C8411" i="23"/>
  <c r="A8411" i="23"/>
  <c r="C8410" i="23"/>
  <c r="A8410" i="23"/>
  <c r="C8409" i="23"/>
  <c r="A8409" i="23"/>
  <c r="C8408" i="23"/>
  <c r="A8408" i="23"/>
  <c r="C8407" i="23"/>
  <c r="A8407" i="23"/>
  <c r="C8406" i="23"/>
  <c r="A8406" i="23"/>
  <c r="C8405" i="23"/>
  <c r="A8405" i="23"/>
  <c r="C8404" i="23"/>
  <c r="A8404" i="23"/>
  <c r="C8403" i="23"/>
  <c r="A8403" i="23"/>
  <c r="C8402" i="23"/>
  <c r="A8402" i="23"/>
  <c r="C8401" i="23"/>
  <c r="A8401" i="23"/>
  <c r="C8400" i="23"/>
  <c r="A8400" i="23"/>
  <c r="C8453" i="23"/>
  <c r="A8453" i="23"/>
  <c r="C8452" i="23"/>
  <c r="A8452" i="23"/>
  <c r="C8451" i="23"/>
  <c r="A8451" i="23"/>
  <c r="C8450" i="23"/>
  <c r="A8450" i="23"/>
  <c r="C8449" i="23"/>
  <c r="A8449" i="23"/>
  <c r="C8448" i="23"/>
  <c r="A8448" i="23"/>
  <c r="C8447" i="23"/>
  <c r="A8447" i="23"/>
  <c r="C8446" i="23"/>
  <c r="A8446" i="23"/>
  <c r="C8445" i="23"/>
  <c r="A8445" i="23"/>
  <c r="C8444" i="23"/>
  <c r="A8444" i="23"/>
  <c r="C8443" i="23"/>
  <c r="A8443" i="23"/>
  <c r="C8442" i="23"/>
  <c r="A8442" i="23"/>
  <c r="C8441" i="23"/>
  <c r="A8441" i="23"/>
  <c r="C8440" i="23"/>
  <c r="A8440" i="23"/>
  <c r="C8439" i="23"/>
  <c r="A8439" i="23"/>
  <c r="C8438" i="23"/>
  <c r="A8438" i="23"/>
  <c r="C8437" i="23"/>
  <c r="A8437" i="23"/>
  <c r="C8436" i="23"/>
  <c r="A8436" i="23"/>
  <c r="C8435" i="23"/>
  <c r="A8435" i="23"/>
  <c r="C8434" i="23"/>
  <c r="A8434" i="23"/>
  <c r="C8433" i="23"/>
  <c r="A8433" i="23"/>
  <c r="C8432" i="23"/>
  <c r="A8432" i="23"/>
  <c r="C8431" i="23"/>
  <c r="A8431" i="23"/>
  <c r="C8430" i="23"/>
  <c r="A8430" i="23"/>
  <c r="C8429" i="23"/>
  <c r="A8429" i="23"/>
  <c r="C8428" i="23"/>
  <c r="A8428" i="23"/>
  <c r="C8427" i="23"/>
  <c r="A8427" i="23"/>
  <c r="C8480" i="23"/>
  <c r="A8480" i="23"/>
  <c r="C8479" i="23"/>
  <c r="A8479" i="23"/>
  <c r="C8478" i="23"/>
  <c r="A8478" i="23"/>
  <c r="C8477" i="23"/>
  <c r="A8477" i="23"/>
  <c r="C8476" i="23"/>
  <c r="A8476" i="23"/>
  <c r="C8475" i="23"/>
  <c r="A8475" i="23"/>
  <c r="C8474" i="23"/>
  <c r="A8474" i="23"/>
  <c r="C8473" i="23"/>
  <c r="A8473" i="23"/>
  <c r="C8472" i="23"/>
  <c r="A8472" i="23"/>
  <c r="C8471" i="23"/>
  <c r="A8471" i="23"/>
  <c r="C8470" i="23"/>
  <c r="A8470" i="23"/>
  <c r="C8469" i="23"/>
  <c r="A8469" i="23"/>
  <c r="C8468" i="23"/>
  <c r="A8468" i="23"/>
  <c r="C8467" i="23"/>
  <c r="A8467" i="23"/>
  <c r="C8466" i="23"/>
  <c r="A8466" i="23"/>
  <c r="C8465" i="23"/>
  <c r="A8465" i="23"/>
  <c r="C8464" i="23"/>
  <c r="A8464" i="23"/>
  <c r="C8463" i="23"/>
  <c r="A8463" i="23"/>
  <c r="C8462" i="23"/>
  <c r="A8462" i="23"/>
  <c r="C8461" i="23"/>
  <c r="A8461" i="23"/>
  <c r="C8460" i="23"/>
  <c r="A8460" i="23"/>
  <c r="C8459" i="23"/>
  <c r="A8459" i="23"/>
  <c r="C8458" i="23"/>
  <c r="A8458" i="23"/>
  <c r="C8457" i="23"/>
  <c r="A8457" i="23"/>
  <c r="C8456" i="23"/>
  <c r="A8456" i="23"/>
  <c r="C8455" i="23"/>
  <c r="A8455" i="23"/>
  <c r="C8454" i="23"/>
  <c r="A8454" i="23"/>
  <c r="C8507" i="23"/>
  <c r="A8507" i="23"/>
  <c r="C8506" i="23"/>
  <c r="A8506" i="23"/>
  <c r="C8505" i="23"/>
  <c r="A8505" i="23"/>
  <c r="C8504" i="23"/>
  <c r="A8504" i="23"/>
  <c r="C8503" i="23"/>
  <c r="A8503" i="23"/>
  <c r="C8502" i="23"/>
  <c r="A8502" i="23"/>
  <c r="C8501" i="23"/>
  <c r="A8501" i="23"/>
  <c r="C8500" i="23"/>
  <c r="A8500" i="23"/>
  <c r="C8499" i="23"/>
  <c r="A8499" i="23"/>
  <c r="C8498" i="23"/>
  <c r="A8498" i="23"/>
  <c r="C8497" i="23"/>
  <c r="A8497" i="23"/>
  <c r="C8496" i="23"/>
  <c r="A8496" i="23"/>
  <c r="C8495" i="23"/>
  <c r="A8495" i="23"/>
  <c r="C8494" i="23"/>
  <c r="A8494" i="23"/>
  <c r="C8493" i="23"/>
  <c r="A8493" i="23"/>
  <c r="C8492" i="23"/>
  <c r="A8492" i="23"/>
  <c r="C8491" i="23"/>
  <c r="A8491" i="23"/>
  <c r="C8490" i="23"/>
  <c r="A8490" i="23"/>
  <c r="C8489" i="23"/>
  <c r="A8489" i="23"/>
  <c r="C8488" i="23"/>
  <c r="A8488" i="23"/>
  <c r="C8487" i="23"/>
  <c r="A8487" i="23"/>
  <c r="C8486" i="23"/>
  <c r="A8486" i="23"/>
  <c r="C8485" i="23"/>
  <c r="A8485" i="23"/>
  <c r="C8484" i="23"/>
  <c r="A8484" i="23"/>
  <c r="C8483" i="23"/>
  <c r="A8483" i="23"/>
  <c r="C8482" i="23"/>
  <c r="A8482" i="23"/>
  <c r="C8481" i="23"/>
  <c r="A8481" i="23"/>
  <c r="C8534" i="23"/>
  <c r="A8534" i="23"/>
  <c r="C8533" i="23"/>
  <c r="A8533" i="23"/>
  <c r="C8532" i="23"/>
  <c r="A8532" i="23"/>
  <c r="C8531" i="23"/>
  <c r="A8531" i="23"/>
  <c r="C8530" i="23"/>
  <c r="A8530" i="23"/>
  <c r="C8529" i="23"/>
  <c r="A8529" i="23"/>
  <c r="C8528" i="23"/>
  <c r="A8528" i="23"/>
  <c r="C8527" i="23"/>
  <c r="A8527" i="23"/>
  <c r="C8526" i="23"/>
  <c r="A8526" i="23"/>
  <c r="C8525" i="23"/>
  <c r="A8525" i="23"/>
  <c r="C8524" i="23"/>
  <c r="A8524" i="23"/>
  <c r="C8523" i="23"/>
  <c r="A8523" i="23"/>
  <c r="C8522" i="23"/>
  <c r="A8522" i="23"/>
  <c r="C8521" i="23"/>
  <c r="A8521" i="23"/>
  <c r="C8520" i="23"/>
  <c r="A8520" i="23"/>
  <c r="C8519" i="23"/>
  <c r="A8519" i="23"/>
  <c r="C8518" i="23"/>
  <c r="A8518" i="23"/>
  <c r="C8517" i="23"/>
  <c r="A8517" i="23"/>
  <c r="C8516" i="23"/>
  <c r="A8516" i="23"/>
  <c r="C8515" i="23"/>
  <c r="A8515" i="23"/>
  <c r="C8514" i="23"/>
  <c r="A8514" i="23"/>
  <c r="C8513" i="23"/>
  <c r="A8513" i="23"/>
  <c r="C8512" i="23"/>
  <c r="A8512" i="23"/>
  <c r="C8511" i="23"/>
  <c r="A8511" i="23"/>
  <c r="C8510" i="23"/>
  <c r="A8510" i="23"/>
  <c r="C8509" i="23"/>
  <c r="A8509" i="23"/>
  <c r="C8508" i="23"/>
  <c r="A8508" i="23"/>
  <c r="C8561" i="23"/>
  <c r="A8561" i="23"/>
  <c r="C8560" i="23"/>
  <c r="A8560" i="23"/>
  <c r="C8559" i="23"/>
  <c r="A8559" i="23"/>
  <c r="C8558" i="23"/>
  <c r="A8558" i="23"/>
  <c r="C8557" i="23"/>
  <c r="A8557" i="23"/>
  <c r="C8556" i="23"/>
  <c r="A8556" i="23"/>
  <c r="C8555" i="23"/>
  <c r="A8555" i="23"/>
  <c r="C8554" i="23"/>
  <c r="A8554" i="23"/>
  <c r="C8553" i="23"/>
  <c r="A8553" i="23"/>
  <c r="C8552" i="23"/>
  <c r="A8552" i="23"/>
  <c r="C8551" i="23"/>
  <c r="A8551" i="23"/>
  <c r="C8550" i="23"/>
  <c r="A8550" i="23"/>
  <c r="C8549" i="23"/>
  <c r="A8549" i="23"/>
  <c r="C8548" i="23"/>
  <c r="A8548" i="23"/>
  <c r="C8547" i="23"/>
  <c r="A8547" i="23"/>
  <c r="C8546" i="23"/>
  <c r="A8546" i="23"/>
  <c r="C8545" i="23"/>
  <c r="A8545" i="23"/>
  <c r="C8544" i="23"/>
  <c r="A8544" i="23"/>
  <c r="C8543" i="23"/>
  <c r="A8543" i="23"/>
  <c r="C8542" i="23"/>
  <c r="A8542" i="23"/>
  <c r="C8541" i="23"/>
  <c r="A8541" i="23"/>
  <c r="C8540" i="23"/>
  <c r="A8540" i="23"/>
  <c r="C8539" i="23"/>
  <c r="A8539" i="23"/>
  <c r="C8538" i="23"/>
  <c r="A8538" i="23"/>
  <c r="C8537" i="23"/>
  <c r="A8537" i="23"/>
  <c r="C8536" i="23"/>
  <c r="A8536" i="23"/>
  <c r="C8535" i="23"/>
  <c r="A8535" i="23"/>
  <c r="C8588" i="23"/>
  <c r="A8588" i="23"/>
  <c r="C8587" i="23"/>
  <c r="A8587" i="23"/>
  <c r="C8586" i="23"/>
  <c r="A8586" i="23"/>
  <c r="C8585" i="23"/>
  <c r="A8585" i="23"/>
  <c r="C8584" i="23"/>
  <c r="A8584" i="23"/>
  <c r="C8583" i="23"/>
  <c r="A8583" i="23"/>
  <c r="C8582" i="23"/>
  <c r="A8582" i="23"/>
  <c r="C8581" i="23"/>
  <c r="A8581" i="23"/>
  <c r="C8580" i="23"/>
  <c r="A8580" i="23"/>
  <c r="C8579" i="23"/>
  <c r="A8579" i="23"/>
  <c r="C8578" i="23"/>
  <c r="A8578" i="23"/>
  <c r="C8577" i="23"/>
  <c r="A8577" i="23"/>
  <c r="C8576" i="23"/>
  <c r="A8576" i="23"/>
  <c r="C8575" i="23"/>
  <c r="A8575" i="23"/>
  <c r="C8574" i="23"/>
  <c r="A8574" i="23"/>
  <c r="C8573" i="23"/>
  <c r="A8573" i="23"/>
  <c r="C8572" i="23"/>
  <c r="A8572" i="23"/>
  <c r="C8571" i="23"/>
  <c r="A8571" i="23"/>
  <c r="C8570" i="23"/>
  <c r="A8570" i="23"/>
  <c r="C8569" i="23"/>
  <c r="A8569" i="23"/>
  <c r="C8568" i="23"/>
  <c r="A8568" i="23"/>
  <c r="C8567" i="23"/>
  <c r="A8567" i="23"/>
  <c r="C8566" i="23"/>
  <c r="A8566" i="23"/>
  <c r="C8565" i="23"/>
  <c r="A8565" i="23"/>
  <c r="C8564" i="23"/>
  <c r="A8564" i="23"/>
  <c r="C8563" i="23"/>
  <c r="A8563" i="23"/>
  <c r="C8562" i="23"/>
  <c r="A8562" i="23"/>
  <c r="C8345" i="23"/>
  <c r="A8345" i="23"/>
  <c r="C8344" i="23"/>
  <c r="A8344" i="23"/>
  <c r="C8343" i="23"/>
  <c r="A8343" i="23"/>
  <c r="C8342" i="23"/>
  <c r="A8342" i="23"/>
  <c r="C8341" i="23"/>
  <c r="A8341" i="23"/>
  <c r="C8340" i="23"/>
  <c r="A8340" i="23"/>
  <c r="C8339" i="23"/>
  <c r="A8339" i="23"/>
  <c r="C8338" i="23"/>
  <c r="A8338" i="23"/>
  <c r="C8337" i="23"/>
  <c r="A8337" i="23"/>
  <c r="C8336" i="23"/>
  <c r="A8336" i="23"/>
  <c r="C8335" i="23"/>
  <c r="A8335" i="23"/>
  <c r="C8334" i="23"/>
  <c r="A8334" i="23"/>
  <c r="C8333" i="23"/>
  <c r="A8333" i="23"/>
  <c r="C8332" i="23"/>
  <c r="A8332" i="23"/>
  <c r="C8331" i="23"/>
  <c r="A8331" i="23"/>
  <c r="C8330" i="23"/>
  <c r="A8330" i="23"/>
  <c r="C8329" i="23"/>
  <c r="A8329" i="23"/>
  <c r="C8328" i="23"/>
  <c r="A8328" i="23"/>
  <c r="C8327" i="23"/>
  <c r="A8327" i="23"/>
  <c r="C8326" i="23"/>
  <c r="A8326" i="23"/>
  <c r="C8325" i="23"/>
  <c r="A8325" i="23"/>
  <c r="C8324" i="23"/>
  <c r="A8324" i="23"/>
  <c r="C8323" i="23"/>
  <c r="A8323" i="23"/>
  <c r="C8322" i="23"/>
  <c r="A8322" i="23"/>
  <c r="C8321" i="23"/>
  <c r="A8321" i="23"/>
  <c r="C8320" i="23"/>
  <c r="A8320" i="23"/>
  <c r="C8319" i="23"/>
  <c r="A8319" i="23"/>
  <c r="C8696" i="23"/>
  <c r="A8696" i="23"/>
  <c r="C8695" i="23"/>
  <c r="A8695" i="23"/>
  <c r="C8694" i="23"/>
  <c r="A8694" i="23"/>
  <c r="C8693" i="23"/>
  <c r="A8693" i="23"/>
  <c r="C8692" i="23"/>
  <c r="A8692" i="23"/>
  <c r="C8691" i="23"/>
  <c r="A8691" i="23"/>
  <c r="C8690" i="23"/>
  <c r="A8690" i="23"/>
  <c r="C8689" i="23"/>
  <c r="A8689" i="23"/>
  <c r="C8688" i="23"/>
  <c r="A8688" i="23"/>
  <c r="C8687" i="23"/>
  <c r="A8687" i="23"/>
  <c r="C8686" i="23"/>
  <c r="A8686" i="23"/>
  <c r="C8685" i="23"/>
  <c r="A8685" i="23"/>
  <c r="C8684" i="23"/>
  <c r="A8684" i="23"/>
  <c r="C8683" i="23"/>
  <c r="A8683" i="23"/>
  <c r="C8682" i="23"/>
  <c r="A8682" i="23"/>
  <c r="C8681" i="23"/>
  <c r="A8681" i="23"/>
  <c r="C8680" i="23"/>
  <c r="A8680" i="23"/>
  <c r="C8679" i="23"/>
  <c r="A8679" i="23"/>
  <c r="C8678" i="23"/>
  <c r="A8678" i="23"/>
  <c r="C8677" i="23"/>
  <c r="A8677" i="23"/>
  <c r="C8676" i="23"/>
  <c r="A8676" i="23"/>
  <c r="C8675" i="23"/>
  <c r="A8675" i="23"/>
  <c r="C8674" i="23"/>
  <c r="A8674" i="23"/>
  <c r="C8673" i="23"/>
  <c r="A8673" i="23"/>
  <c r="C8672" i="23"/>
  <c r="A8672" i="23"/>
  <c r="C8671" i="23"/>
  <c r="A8671" i="23"/>
  <c r="C8670" i="23"/>
  <c r="A8670" i="23"/>
  <c r="C9047" i="23"/>
  <c r="A9047" i="23"/>
  <c r="C9046" i="23"/>
  <c r="A9046" i="23"/>
  <c r="C9045" i="23"/>
  <c r="A9045" i="23"/>
  <c r="C9044" i="23"/>
  <c r="A9044" i="23"/>
  <c r="C9043" i="23"/>
  <c r="A9043" i="23"/>
  <c r="C9042" i="23"/>
  <c r="A9042" i="23"/>
  <c r="C9041" i="23"/>
  <c r="A9041" i="23"/>
  <c r="C9040" i="23"/>
  <c r="A9040" i="23"/>
  <c r="C9039" i="23"/>
  <c r="A9039" i="23"/>
  <c r="C9038" i="23"/>
  <c r="A9038" i="23"/>
  <c r="C9037" i="23"/>
  <c r="A9037" i="23"/>
  <c r="C9036" i="23"/>
  <c r="A9036" i="23"/>
  <c r="C9035" i="23"/>
  <c r="A9035" i="23"/>
  <c r="C9034" i="23"/>
  <c r="A9034" i="23"/>
  <c r="C9033" i="23"/>
  <c r="A9033" i="23"/>
  <c r="C9032" i="23"/>
  <c r="A9032" i="23"/>
  <c r="C9031" i="23"/>
  <c r="A9031" i="23"/>
  <c r="C9030" i="23"/>
  <c r="A9030" i="23"/>
  <c r="C9029" i="23"/>
  <c r="A9029" i="23"/>
  <c r="C9028" i="23"/>
  <c r="A9028" i="23"/>
  <c r="C9027" i="23"/>
  <c r="A9027" i="23"/>
  <c r="C9026" i="23"/>
  <c r="A9026" i="23"/>
  <c r="C9025" i="23"/>
  <c r="A9025" i="23"/>
  <c r="C9024" i="23"/>
  <c r="A9024" i="23"/>
  <c r="C9023" i="23"/>
  <c r="A9023" i="23"/>
  <c r="C9022" i="23"/>
  <c r="A9022" i="23"/>
  <c r="C9021" i="23"/>
  <c r="A9021" i="23"/>
  <c r="C8723" i="23"/>
  <c r="A8723" i="23"/>
  <c r="C8722" i="23"/>
  <c r="A8722" i="23"/>
  <c r="C8721" i="23"/>
  <c r="A8721" i="23"/>
  <c r="C8720" i="23"/>
  <c r="A8720" i="23"/>
  <c r="C8719" i="23"/>
  <c r="A8719" i="23"/>
  <c r="C8718" i="23"/>
  <c r="A8718" i="23"/>
  <c r="C8717" i="23"/>
  <c r="A8717" i="23"/>
  <c r="C8716" i="23"/>
  <c r="A8716" i="23"/>
  <c r="C8715" i="23"/>
  <c r="A8715" i="23"/>
  <c r="C8714" i="23"/>
  <c r="A8714" i="23"/>
  <c r="C8713" i="23"/>
  <c r="A8713" i="23"/>
  <c r="C8712" i="23"/>
  <c r="A8712" i="23"/>
  <c r="C8711" i="23"/>
  <c r="A8711" i="23"/>
  <c r="C8710" i="23"/>
  <c r="A8710" i="23"/>
  <c r="C8709" i="23"/>
  <c r="A8709" i="23"/>
  <c r="C8708" i="23"/>
  <c r="A8708" i="23"/>
  <c r="C8707" i="23"/>
  <c r="A8707" i="23"/>
  <c r="C8706" i="23"/>
  <c r="A8706" i="23"/>
  <c r="C8705" i="23"/>
  <c r="A8705" i="23"/>
  <c r="C8704" i="23"/>
  <c r="A8704" i="23"/>
  <c r="C8703" i="23"/>
  <c r="A8703" i="23"/>
  <c r="C8702" i="23"/>
  <c r="A8702" i="23"/>
  <c r="C8701" i="23"/>
  <c r="A8701" i="23"/>
  <c r="C8700" i="23"/>
  <c r="A8700" i="23"/>
  <c r="C8699" i="23"/>
  <c r="A8699" i="23"/>
  <c r="C8698" i="23"/>
  <c r="A8698" i="23"/>
  <c r="C8697" i="23"/>
  <c r="A8697" i="23"/>
  <c r="C9182" i="23"/>
  <c r="A9182" i="23"/>
  <c r="C9181" i="23"/>
  <c r="A9181" i="23"/>
  <c r="C9180" i="23"/>
  <c r="A9180" i="23"/>
  <c r="C9179" i="23"/>
  <c r="A9179" i="23"/>
  <c r="C9178" i="23"/>
  <c r="A9178" i="23"/>
  <c r="C9177" i="23"/>
  <c r="A9177" i="23"/>
  <c r="C9176" i="23"/>
  <c r="A9176" i="23"/>
  <c r="C9175" i="23"/>
  <c r="A9175" i="23"/>
  <c r="C9174" i="23"/>
  <c r="A9174" i="23"/>
  <c r="C9173" i="23"/>
  <c r="A9173" i="23"/>
  <c r="C9172" i="23"/>
  <c r="A9172" i="23"/>
  <c r="C9171" i="23"/>
  <c r="A9171" i="23"/>
  <c r="C9170" i="23"/>
  <c r="A9170" i="23"/>
  <c r="C9169" i="23"/>
  <c r="A9169" i="23"/>
  <c r="C9168" i="23"/>
  <c r="A9168" i="23"/>
  <c r="C9167" i="23"/>
  <c r="A9167" i="23"/>
  <c r="C9166" i="23"/>
  <c r="A9166" i="23"/>
  <c r="C9165" i="23"/>
  <c r="A9165" i="23"/>
  <c r="C9164" i="23"/>
  <c r="A9164" i="23"/>
  <c r="C9163" i="23"/>
  <c r="A9163" i="23"/>
  <c r="C9162" i="23"/>
  <c r="A9162" i="23"/>
  <c r="C9161" i="23"/>
  <c r="A9161" i="23"/>
  <c r="C9160" i="23"/>
  <c r="A9160" i="23"/>
  <c r="C9159" i="23"/>
  <c r="A9159" i="23"/>
  <c r="C9158" i="23"/>
  <c r="A9158" i="23"/>
  <c r="C9157" i="23"/>
  <c r="A9157" i="23"/>
  <c r="C9156" i="23"/>
  <c r="A9156" i="23"/>
  <c r="C8318" i="23"/>
  <c r="A8318" i="23"/>
  <c r="C8317" i="23"/>
  <c r="A8317" i="23"/>
  <c r="C8316" i="23"/>
  <c r="A8316" i="23"/>
  <c r="C8315" i="23"/>
  <c r="A8315" i="23"/>
  <c r="C8314" i="23"/>
  <c r="A8314" i="23"/>
  <c r="C8313" i="23"/>
  <c r="A8313" i="23"/>
  <c r="C8312" i="23"/>
  <c r="A8312" i="23"/>
  <c r="C8311" i="23"/>
  <c r="A8311" i="23"/>
  <c r="C8310" i="23"/>
  <c r="A8310" i="23"/>
  <c r="C8309" i="23"/>
  <c r="A8309" i="23"/>
  <c r="C8308" i="23"/>
  <c r="A8308" i="23"/>
  <c r="C8307" i="23"/>
  <c r="A8307" i="23"/>
  <c r="C8306" i="23"/>
  <c r="A8306" i="23"/>
  <c r="C8305" i="23"/>
  <c r="A8305" i="23"/>
  <c r="C8304" i="23"/>
  <c r="A8304" i="23"/>
  <c r="C8303" i="23"/>
  <c r="A8303" i="23"/>
  <c r="C8302" i="23"/>
  <c r="A8302" i="23"/>
  <c r="C8301" i="23"/>
  <c r="A8301" i="23"/>
  <c r="C8300" i="23"/>
  <c r="A8300" i="23"/>
  <c r="C8299" i="23"/>
  <c r="A8299" i="23"/>
  <c r="C8298" i="23"/>
  <c r="A8298" i="23"/>
  <c r="C8297" i="23"/>
  <c r="A8297" i="23"/>
  <c r="C8296" i="23"/>
  <c r="A8296" i="23"/>
  <c r="C8295" i="23"/>
  <c r="A8295" i="23"/>
  <c r="C8294" i="23"/>
  <c r="A8294" i="23"/>
  <c r="C8293" i="23"/>
  <c r="A8293" i="23"/>
  <c r="C8292" i="23"/>
  <c r="A8292" i="23"/>
  <c r="C8669" i="23"/>
  <c r="A8669" i="23"/>
  <c r="C8668" i="23"/>
  <c r="A8668" i="23"/>
  <c r="C8667" i="23"/>
  <c r="A8667" i="23"/>
  <c r="C8666" i="23"/>
  <c r="A8666" i="23"/>
  <c r="C8665" i="23"/>
  <c r="A8665" i="23"/>
  <c r="C8664" i="23"/>
  <c r="A8664" i="23"/>
  <c r="C8663" i="23"/>
  <c r="A8663" i="23"/>
  <c r="C8662" i="23"/>
  <c r="A8662" i="23"/>
  <c r="C8661" i="23"/>
  <c r="A8661" i="23"/>
  <c r="C8660" i="23"/>
  <c r="A8660" i="23"/>
  <c r="C8659" i="23"/>
  <c r="A8659" i="23"/>
  <c r="C8658" i="23"/>
  <c r="A8658" i="23"/>
  <c r="C8657" i="23"/>
  <c r="A8657" i="23"/>
  <c r="C8656" i="23"/>
  <c r="A8656" i="23"/>
  <c r="C8655" i="23"/>
  <c r="A8655" i="23"/>
  <c r="C8654" i="23"/>
  <c r="A8654" i="23"/>
  <c r="C8653" i="23"/>
  <c r="A8653" i="23"/>
  <c r="C8652" i="23"/>
  <c r="A8652" i="23"/>
  <c r="C8651" i="23"/>
  <c r="A8651" i="23"/>
  <c r="C8650" i="23"/>
  <c r="A8650" i="23"/>
  <c r="C8649" i="23"/>
  <c r="A8649" i="23"/>
  <c r="C8648" i="23"/>
  <c r="A8648" i="23"/>
  <c r="C8647" i="23"/>
  <c r="A8647" i="23"/>
  <c r="C8646" i="23"/>
  <c r="A8646" i="23"/>
  <c r="C8645" i="23"/>
  <c r="A8645" i="23"/>
  <c r="C8644" i="23"/>
  <c r="A8644" i="23"/>
  <c r="C8643" i="23"/>
  <c r="A8643" i="23"/>
  <c r="C8966" i="23"/>
  <c r="A8966" i="23"/>
  <c r="C8965" i="23"/>
  <c r="A8965" i="23"/>
  <c r="C8964" i="23"/>
  <c r="A8964" i="23"/>
  <c r="C8963" i="23"/>
  <c r="A8963" i="23"/>
  <c r="C8962" i="23"/>
  <c r="A8962" i="23"/>
  <c r="C8961" i="23"/>
  <c r="A8961" i="23"/>
  <c r="C8960" i="23"/>
  <c r="A8960" i="23"/>
  <c r="C8959" i="23"/>
  <c r="A8959" i="23"/>
  <c r="C8958" i="23"/>
  <c r="A8958" i="23"/>
  <c r="C8957" i="23"/>
  <c r="A8957" i="23"/>
  <c r="C8956" i="23"/>
  <c r="A8956" i="23"/>
  <c r="C8955" i="23"/>
  <c r="A8955" i="23"/>
  <c r="C8954" i="23"/>
  <c r="A8954" i="23"/>
  <c r="C8953" i="23"/>
  <c r="A8953" i="23"/>
  <c r="C8952" i="23"/>
  <c r="A8952" i="23"/>
  <c r="C8951" i="23"/>
  <c r="A8951" i="23"/>
  <c r="C8950" i="23"/>
  <c r="A8950" i="23"/>
  <c r="C8949" i="23"/>
  <c r="A8949" i="23"/>
  <c r="C8948" i="23"/>
  <c r="A8948" i="23"/>
  <c r="C8947" i="23"/>
  <c r="A8947" i="23"/>
  <c r="C8946" i="23"/>
  <c r="A8946" i="23"/>
  <c r="C8945" i="23"/>
  <c r="A8945" i="23"/>
  <c r="C8944" i="23"/>
  <c r="A8944" i="23"/>
  <c r="C8943" i="23"/>
  <c r="A8943" i="23"/>
  <c r="C8942" i="23"/>
  <c r="A8942" i="23"/>
  <c r="C8941" i="23"/>
  <c r="A8941" i="23"/>
  <c r="C8940" i="23"/>
  <c r="A8940" i="23"/>
  <c r="C8777" i="23"/>
  <c r="A8777" i="23"/>
  <c r="C8776" i="23"/>
  <c r="A8776" i="23"/>
  <c r="C8775" i="23"/>
  <c r="A8775" i="23"/>
  <c r="C8774" i="23"/>
  <c r="A8774" i="23"/>
  <c r="C8773" i="23"/>
  <c r="A8773" i="23"/>
  <c r="C8772" i="23"/>
  <c r="A8772" i="23"/>
  <c r="C8771" i="23"/>
  <c r="A8771" i="23"/>
  <c r="C8770" i="23"/>
  <c r="A8770" i="23"/>
  <c r="C8769" i="23"/>
  <c r="A8769" i="23"/>
  <c r="C8768" i="23"/>
  <c r="A8768" i="23"/>
  <c r="C8767" i="23"/>
  <c r="A8767" i="23"/>
  <c r="C8766" i="23"/>
  <c r="A8766" i="23"/>
  <c r="C8765" i="23"/>
  <c r="A8765" i="23"/>
  <c r="C8764" i="23"/>
  <c r="A8764" i="23"/>
  <c r="C8763" i="23"/>
  <c r="A8763" i="23"/>
  <c r="C8762" i="23"/>
  <c r="A8762" i="23"/>
  <c r="C8761" i="23"/>
  <c r="A8761" i="23"/>
  <c r="C8760" i="23"/>
  <c r="A8760" i="23"/>
  <c r="C8759" i="23"/>
  <c r="A8759" i="23"/>
  <c r="C8758" i="23"/>
  <c r="A8758" i="23"/>
  <c r="C8757" i="23"/>
  <c r="A8757" i="23"/>
  <c r="C8756" i="23"/>
  <c r="A8756" i="23"/>
  <c r="C8755" i="23"/>
  <c r="A8755" i="23"/>
  <c r="C8754" i="23"/>
  <c r="A8754" i="23"/>
  <c r="C8753" i="23"/>
  <c r="A8753" i="23"/>
  <c r="C8752" i="23"/>
  <c r="A8752" i="23"/>
  <c r="C8751" i="23"/>
  <c r="A8751" i="23"/>
  <c r="C8858" i="23"/>
  <c r="A8858" i="23"/>
  <c r="C8857" i="23"/>
  <c r="A8857" i="23"/>
  <c r="C8856" i="23"/>
  <c r="A8856" i="23"/>
  <c r="C8855" i="23"/>
  <c r="A8855" i="23"/>
  <c r="C8854" i="23"/>
  <c r="A8854" i="23"/>
  <c r="C8853" i="23"/>
  <c r="A8853" i="23"/>
  <c r="C8852" i="23"/>
  <c r="A8852" i="23"/>
  <c r="C8851" i="23"/>
  <c r="A8851" i="23"/>
  <c r="C8850" i="23"/>
  <c r="A8850" i="23"/>
  <c r="C8849" i="23"/>
  <c r="A8849" i="23"/>
  <c r="C8848" i="23"/>
  <c r="A8848" i="23"/>
  <c r="C8847" i="23"/>
  <c r="A8847" i="23"/>
  <c r="C8846" i="23"/>
  <c r="A8846" i="23"/>
  <c r="C8845" i="23"/>
  <c r="A8845" i="23"/>
  <c r="C8844" i="23"/>
  <c r="A8844" i="23"/>
  <c r="C8843" i="23"/>
  <c r="A8843" i="23"/>
  <c r="C8842" i="23"/>
  <c r="A8842" i="23"/>
  <c r="C8841" i="23"/>
  <c r="A8841" i="23"/>
  <c r="C8840" i="23"/>
  <c r="A8840" i="23"/>
  <c r="C8839" i="23"/>
  <c r="A8839" i="23"/>
  <c r="C8838" i="23"/>
  <c r="A8838" i="23"/>
  <c r="C8837" i="23"/>
  <c r="A8837" i="23"/>
  <c r="C8836" i="23"/>
  <c r="A8836" i="23"/>
  <c r="C8835" i="23"/>
  <c r="A8835" i="23"/>
  <c r="C8834" i="23"/>
  <c r="A8834" i="23"/>
  <c r="C8833" i="23"/>
  <c r="A8833" i="23"/>
  <c r="C8832" i="23"/>
  <c r="A8832" i="23"/>
  <c r="C9128" i="23"/>
  <c r="A9128" i="23"/>
  <c r="C9127" i="23"/>
  <c r="A9127" i="23"/>
  <c r="C9126" i="23"/>
  <c r="A9126" i="23"/>
  <c r="C9125" i="23"/>
  <c r="A9125" i="23"/>
  <c r="C9124" i="23"/>
  <c r="A9124" i="23"/>
  <c r="C9123" i="23"/>
  <c r="A9123" i="23"/>
  <c r="C9122" i="23"/>
  <c r="A9122" i="23"/>
  <c r="C9121" i="23"/>
  <c r="A9121" i="23"/>
  <c r="C9120" i="23"/>
  <c r="A9120" i="23"/>
  <c r="C9119" i="23"/>
  <c r="A9119" i="23"/>
  <c r="C9118" i="23"/>
  <c r="A9118" i="23"/>
  <c r="C9117" i="23"/>
  <c r="A9117" i="23"/>
  <c r="C9116" i="23"/>
  <c r="A9116" i="23"/>
  <c r="C9115" i="23"/>
  <c r="A9115" i="23"/>
  <c r="C9114" i="23"/>
  <c r="A9114" i="23"/>
  <c r="C9113" i="23"/>
  <c r="A9113" i="23"/>
  <c r="C9112" i="23"/>
  <c r="A9112" i="23"/>
  <c r="C9111" i="23"/>
  <c r="A9111" i="23"/>
  <c r="C9110" i="23"/>
  <c r="A9110" i="23"/>
  <c r="C9109" i="23"/>
  <c r="A9109" i="23"/>
  <c r="C9108" i="23"/>
  <c r="A9108" i="23"/>
  <c r="C9107" i="23"/>
  <c r="A9107" i="23"/>
  <c r="C9106" i="23"/>
  <c r="A9106" i="23"/>
  <c r="C9105" i="23"/>
  <c r="A9105" i="23"/>
  <c r="C9104" i="23"/>
  <c r="A9104" i="23"/>
  <c r="C9103" i="23"/>
  <c r="A9103" i="23"/>
  <c r="C9102" i="23"/>
  <c r="A9102" i="23"/>
  <c r="C9074" i="23"/>
  <c r="A9074" i="23"/>
  <c r="C9073" i="23"/>
  <c r="A9073" i="23"/>
  <c r="C9072" i="23"/>
  <c r="A9072" i="23"/>
  <c r="C9071" i="23"/>
  <c r="A9071" i="23"/>
  <c r="C9070" i="23"/>
  <c r="A9070" i="23"/>
  <c r="C9069" i="23"/>
  <c r="A9069" i="23"/>
  <c r="C9068" i="23"/>
  <c r="A9068" i="23"/>
  <c r="C9067" i="23"/>
  <c r="A9067" i="23"/>
  <c r="C9066" i="23"/>
  <c r="A9066" i="23"/>
  <c r="C9065" i="23"/>
  <c r="A9065" i="23"/>
  <c r="C9064" i="23"/>
  <c r="A9064" i="23"/>
  <c r="C9063" i="23"/>
  <c r="A9063" i="23"/>
  <c r="C9062" i="23"/>
  <c r="A9062" i="23"/>
  <c r="C9061" i="23"/>
  <c r="A9061" i="23"/>
  <c r="C9060" i="23"/>
  <c r="A9060" i="23"/>
  <c r="C9059" i="23"/>
  <c r="A9059" i="23"/>
  <c r="C9058" i="23"/>
  <c r="A9058" i="23"/>
  <c r="C9057" i="23"/>
  <c r="A9057" i="23"/>
  <c r="C9056" i="23"/>
  <c r="A9056" i="23"/>
  <c r="C9055" i="23"/>
  <c r="A9055" i="23"/>
  <c r="C9054" i="23"/>
  <c r="A9054" i="23"/>
  <c r="C9053" i="23"/>
  <c r="A9053" i="23"/>
  <c r="C9052" i="23"/>
  <c r="A9052" i="23"/>
  <c r="C9051" i="23"/>
  <c r="A9051" i="23"/>
  <c r="C9050" i="23"/>
  <c r="A9050" i="23"/>
  <c r="C9049" i="23"/>
  <c r="A9049" i="23"/>
  <c r="C9048" i="23"/>
  <c r="A9048" i="23"/>
  <c r="C9020" i="23"/>
  <c r="A9020" i="23"/>
  <c r="C9019" i="23"/>
  <c r="A9019" i="23"/>
  <c r="C9018" i="23"/>
  <c r="A9018" i="23"/>
  <c r="C9017" i="23"/>
  <c r="A9017" i="23"/>
  <c r="C9016" i="23"/>
  <c r="A9016" i="23"/>
  <c r="C9015" i="23"/>
  <c r="A9015" i="23"/>
  <c r="C9014" i="23"/>
  <c r="A9014" i="23"/>
  <c r="C9013" i="23"/>
  <c r="A9013" i="23"/>
  <c r="C9012" i="23"/>
  <c r="A9012" i="23"/>
  <c r="C9011" i="23"/>
  <c r="A9011" i="23"/>
  <c r="C9010" i="23"/>
  <c r="A9010" i="23"/>
  <c r="C9009" i="23"/>
  <c r="A9009" i="23"/>
  <c r="C9008" i="23"/>
  <c r="A9008" i="23"/>
  <c r="C9007" i="23"/>
  <c r="A9007" i="23"/>
  <c r="C9006" i="23"/>
  <c r="A9006" i="23"/>
  <c r="C9005" i="23"/>
  <c r="A9005" i="23"/>
  <c r="C9004" i="23"/>
  <c r="A9004" i="23"/>
  <c r="C9003" i="23"/>
  <c r="A9003" i="23"/>
  <c r="C9002" i="23"/>
  <c r="A9002" i="23"/>
  <c r="C9001" i="23"/>
  <c r="A9001" i="23"/>
  <c r="C9000" i="23"/>
  <c r="A9000" i="23"/>
  <c r="C8999" i="23"/>
  <c r="A8999" i="23"/>
  <c r="C8998" i="23"/>
  <c r="A8998" i="23"/>
  <c r="C8997" i="23"/>
  <c r="A8997" i="23"/>
  <c r="C8996" i="23"/>
  <c r="A8996" i="23"/>
  <c r="C8995" i="23"/>
  <c r="A8995" i="23"/>
  <c r="C8994" i="23"/>
  <c r="A8994" i="23"/>
  <c r="C8831" i="23"/>
  <c r="A8831" i="23"/>
  <c r="C8830" i="23"/>
  <c r="A8830" i="23"/>
  <c r="C8829" i="23"/>
  <c r="A8829" i="23"/>
  <c r="C8828" i="23"/>
  <c r="A8828" i="23"/>
  <c r="C8827" i="23"/>
  <c r="A8827" i="23"/>
  <c r="C8826" i="23"/>
  <c r="A8826" i="23"/>
  <c r="C8825" i="23"/>
  <c r="A8825" i="23"/>
  <c r="C8824" i="23"/>
  <c r="A8824" i="23"/>
  <c r="C8823" i="23"/>
  <c r="A8823" i="23"/>
  <c r="C8822" i="23"/>
  <c r="A8822" i="23"/>
  <c r="C8821" i="23"/>
  <c r="A8821" i="23"/>
  <c r="C8820" i="23"/>
  <c r="A8820" i="23"/>
  <c r="C8819" i="23"/>
  <c r="A8819" i="23"/>
  <c r="C8818" i="23"/>
  <c r="A8818" i="23"/>
  <c r="C8817" i="23"/>
  <c r="A8817" i="23"/>
  <c r="C8816" i="23"/>
  <c r="A8816" i="23"/>
  <c r="C8815" i="23"/>
  <c r="A8815" i="23"/>
  <c r="C8814" i="23"/>
  <c r="A8814" i="23"/>
  <c r="C8813" i="23"/>
  <c r="A8813" i="23"/>
  <c r="C8812" i="23"/>
  <c r="A8812" i="23"/>
  <c r="C8811" i="23"/>
  <c r="A8811" i="23"/>
  <c r="C8810" i="23"/>
  <c r="A8810" i="23"/>
  <c r="C8809" i="23"/>
  <c r="A8809" i="23"/>
  <c r="C8808" i="23"/>
  <c r="A8808" i="23"/>
  <c r="C8807" i="23"/>
  <c r="A8807" i="23"/>
  <c r="C8806" i="23"/>
  <c r="A8806" i="23"/>
  <c r="C8805" i="23"/>
  <c r="A8805" i="23"/>
  <c r="C8264" i="23"/>
  <c r="A8264" i="23"/>
  <c r="C8263" i="23"/>
  <c r="A8263" i="23"/>
  <c r="C8262" i="23"/>
  <c r="A8262" i="23"/>
  <c r="C8261" i="23"/>
  <c r="A8261" i="23"/>
  <c r="C8260" i="23"/>
  <c r="A8260" i="23"/>
  <c r="C8259" i="23"/>
  <c r="A8259" i="23"/>
  <c r="C8258" i="23"/>
  <c r="A8258" i="23"/>
  <c r="C8257" i="23"/>
  <c r="A8257" i="23"/>
  <c r="C8256" i="23"/>
  <c r="A8256" i="23"/>
  <c r="C8255" i="23"/>
  <c r="A8255" i="23"/>
  <c r="C8254" i="23"/>
  <c r="A8254" i="23"/>
  <c r="C8253" i="23"/>
  <c r="A8253" i="23"/>
  <c r="C8252" i="23"/>
  <c r="A8252" i="23"/>
  <c r="C8251" i="23"/>
  <c r="A8251" i="23"/>
  <c r="C8250" i="23"/>
  <c r="A8250" i="23"/>
  <c r="C8249" i="23"/>
  <c r="A8249" i="23"/>
  <c r="C8248" i="23"/>
  <c r="A8248" i="23"/>
  <c r="C8247" i="23"/>
  <c r="A8247" i="23"/>
  <c r="C8246" i="23"/>
  <c r="A8246" i="23"/>
  <c r="C8245" i="23"/>
  <c r="A8245" i="23"/>
  <c r="C8244" i="23"/>
  <c r="A8244" i="23"/>
  <c r="C8243" i="23"/>
  <c r="A8243" i="23"/>
  <c r="C8242" i="23"/>
  <c r="A8242" i="23"/>
  <c r="C8241" i="23"/>
  <c r="A8241" i="23"/>
  <c r="C8240" i="23"/>
  <c r="A8240" i="23"/>
  <c r="C8239" i="23"/>
  <c r="A8239" i="23"/>
  <c r="C8238" i="23"/>
  <c r="A8238" i="23"/>
  <c r="C8804" i="23"/>
  <c r="A8804" i="23"/>
  <c r="C8803" i="23"/>
  <c r="A8803" i="23"/>
  <c r="C8802" i="23"/>
  <c r="A8802" i="23"/>
  <c r="C8801" i="23"/>
  <c r="A8801" i="23"/>
  <c r="C8800" i="23"/>
  <c r="A8800" i="23"/>
  <c r="C8799" i="23"/>
  <c r="A8799" i="23"/>
  <c r="C8798" i="23"/>
  <c r="A8798" i="23"/>
  <c r="C8797" i="23"/>
  <c r="A8797" i="23"/>
  <c r="C8796" i="23"/>
  <c r="A8796" i="23"/>
  <c r="C8795" i="23"/>
  <c r="A8795" i="23"/>
  <c r="C8794" i="23"/>
  <c r="A8794" i="23"/>
  <c r="C8793" i="23"/>
  <c r="A8793" i="23"/>
  <c r="C8792" i="23"/>
  <c r="A8792" i="23"/>
  <c r="C8791" i="23"/>
  <c r="A8791" i="23"/>
  <c r="C8790" i="23"/>
  <c r="A8790" i="23"/>
  <c r="C8789" i="23"/>
  <c r="A8789" i="23"/>
  <c r="C8788" i="23"/>
  <c r="A8788" i="23"/>
  <c r="C8787" i="23"/>
  <c r="A8787" i="23"/>
  <c r="C8786" i="23"/>
  <c r="A8786" i="23"/>
  <c r="C8785" i="23"/>
  <c r="A8785" i="23"/>
  <c r="C8784" i="23"/>
  <c r="A8784" i="23"/>
  <c r="C8783" i="23"/>
  <c r="A8783" i="23"/>
  <c r="C8782" i="23"/>
  <c r="A8782" i="23"/>
  <c r="C8781" i="23"/>
  <c r="A8781" i="23"/>
  <c r="C8780" i="23"/>
  <c r="A8780" i="23"/>
  <c r="C8779" i="23"/>
  <c r="A8779" i="23"/>
  <c r="C8778" i="23"/>
  <c r="A8778" i="23"/>
  <c r="C8615" i="23"/>
  <c r="A8615" i="23"/>
  <c r="C8614" i="23"/>
  <c r="A8614" i="23"/>
  <c r="C8613" i="23"/>
  <c r="A8613" i="23"/>
  <c r="C8612" i="23"/>
  <c r="A8612" i="23"/>
  <c r="C8611" i="23"/>
  <c r="A8611" i="23"/>
  <c r="C8610" i="23"/>
  <c r="A8610" i="23"/>
  <c r="C8609" i="23"/>
  <c r="A8609" i="23"/>
  <c r="C8608" i="23"/>
  <c r="A8608" i="23"/>
  <c r="C8607" i="23"/>
  <c r="A8607" i="23"/>
  <c r="C8606" i="23"/>
  <c r="A8606" i="23"/>
  <c r="C8605" i="23"/>
  <c r="A8605" i="23"/>
  <c r="C8604" i="23"/>
  <c r="A8604" i="23"/>
  <c r="C8603" i="23"/>
  <c r="A8603" i="23"/>
  <c r="C8602" i="23"/>
  <c r="A8602" i="23"/>
  <c r="C8601" i="23"/>
  <c r="A8601" i="23"/>
  <c r="C8600" i="23"/>
  <c r="A8600" i="23"/>
  <c r="C8599" i="23"/>
  <c r="A8599" i="23"/>
  <c r="C8598" i="23"/>
  <c r="A8598" i="23"/>
  <c r="C8597" i="23"/>
  <c r="A8597" i="23"/>
  <c r="C8596" i="23"/>
  <c r="A8596" i="23"/>
  <c r="C8595" i="23"/>
  <c r="A8595" i="23"/>
  <c r="C8594" i="23"/>
  <c r="A8594" i="23"/>
  <c r="C8593" i="23"/>
  <c r="A8593" i="23"/>
  <c r="C8592" i="23"/>
  <c r="A8592" i="23"/>
  <c r="C8591" i="23"/>
  <c r="A8591" i="23"/>
  <c r="C8590" i="23"/>
  <c r="A8590" i="23"/>
  <c r="C8589" i="23"/>
  <c r="A8589" i="23"/>
  <c r="C9209" i="23"/>
  <c r="A9209" i="23"/>
  <c r="C9208" i="23"/>
  <c r="A9208" i="23"/>
  <c r="C9207" i="23"/>
  <c r="A9207" i="23"/>
  <c r="C9206" i="23"/>
  <c r="A9206" i="23"/>
  <c r="C9205" i="23"/>
  <c r="A9205" i="23"/>
  <c r="C9204" i="23"/>
  <c r="A9204" i="23"/>
  <c r="C9203" i="23"/>
  <c r="A9203" i="23"/>
  <c r="C9202" i="23"/>
  <c r="A9202" i="23"/>
  <c r="C9201" i="23"/>
  <c r="A9201" i="23"/>
  <c r="C9200" i="23"/>
  <c r="A9200" i="23"/>
  <c r="C9199" i="23"/>
  <c r="A9199" i="23"/>
  <c r="C9198" i="23"/>
  <c r="A9198" i="23"/>
  <c r="C9197" i="23"/>
  <c r="A9197" i="23"/>
  <c r="C9196" i="23"/>
  <c r="A9196" i="23"/>
  <c r="C9195" i="23"/>
  <c r="A9195" i="23"/>
  <c r="C9194" i="23"/>
  <c r="A9194" i="23"/>
  <c r="C9193" i="23"/>
  <c r="A9193" i="23"/>
  <c r="C9192" i="23"/>
  <c r="A9192" i="23"/>
  <c r="C9191" i="23"/>
  <c r="A9191" i="23"/>
  <c r="C9190" i="23"/>
  <c r="A9190" i="23"/>
  <c r="C9189" i="23"/>
  <c r="A9189" i="23"/>
  <c r="C9188" i="23"/>
  <c r="A9188" i="23"/>
  <c r="C9187" i="23"/>
  <c r="A9187" i="23"/>
  <c r="C9186" i="23"/>
  <c r="A9186" i="23"/>
  <c r="C9185" i="23"/>
  <c r="A9185" i="23"/>
  <c r="C9184" i="23"/>
  <c r="A9184" i="23"/>
  <c r="C9183" i="23"/>
  <c r="A9183" i="23"/>
  <c r="C8939" i="23"/>
  <c r="A8939" i="23"/>
  <c r="C8938" i="23"/>
  <c r="A8938" i="23"/>
  <c r="C8937" i="23"/>
  <c r="A8937" i="23"/>
  <c r="C8936" i="23"/>
  <c r="A8936" i="23"/>
  <c r="C8935" i="23"/>
  <c r="A8935" i="23"/>
  <c r="C8934" i="23"/>
  <c r="A8934" i="23"/>
  <c r="C8933" i="23"/>
  <c r="A8933" i="23"/>
  <c r="C8932" i="23"/>
  <c r="A8932" i="23"/>
  <c r="C8931" i="23"/>
  <c r="A8931" i="23"/>
  <c r="C8930" i="23"/>
  <c r="A8930" i="23"/>
  <c r="C8929" i="23"/>
  <c r="A8929" i="23"/>
  <c r="C8928" i="23"/>
  <c r="A8928" i="23"/>
  <c r="C8927" i="23"/>
  <c r="A8927" i="23"/>
  <c r="C8926" i="23"/>
  <c r="A8926" i="23"/>
  <c r="C8925" i="23"/>
  <c r="A8925" i="23"/>
  <c r="C8924" i="23"/>
  <c r="A8924" i="23"/>
  <c r="C8923" i="23"/>
  <c r="A8923" i="23"/>
  <c r="C8922" i="23"/>
  <c r="A8922" i="23"/>
  <c r="C8921" i="23"/>
  <c r="A8921" i="23"/>
  <c r="C8920" i="23"/>
  <c r="A8920" i="23"/>
  <c r="C8919" i="23"/>
  <c r="A8919" i="23"/>
  <c r="C8918" i="23"/>
  <c r="A8918" i="23"/>
  <c r="C8917" i="23"/>
  <c r="A8917" i="23"/>
  <c r="C8916" i="23"/>
  <c r="A8916" i="23"/>
  <c r="C8915" i="23"/>
  <c r="A8915" i="23"/>
  <c r="C8914" i="23"/>
  <c r="A8914" i="23"/>
  <c r="C8913" i="23"/>
  <c r="A8913" i="23"/>
  <c r="C9236" i="23"/>
  <c r="A9236" i="23"/>
  <c r="C9235" i="23"/>
  <c r="A9235" i="23"/>
  <c r="C9234" i="23"/>
  <c r="A9234" i="23"/>
  <c r="C9233" i="23"/>
  <c r="A9233" i="23"/>
  <c r="C9232" i="23"/>
  <c r="A9232" i="23"/>
  <c r="C9231" i="23"/>
  <c r="A9231" i="23"/>
  <c r="C9230" i="23"/>
  <c r="A9230" i="23"/>
  <c r="C9229" i="23"/>
  <c r="A9229" i="23"/>
  <c r="C9228" i="23"/>
  <c r="A9228" i="23"/>
  <c r="C9227" i="23"/>
  <c r="A9227" i="23"/>
  <c r="C9226" i="23"/>
  <c r="A9226" i="23"/>
  <c r="C9225" i="23"/>
  <c r="A9225" i="23"/>
  <c r="C9224" i="23"/>
  <c r="A9224" i="23"/>
  <c r="C9223" i="23"/>
  <c r="A9223" i="23"/>
  <c r="C9222" i="23"/>
  <c r="A9222" i="23"/>
  <c r="C9221" i="23"/>
  <c r="A9221" i="23"/>
  <c r="C9220" i="23"/>
  <c r="A9220" i="23"/>
  <c r="C9219" i="23"/>
  <c r="A9219" i="23"/>
  <c r="C9218" i="23"/>
  <c r="A9218" i="23"/>
  <c r="C9217" i="23"/>
  <c r="A9217" i="23"/>
  <c r="C9216" i="23"/>
  <c r="A9216" i="23"/>
  <c r="C9215" i="23"/>
  <c r="A9215" i="23"/>
  <c r="C9214" i="23"/>
  <c r="A9214" i="23"/>
  <c r="C9213" i="23"/>
  <c r="A9213" i="23"/>
  <c r="C9212" i="23"/>
  <c r="A9212" i="23"/>
  <c r="C9211" i="23"/>
  <c r="A9211" i="23"/>
  <c r="C9210" i="23"/>
  <c r="A9210" i="23"/>
  <c r="C8885" i="23"/>
  <c r="A8885" i="23"/>
  <c r="C8884" i="23"/>
  <c r="A8884" i="23"/>
  <c r="C8883" i="23"/>
  <c r="A8883" i="23"/>
  <c r="C8882" i="23"/>
  <c r="A8882" i="23"/>
  <c r="C8881" i="23"/>
  <c r="A8881" i="23"/>
  <c r="C8880" i="23"/>
  <c r="A8880" i="23"/>
  <c r="C8879" i="23"/>
  <c r="A8879" i="23"/>
  <c r="C8878" i="23"/>
  <c r="A8878" i="23"/>
  <c r="C8877" i="23"/>
  <c r="A8877" i="23"/>
  <c r="C8876" i="23"/>
  <c r="A8876" i="23"/>
  <c r="C8875" i="23"/>
  <c r="A8875" i="23"/>
  <c r="C8874" i="23"/>
  <c r="A8874" i="23"/>
  <c r="C8873" i="23"/>
  <c r="A8873" i="23"/>
  <c r="C8872" i="23"/>
  <c r="A8872" i="23"/>
  <c r="C8871" i="23"/>
  <c r="A8871" i="23"/>
  <c r="C8870" i="23"/>
  <c r="A8870" i="23"/>
  <c r="C8869" i="23"/>
  <c r="A8869" i="23"/>
  <c r="C8868" i="23"/>
  <c r="A8868" i="23"/>
  <c r="C8867" i="23"/>
  <c r="A8867" i="23"/>
  <c r="C8866" i="23"/>
  <c r="A8866" i="23"/>
  <c r="C8865" i="23"/>
  <c r="A8865" i="23"/>
  <c r="C8864" i="23"/>
  <c r="A8864" i="23"/>
  <c r="C8863" i="23"/>
  <c r="A8863" i="23"/>
  <c r="C8862" i="23"/>
  <c r="A8862" i="23"/>
  <c r="C8861" i="23"/>
  <c r="A8861" i="23"/>
  <c r="C8860" i="23"/>
  <c r="A8860" i="23"/>
  <c r="C8859" i="23"/>
  <c r="A8859" i="23"/>
  <c r="C8912" i="23"/>
  <c r="A8912" i="23"/>
  <c r="C8911" i="23"/>
  <c r="A8911" i="23"/>
  <c r="C8910" i="23"/>
  <c r="A8910" i="23"/>
  <c r="C8909" i="23"/>
  <c r="A8909" i="23"/>
  <c r="C8908" i="23"/>
  <c r="A8908" i="23"/>
  <c r="C8907" i="23"/>
  <c r="A8907" i="23"/>
  <c r="C8906" i="23"/>
  <c r="A8906" i="23"/>
  <c r="C8905" i="23"/>
  <c r="A8905" i="23"/>
  <c r="C8904" i="23"/>
  <c r="A8904" i="23"/>
  <c r="C8903" i="23"/>
  <c r="A8903" i="23"/>
  <c r="C8902" i="23"/>
  <c r="A8902" i="23"/>
  <c r="C8901" i="23"/>
  <c r="A8901" i="23"/>
  <c r="C8900" i="23"/>
  <c r="A8900" i="23"/>
  <c r="C8899" i="23"/>
  <c r="A8899" i="23"/>
  <c r="C8898" i="23"/>
  <c r="A8898" i="23"/>
  <c r="C8897" i="23"/>
  <c r="A8897" i="23"/>
  <c r="C8896" i="23"/>
  <c r="A8896" i="23"/>
  <c r="C8895" i="23"/>
  <c r="A8895" i="23"/>
  <c r="C8894" i="23"/>
  <c r="A8894" i="23"/>
  <c r="C8893" i="23"/>
  <c r="A8893" i="23"/>
  <c r="C8892" i="23"/>
  <c r="A8892" i="23"/>
  <c r="C8891" i="23"/>
  <c r="A8891" i="23"/>
  <c r="C8890" i="23"/>
  <c r="A8890" i="23"/>
  <c r="C8889" i="23"/>
  <c r="A8889" i="23"/>
  <c r="C8888" i="23"/>
  <c r="A8888" i="23"/>
  <c r="C8887" i="23"/>
  <c r="A8887" i="23"/>
  <c r="C8886" i="23"/>
  <c r="A8886" i="23"/>
  <c r="C8642" i="23"/>
  <c r="A8642" i="23"/>
  <c r="C8641" i="23"/>
  <c r="A8641" i="23"/>
  <c r="C8640" i="23"/>
  <c r="A8640" i="23"/>
  <c r="C8639" i="23"/>
  <c r="A8639" i="23"/>
  <c r="C8638" i="23"/>
  <c r="A8638" i="23"/>
  <c r="C8637" i="23"/>
  <c r="A8637" i="23"/>
  <c r="C8636" i="23"/>
  <c r="A8636" i="23"/>
  <c r="C8635" i="23"/>
  <c r="A8635" i="23"/>
  <c r="C8634" i="23"/>
  <c r="A8634" i="23"/>
  <c r="C8633" i="23"/>
  <c r="A8633" i="23"/>
  <c r="C8632" i="23"/>
  <c r="A8632" i="23"/>
  <c r="C8631" i="23"/>
  <c r="A8631" i="23"/>
  <c r="C8630" i="23"/>
  <c r="A8630" i="23"/>
  <c r="C8629" i="23"/>
  <c r="A8629" i="23"/>
  <c r="C8628" i="23"/>
  <c r="A8628" i="23"/>
  <c r="C8627" i="23"/>
  <c r="A8627" i="23"/>
  <c r="C8626" i="23"/>
  <c r="A8626" i="23"/>
  <c r="C8625" i="23"/>
  <c r="A8625" i="23"/>
  <c r="C8624" i="23"/>
  <c r="A8624" i="23"/>
  <c r="C8623" i="23"/>
  <c r="A8623" i="23"/>
  <c r="C8622" i="23"/>
  <c r="A8622" i="23"/>
  <c r="C8621" i="23"/>
  <c r="A8621" i="23"/>
  <c r="C8620" i="23"/>
  <c r="A8620" i="23"/>
  <c r="C8619" i="23"/>
  <c r="A8619" i="23"/>
  <c r="C8618" i="23"/>
  <c r="A8618" i="23"/>
  <c r="C8617" i="23"/>
  <c r="A8617" i="23"/>
  <c r="C8616" i="23"/>
  <c r="A8616" i="23"/>
  <c r="C8237" i="23"/>
  <c r="A8237" i="23"/>
  <c r="C8236" i="23"/>
  <c r="A8236" i="23"/>
  <c r="C8235" i="23"/>
  <c r="A8235" i="23"/>
  <c r="C8234" i="23"/>
  <c r="A8234" i="23"/>
  <c r="C8233" i="23"/>
  <c r="A8233" i="23"/>
  <c r="C8232" i="23"/>
  <c r="A8232" i="23"/>
  <c r="C8231" i="23"/>
  <c r="A8231" i="23"/>
  <c r="C8230" i="23"/>
  <c r="A8230" i="23"/>
  <c r="C8229" i="23"/>
  <c r="A8229" i="23"/>
  <c r="C8228" i="23"/>
  <c r="A8228" i="23"/>
  <c r="C8227" i="23"/>
  <c r="A8227" i="23"/>
  <c r="C8226" i="23"/>
  <c r="A8226" i="23"/>
  <c r="C8225" i="23"/>
  <c r="A8225" i="23"/>
  <c r="C8224" i="23"/>
  <c r="A8224" i="23"/>
  <c r="C8223" i="23"/>
  <c r="A8223" i="23"/>
  <c r="C8222" i="23"/>
  <c r="A8222" i="23"/>
  <c r="C8221" i="23"/>
  <c r="A8221" i="23"/>
  <c r="C8220" i="23"/>
  <c r="A8220" i="23"/>
  <c r="C8219" i="23"/>
  <c r="A8219" i="23"/>
  <c r="C8218" i="23"/>
  <c r="A8218" i="23"/>
  <c r="C8217" i="23"/>
  <c r="A8217" i="23"/>
  <c r="C8216" i="23"/>
  <c r="A8216" i="23"/>
  <c r="C8215" i="23"/>
  <c r="A8215" i="23"/>
  <c r="C8214" i="23"/>
  <c r="A8214" i="23"/>
  <c r="C8213" i="23"/>
  <c r="A8213" i="23"/>
  <c r="C8212" i="23"/>
  <c r="A8212" i="23"/>
  <c r="C8211" i="23"/>
  <c r="A8211" i="23"/>
  <c r="C8750" i="23"/>
  <c r="A8750" i="23"/>
  <c r="C8749" i="23"/>
  <c r="A8749" i="23"/>
  <c r="C8748" i="23"/>
  <c r="A8748" i="23"/>
  <c r="C8747" i="23"/>
  <c r="A8747" i="23"/>
  <c r="C8746" i="23"/>
  <c r="A8746" i="23"/>
  <c r="C8745" i="23"/>
  <c r="A8745" i="23"/>
  <c r="C8744" i="23"/>
  <c r="A8744" i="23"/>
  <c r="C8743" i="23"/>
  <c r="A8743" i="23"/>
  <c r="C8742" i="23"/>
  <c r="A8742" i="23"/>
  <c r="C8741" i="23"/>
  <c r="A8741" i="23"/>
  <c r="C8740" i="23"/>
  <c r="A8740" i="23"/>
  <c r="C8739" i="23"/>
  <c r="A8739" i="23"/>
  <c r="C8738" i="23"/>
  <c r="A8738" i="23"/>
  <c r="C8737" i="23"/>
  <c r="A8737" i="23"/>
  <c r="C8736" i="23"/>
  <c r="A8736" i="23"/>
  <c r="C8735" i="23"/>
  <c r="A8735" i="23"/>
  <c r="C8734" i="23"/>
  <c r="A8734" i="23"/>
  <c r="C8733" i="23"/>
  <c r="A8733" i="23"/>
  <c r="C8732" i="23"/>
  <c r="A8732" i="23"/>
  <c r="C8731" i="23"/>
  <c r="A8731" i="23"/>
  <c r="C8730" i="23"/>
  <c r="A8730" i="23"/>
  <c r="C8729" i="23"/>
  <c r="A8729" i="23"/>
  <c r="C8728" i="23"/>
  <c r="A8728" i="23"/>
  <c r="C8727" i="23"/>
  <c r="A8727" i="23"/>
  <c r="C8726" i="23"/>
  <c r="A8726" i="23"/>
  <c r="C8725" i="23"/>
  <c r="A8725" i="23"/>
  <c r="C8724" i="23"/>
  <c r="A8724" i="23"/>
  <c r="C9101" i="23"/>
  <c r="A9101" i="23"/>
  <c r="C9100" i="23"/>
  <c r="A9100" i="23"/>
  <c r="C9099" i="23"/>
  <c r="A9099" i="23"/>
  <c r="C9098" i="23"/>
  <c r="A9098" i="23"/>
  <c r="C9097" i="23"/>
  <c r="A9097" i="23"/>
  <c r="C9096" i="23"/>
  <c r="A9096" i="23"/>
  <c r="C9095" i="23"/>
  <c r="A9095" i="23"/>
  <c r="C9094" i="23"/>
  <c r="A9094" i="23"/>
  <c r="C9093" i="23"/>
  <c r="A9093" i="23"/>
  <c r="C9092" i="23"/>
  <c r="A9092" i="23"/>
  <c r="C9091" i="23"/>
  <c r="A9091" i="23"/>
  <c r="C9090" i="23"/>
  <c r="A9090" i="23"/>
  <c r="C9089" i="23"/>
  <c r="A9089" i="23"/>
  <c r="C9088" i="23"/>
  <c r="A9088" i="23"/>
  <c r="C9087" i="23"/>
  <c r="A9087" i="23"/>
  <c r="C9086" i="23"/>
  <c r="A9086" i="23"/>
  <c r="C9085" i="23"/>
  <c r="A9085" i="23"/>
  <c r="C9084" i="23"/>
  <c r="A9084" i="23"/>
  <c r="C9083" i="23"/>
  <c r="A9083" i="23"/>
  <c r="C9082" i="23"/>
  <c r="A9082" i="23"/>
  <c r="C9081" i="23"/>
  <c r="A9081" i="23"/>
  <c r="C9080" i="23"/>
  <c r="A9080" i="23"/>
  <c r="C9079" i="23"/>
  <c r="A9079" i="23"/>
  <c r="C9078" i="23"/>
  <c r="A9078" i="23"/>
  <c r="C9077" i="23"/>
  <c r="A9077" i="23"/>
  <c r="C9076" i="23"/>
  <c r="A9076" i="23"/>
  <c r="C9075" i="23"/>
  <c r="A9075" i="23"/>
  <c r="C9155" i="23"/>
  <c r="A9155" i="23"/>
  <c r="C9154" i="23"/>
  <c r="A9154" i="23"/>
  <c r="C9153" i="23"/>
  <c r="A9153" i="23"/>
  <c r="C9152" i="23"/>
  <c r="A9152" i="23"/>
  <c r="C9151" i="23"/>
  <c r="A9151" i="23"/>
  <c r="C9150" i="23"/>
  <c r="A9150" i="23"/>
  <c r="C9149" i="23"/>
  <c r="A9149" i="23"/>
  <c r="C9148" i="23"/>
  <c r="A9148" i="23"/>
  <c r="C9147" i="23"/>
  <c r="A9147" i="23"/>
  <c r="C9146" i="23"/>
  <c r="A9146" i="23"/>
  <c r="C9145" i="23"/>
  <c r="A9145" i="23"/>
  <c r="C9144" i="23"/>
  <c r="A9144" i="23"/>
  <c r="C9143" i="23"/>
  <c r="A9143" i="23"/>
  <c r="C9142" i="23"/>
  <c r="A9142" i="23"/>
  <c r="C9141" i="23"/>
  <c r="A9141" i="23"/>
  <c r="C9140" i="23"/>
  <c r="A9140" i="23"/>
  <c r="C9139" i="23"/>
  <c r="A9139" i="23"/>
  <c r="C9138" i="23"/>
  <c r="A9138" i="23"/>
  <c r="C9137" i="23"/>
  <c r="A9137" i="23"/>
  <c r="C9136" i="23"/>
  <c r="A9136" i="23"/>
  <c r="C9135" i="23"/>
  <c r="A9135" i="23"/>
  <c r="C9134" i="23"/>
  <c r="A9134" i="23"/>
  <c r="C9133" i="23"/>
  <c r="A9133" i="23"/>
  <c r="C9132" i="23"/>
  <c r="A9132" i="23"/>
  <c r="C9131" i="23"/>
  <c r="A9131" i="23"/>
  <c r="C9130" i="23"/>
  <c r="A9130" i="23"/>
  <c r="C9129" i="23"/>
  <c r="A9129" i="23"/>
  <c r="C8291" i="23"/>
  <c r="A8291" i="23"/>
  <c r="C8290" i="23"/>
  <c r="A8290" i="23"/>
  <c r="C8289" i="23"/>
  <c r="A8289" i="23"/>
  <c r="C8288" i="23"/>
  <c r="A8288" i="23"/>
  <c r="C8287" i="23"/>
  <c r="A8287" i="23"/>
  <c r="C8286" i="23"/>
  <c r="A8286" i="23"/>
  <c r="C8285" i="23"/>
  <c r="A8285" i="23"/>
  <c r="C8284" i="23"/>
  <c r="A8284" i="23"/>
  <c r="C8283" i="23"/>
  <c r="A8283" i="23"/>
  <c r="C8282" i="23"/>
  <c r="A8282" i="23"/>
  <c r="C8281" i="23"/>
  <c r="A8281" i="23"/>
  <c r="C8280" i="23"/>
  <c r="A8280" i="23"/>
  <c r="C8279" i="23"/>
  <c r="A8279" i="23"/>
  <c r="C8278" i="23"/>
  <c r="A8278" i="23"/>
  <c r="C8277" i="23"/>
  <c r="A8277" i="23"/>
  <c r="C8276" i="23"/>
  <c r="A8276" i="23"/>
  <c r="C8275" i="23"/>
  <c r="A8275" i="23"/>
  <c r="C8274" i="23"/>
  <c r="A8274" i="23"/>
  <c r="C8273" i="23"/>
  <c r="A8273" i="23"/>
  <c r="C8272" i="23"/>
  <c r="A8272" i="23"/>
  <c r="C8271" i="23"/>
  <c r="A8271" i="23"/>
  <c r="C8270" i="23"/>
  <c r="A8270" i="23"/>
  <c r="C8269" i="23"/>
  <c r="A8269" i="23"/>
  <c r="C8268" i="23"/>
  <c r="A8268" i="23"/>
  <c r="C8267" i="23"/>
  <c r="A8267" i="23"/>
  <c r="C8266" i="23"/>
  <c r="A8266" i="23"/>
  <c r="C8265" i="23"/>
  <c r="A8265" i="23"/>
  <c r="C8993" i="23"/>
  <c r="A8993" i="23"/>
  <c r="C8992" i="23"/>
  <c r="A8992" i="23"/>
  <c r="C8991" i="23"/>
  <c r="A8991" i="23"/>
  <c r="C8990" i="23"/>
  <c r="A8990" i="23"/>
  <c r="C8989" i="23"/>
  <c r="A8989" i="23"/>
  <c r="C8988" i="23"/>
  <c r="A8988" i="23"/>
  <c r="C8987" i="23"/>
  <c r="A8987" i="23"/>
  <c r="C8986" i="23"/>
  <c r="A8986" i="23"/>
  <c r="C8985" i="23"/>
  <c r="A8985" i="23"/>
  <c r="C8984" i="23"/>
  <c r="A8984" i="23"/>
  <c r="C8983" i="23"/>
  <c r="A8983" i="23"/>
  <c r="C8982" i="23"/>
  <c r="A8982" i="23"/>
  <c r="C8981" i="23"/>
  <c r="A8981" i="23"/>
  <c r="C8980" i="23"/>
  <c r="A8980" i="23"/>
  <c r="C8979" i="23"/>
  <c r="A8979" i="23"/>
  <c r="C8978" i="23"/>
  <c r="A8978" i="23"/>
  <c r="C8977" i="23"/>
  <c r="A8977" i="23"/>
  <c r="C8976" i="23"/>
  <c r="A8976" i="23"/>
  <c r="C8975" i="23"/>
  <c r="A8975" i="23"/>
  <c r="C8974" i="23"/>
  <c r="A8974" i="23"/>
  <c r="C8973" i="23"/>
  <c r="A8973" i="23"/>
  <c r="C8972" i="23"/>
  <c r="A8972" i="23"/>
  <c r="C8971" i="23"/>
  <c r="A8971" i="23"/>
  <c r="C8970" i="23"/>
  <c r="A8970" i="23"/>
  <c r="C8969" i="23"/>
  <c r="A8969" i="23"/>
  <c r="C8968" i="23"/>
  <c r="A8968" i="23"/>
  <c r="C8967" i="23"/>
  <c r="A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A7346" i="23"/>
  <c r="C7345" i="23"/>
  <c r="A7345" i="23"/>
  <c r="C7344" i="23"/>
  <c r="A7344" i="23"/>
  <c r="C7343" i="23"/>
  <c r="A7343" i="23"/>
  <c r="C7342" i="23"/>
  <c r="A7342" i="23"/>
  <c r="C7341" i="23"/>
  <c r="A7341" i="23"/>
  <c r="C7340" i="23"/>
  <c r="A7340" i="23"/>
  <c r="C7339" i="23"/>
  <c r="A7339" i="23"/>
  <c r="C7338" i="23"/>
  <c r="A7338" i="23"/>
  <c r="C7337" i="23"/>
  <c r="A7337" i="23"/>
  <c r="C7336" i="23"/>
  <c r="A7336" i="23"/>
  <c r="C7335" i="23"/>
  <c r="A7335" i="23"/>
  <c r="C7334" i="23"/>
  <c r="A7334" i="23"/>
  <c r="C7333" i="23"/>
  <c r="A7333" i="23"/>
  <c r="C7332" i="23"/>
  <c r="A7332" i="23"/>
  <c r="C7331" i="23"/>
  <c r="A7331" i="23"/>
  <c r="C7330" i="23"/>
  <c r="A7330" i="23"/>
  <c r="C7329" i="23"/>
  <c r="A7329" i="23"/>
  <c r="C7328" i="23"/>
  <c r="A7328" i="23"/>
  <c r="C7327" i="23"/>
  <c r="A7327" i="23"/>
  <c r="C7326" i="23"/>
  <c r="A7326" i="23"/>
  <c r="C7325" i="23"/>
  <c r="A7325" i="23"/>
  <c r="C7324" i="23"/>
  <c r="A7324" i="23"/>
  <c r="C7323" i="23"/>
  <c r="A7323" i="23"/>
  <c r="C7322" i="23"/>
  <c r="A7322" i="23"/>
  <c r="C7321" i="23"/>
  <c r="A7321" i="23"/>
  <c r="C7320" i="23"/>
  <c r="A7320" i="23"/>
  <c r="C7373" i="23"/>
  <c r="A7373" i="23"/>
  <c r="C7372" i="23"/>
  <c r="A7372" i="23"/>
  <c r="C7371" i="23"/>
  <c r="A7371" i="23"/>
  <c r="C7370" i="23"/>
  <c r="A7370" i="23"/>
  <c r="C7369" i="23"/>
  <c r="A7369" i="23"/>
  <c r="C7368" i="23"/>
  <c r="A7368" i="23"/>
  <c r="C7367" i="23"/>
  <c r="A7367" i="23"/>
  <c r="C7366" i="23"/>
  <c r="A7366" i="23"/>
  <c r="C7365" i="23"/>
  <c r="A7365" i="23"/>
  <c r="C7364" i="23"/>
  <c r="A7364" i="23"/>
  <c r="C7363" i="23"/>
  <c r="A7363" i="23"/>
  <c r="C7362" i="23"/>
  <c r="A7362" i="23"/>
  <c r="C7361" i="23"/>
  <c r="A7361" i="23"/>
  <c r="C7360" i="23"/>
  <c r="A7360" i="23"/>
  <c r="C7359" i="23"/>
  <c r="A7359" i="23"/>
  <c r="C7358" i="23"/>
  <c r="A7358" i="23"/>
  <c r="C7357" i="23"/>
  <c r="A7357" i="23"/>
  <c r="C7356" i="23"/>
  <c r="A7356" i="23"/>
  <c r="C7355" i="23"/>
  <c r="A7355" i="23"/>
  <c r="C7354" i="23"/>
  <c r="A7354" i="23"/>
  <c r="C7353" i="23"/>
  <c r="A7353" i="23"/>
  <c r="C7352" i="23"/>
  <c r="A7352" i="23"/>
  <c r="C7351" i="23"/>
  <c r="A7351" i="23"/>
  <c r="C7350" i="23"/>
  <c r="A7350" i="23"/>
  <c r="C7349" i="23"/>
  <c r="A7349" i="23"/>
  <c r="C7348" i="23"/>
  <c r="A7348" i="23"/>
  <c r="C7347" i="23"/>
  <c r="A7347" i="23"/>
  <c r="C7400" i="23"/>
  <c r="A7400" i="23"/>
  <c r="C7399" i="23"/>
  <c r="A7399" i="23"/>
  <c r="C7398" i="23"/>
  <c r="A7398" i="23"/>
  <c r="C7397" i="23"/>
  <c r="A7397" i="23"/>
  <c r="C7396" i="23"/>
  <c r="A7396" i="23"/>
  <c r="C7395" i="23"/>
  <c r="A7395" i="23"/>
  <c r="C7394" i="23"/>
  <c r="A7394" i="23"/>
  <c r="C7393" i="23"/>
  <c r="A7393" i="23"/>
  <c r="C7392" i="23"/>
  <c r="A7392" i="23"/>
  <c r="C7391" i="23"/>
  <c r="A7391" i="23"/>
  <c r="C7390" i="23"/>
  <c r="A7390" i="23"/>
  <c r="C7389" i="23"/>
  <c r="A7389" i="23"/>
  <c r="C7388" i="23"/>
  <c r="A7388" i="23"/>
  <c r="C7387" i="23"/>
  <c r="A7387" i="23"/>
  <c r="C7386" i="23"/>
  <c r="A7386" i="23"/>
  <c r="C7385" i="23"/>
  <c r="A7385" i="23"/>
  <c r="C7384" i="23"/>
  <c r="A7384" i="23"/>
  <c r="C7383" i="23"/>
  <c r="A7383" i="23"/>
  <c r="C7382" i="23"/>
  <c r="A7382" i="23"/>
  <c r="C7381" i="23"/>
  <c r="A7381" i="23"/>
  <c r="C7380" i="23"/>
  <c r="A7380" i="23"/>
  <c r="C7379" i="23"/>
  <c r="A7379" i="23"/>
  <c r="C7378" i="23"/>
  <c r="A7378" i="23"/>
  <c r="C7377" i="23"/>
  <c r="A7377" i="23"/>
  <c r="C7376" i="23"/>
  <c r="A7376" i="23"/>
  <c r="C7375" i="23"/>
  <c r="A7375" i="23"/>
  <c r="C7374" i="23"/>
  <c r="A7374" i="23"/>
  <c r="C7427" i="23"/>
  <c r="A7427" i="23"/>
  <c r="C7426" i="23"/>
  <c r="A7426" i="23"/>
  <c r="C7425" i="23"/>
  <c r="A7425" i="23"/>
  <c r="C7424" i="23"/>
  <c r="A7424" i="23"/>
  <c r="C7423" i="23"/>
  <c r="A7423" i="23"/>
  <c r="C7422" i="23"/>
  <c r="A7422" i="23"/>
  <c r="C7421" i="23"/>
  <c r="A7421" i="23"/>
  <c r="C7420" i="23"/>
  <c r="A7420" i="23"/>
  <c r="C7419" i="23"/>
  <c r="A7419" i="23"/>
  <c r="C7418" i="23"/>
  <c r="A7418" i="23"/>
  <c r="C7417" i="23"/>
  <c r="A7417" i="23"/>
  <c r="C7416" i="23"/>
  <c r="A7416" i="23"/>
  <c r="C7415" i="23"/>
  <c r="A7415" i="23"/>
  <c r="C7414" i="23"/>
  <c r="A7414" i="23"/>
  <c r="C7413" i="23"/>
  <c r="A7413" i="23"/>
  <c r="C7412" i="23"/>
  <c r="A7412" i="23"/>
  <c r="C7411" i="23"/>
  <c r="A7411" i="23"/>
  <c r="C7410" i="23"/>
  <c r="A7410" i="23"/>
  <c r="C7409" i="23"/>
  <c r="A7409" i="23"/>
  <c r="C7408" i="23"/>
  <c r="A7408" i="23"/>
  <c r="C7407" i="23"/>
  <c r="A7407" i="23"/>
  <c r="C7406" i="23"/>
  <c r="A7406" i="23"/>
  <c r="C7405" i="23"/>
  <c r="A7405" i="23"/>
  <c r="C7404" i="23"/>
  <c r="A7404" i="23"/>
  <c r="C7403" i="23"/>
  <c r="A7403" i="23"/>
  <c r="C7402" i="23"/>
  <c r="A7402" i="23"/>
  <c r="C7401" i="23"/>
  <c r="A7401" i="23"/>
  <c r="C7454" i="23"/>
  <c r="A7454" i="23"/>
  <c r="C7453" i="23"/>
  <c r="A7453" i="23"/>
  <c r="C7452" i="23"/>
  <c r="A7452" i="23"/>
  <c r="C7451" i="23"/>
  <c r="A7451" i="23"/>
  <c r="C7450" i="23"/>
  <c r="A7450" i="23"/>
  <c r="C7449" i="23"/>
  <c r="A7449" i="23"/>
  <c r="C7448" i="23"/>
  <c r="A7448" i="23"/>
  <c r="C7447" i="23"/>
  <c r="A7447" i="23"/>
  <c r="C7446" i="23"/>
  <c r="A7446" i="23"/>
  <c r="C7445" i="23"/>
  <c r="A7445" i="23"/>
  <c r="C7444" i="23"/>
  <c r="A7444" i="23"/>
  <c r="C7443" i="23"/>
  <c r="A7443" i="23"/>
  <c r="C7442" i="23"/>
  <c r="A7442" i="23"/>
  <c r="C7441" i="23"/>
  <c r="A7441" i="23"/>
  <c r="C7440" i="23"/>
  <c r="A7440" i="23"/>
  <c r="C7439" i="23"/>
  <c r="A7439" i="23"/>
  <c r="C7438" i="23"/>
  <c r="A7438" i="23"/>
  <c r="C7437" i="23"/>
  <c r="A7437" i="23"/>
  <c r="C7436" i="23"/>
  <c r="A7436" i="23"/>
  <c r="C7435" i="23"/>
  <c r="A7435" i="23"/>
  <c r="C7434" i="23"/>
  <c r="A7434" i="23"/>
  <c r="C7433" i="23"/>
  <c r="A7433" i="23"/>
  <c r="C7432" i="23"/>
  <c r="A7432" i="23"/>
  <c r="C7431" i="23"/>
  <c r="A7431" i="23"/>
  <c r="C7430" i="23"/>
  <c r="A7430" i="23"/>
  <c r="C7429" i="23"/>
  <c r="A7429" i="23"/>
  <c r="C7428" i="23"/>
  <c r="A7428" i="23"/>
  <c r="C7481" i="23"/>
  <c r="A7481" i="23"/>
  <c r="C7480" i="23"/>
  <c r="A7480" i="23"/>
  <c r="C7479" i="23"/>
  <c r="A7479" i="23"/>
  <c r="C7478" i="23"/>
  <c r="A7478" i="23"/>
  <c r="C7477" i="23"/>
  <c r="A7477" i="23"/>
  <c r="C7476" i="23"/>
  <c r="A7476" i="23"/>
  <c r="C7475" i="23"/>
  <c r="A7475" i="23"/>
  <c r="C7474" i="23"/>
  <c r="A7474" i="23"/>
  <c r="C7473" i="23"/>
  <c r="A7473" i="23"/>
  <c r="C7472" i="23"/>
  <c r="A7472" i="23"/>
  <c r="C7471" i="23"/>
  <c r="A7471" i="23"/>
  <c r="C7470" i="23"/>
  <c r="A7470" i="23"/>
  <c r="C7469" i="23"/>
  <c r="A7469" i="23"/>
  <c r="C7468" i="23"/>
  <c r="A7468" i="23"/>
  <c r="C7467" i="23"/>
  <c r="A7467" i="23"/>
  <c r="C7466" i="23"/>
  <c r="A7466" i="23"/>
  <c r="C7465" i="23"/>
  <c r="A7465" i="23"/>
  <c r="C7464" i="23"/>
  <c r="A7464" i="23"/>
  <c r="C7463" i="23"/>
  <c r="A7463" i="23"/>
  <c r="C7462" i="23"/>
  <c r="A7462" i="23"/>
  <c r="C7461" i="23"/>
  <c r="A7461" i="23"/>
  <c r="C7460" i="23"/>
  <c r="A7460" i="23"/>
  <c r="C7459" i="23"/>
  <c r="A7459" i="23"/>
  <c r="C7458" i="23"/>
  <c r="A7458" i="23"/>
  <c r="C7457" i="23"/>
  <c r="A7457" i="23"/>
  <c r="C7456" i="23"/>
  <c r="A7456" i="23"/>
  <c r="C7455" i="23"/>
  <c r="A7455" i="23"/>
  <c r="C7508" i="23"/>
  <c r="A7508" i="23"/>
  <c r="C7507" i="23"/>
  <c r="A7507" i="23"/>
  <c r="C7506" i="23"/>
  <c r="A7506" i="23"/>
  <c r="C7505" i="23"/>
  <c r="A7505" i="23"/>
  <c r="C7504" i="23"/>
  <c r="A7504" i="23"/>
  <c r="C7503" i="23"/>
  <c r="A7503" i="23"/>
  <c r="C7502" i="23"/>
  <c r="A7502" i="23"/>
  <c r="C7501" i="23"/>
  <c r="A7501" i="23"/>
  <c r="C7500" i="23"/>
  <c r="A7500" i="23"/>
  <c r="C7499" i="23"/>
  <c r="A7499" i="23"/>
  <c r="C7498" i="23"/>
  <c r="A7498" i="23"/>
  <c r="C7497" i="23"/>
  <c r="A7497" i="23"/>
  <c r="C7496" i="23"/>
  <c r="A7496" i="23"/>
  <c r="C7495" i="23"/>
  <c r="A7495" i="23"/>
  <c r="C7494" i="23"/>
  <c r="A7494" i="23"/>
  <c r="C7493" i="23"/>
  <c r="A7493" i="23"/>
  <c r="C7492" i="23"/>
  <c r="A7492" i="23"/>
  <c r="C7491" i="23"/>
  <c r="A7491" i="23"/>
  <c r="C7490" i="23"/>
  <c r="A7490" i="23"/>
  <c r="C7489" i="23"/>
  <c r="A7489" i="23"/>
  <c r="C7488" i="23"/>
  <c r="A7488" i="23"/>
  <c r="C7487" i="23"/>
  <c r="A7487" i="23"/>
  <c r="C7486" i="23"/>
  <c r="A7486" i="23"/>
  <c r="C7485" i="23"/>
  <c r="A7485" i="23"/>
  <c r="C7484" i="23"/>
  <c r="A7484" i="23"/>
  <c r="C7483" i="23"/>
  <c r="A7483" i="23"/>
  <c r="C7482" i="23"/>
  <c r="A7482" i="23"/>
  <c r="C7535" i="23"/>
  <c r="A7535" i="23"/>
  <c r="C7534" i="23"/>
  <c r="A7534" i="23"/>
  <c r="C7533" i="23"/>
  <c r="A7533" i="23"/>
  <c r="C7532" i="23"/>
  <c r="A7532" i="23"/>
  <c r="C7531" i="23"/>
  <c r="A7531" i="23"/>
  <c r="C7530" i="23"/>
  <c r="A7530" i="23"/>
  <c r="C7529" i="23"/>
  <c r="A7529" i="23"/>
  <c r="C7528" i="23"/>
  <c r="A7528" i="23"/>
  <c r="C7527" i="23"/>
  <c r="A7527" i="23"/>
  <c r="C7526" i="23"/>
  <c r="A7526" i="23"/>
  <c r="C7525" i="23"/>
  <c r="A7525" i="23"/>
  <c r="C7524" i="23"/>
  <c r="A7524" i="23"/>
  <c r="C7523" i="23"/>
  <c r="A7523" i="23"/>
  <c r="C7522" i="23"/>
  <c r="A7522" i="23"/>
  <c r="C7521" i="23"/>
  <c r="A7521" i="23"/>
  <c r="C7520" i="23"/>
  <c r="A7520" i="23"/>
  <c r="C7519" i="23"/>
  <c r="A7519" i="23"/>
  <c r="C7518" i="23"/>
  <c r="A7518" i="23"/>
  <c r="C7517" i="23"/>
  <c r="A7517" i="23"/>
  <c r="C7516" i="23"/>
  <c r="A7516" i="23"/>
  <c r="C7515" i="23"/>
  <c r="A7515" i="23"/>
  <c r="C7514" i="23"/>
  <c r="A7514" i="23"/>
  <c r="C7513" i="23"/>
  <c r="A7513" i="23"/>
  <c r="C7512" i="23"/>
  <c r="A7512" i="23"/>
  <c r="C7511" i="23"/>
  <c r="A7511" i="23"/>
  <c r="C7510" i="23"/>
  <c r="A7510" i="23"/>
  <c r="C7509" i="23"/>
  <c r="A7509" i="23"/>
  <c r="C7562" i="23"/>
  <c r="A7562" i="23"/>
  <c r="C7561" i="23"/>
  <c r="A7561" i="23"/>
  <c r="C7560" i="23"/>
  <c r="A7560" i="23"/>
  <c r="C7559" i="23"/>
  <c r="A7559" i="23"/>
  <c r="C7558" i="23"/>
  <c r="A7558" i="23"/>
  <c r="C7557" i="23"/>
  <c r="A7557" i="23"/>
  <c r="C7556" i="23"/>
  <c r="A7556" i="23"/>
  <c r="C7555" i="23"/>
  <c r="A7555" i="23"/>
  <c r="C7554" i="23"/>
  <c r="A7554" i="23"/>
  <c r="C7553" i="23"/>
  <c r="A7553" i="23"/>
  <c r="C7552" i="23"/>
  <c r="A7552" i="23"/>
  <c r="C7551" i="23"/>
  <c r="A7551" i="23"/>
  <c r="C7550" i="23"/>
  <c r="A7550" i="23"/>
  <c r="C7549" i="23"/>
  <c r="A7549" i="23"/>
  <c r="C7548" i="23"/>
  <c r="A7548" i="23"/>
  <c r="C7547" i="23"/>
  <c r="A7547" i="23"/>
  <c r="C7546" i="23"/>
  <c r="A7546" i="23"/>
  <c r="C7545" i="23"/>
  <c r="A7545" i="23"/>
  <c r="C7544" i="23"/>
  <c r="A7544" i="23"/>
  <c r="C7543" i="23"/>
  <c r="A7543" i="23"/>
  <c r="C7542" i="23"/>
  <c r="A7542" i="23"/>
  <c r="C7541" i="23"/>
  <c r="A7541" i="23"/>
  <c r="C7540" i="23"/>
  <c r="A7540" i="23"/>
  <c r="C7539" i="23"/>
  <c r="A7539" i="23"/>
  <c r="C7538" i="23"/>
  <c r="A7538" i="23"/>
  <c r="C7537" i="23"/>
  <c r="A7537" i="23"/>
  <c r="C7536" i="23"/>
  <c r="A7536" i="23"/>
  <c r="C7319" i="23"/>
  <c r="A7319" i="23"/>
  <c r="C7318" i="23"/>
  <c r="A7318" i="23"/>
  <c r="C7317" i="23"/>
  <c r="A7317" i="23"/>
  <c r="C7316" i="23"/>
  <c r="A7316" i="23"/>
  <c r="C7315" i="23"/>
  <c r="A7315" i="23"/>
  <c r="C7314" i="23"/>
  <c r="A7314" i="23"/>
  <c r="C7313" i="23"/>
  <c r="A7313" i="23"/>
  <c r="C7312" i="23"/>
  <c r="A7312" i="23"/>
  <c r="C7311" i="23"/>
  <c r="A7311" i="23"/>
  <c r="C7310" i="23"/>
  <c r="A7310" i="23"/>
  <c r="C7309" i="23"/>
  <c r="A7309" i="23"/>
  <c r="C7308" i="23"/>
  <c r="A7308" i="23"/>
  <c r="C7307" i="23"/>
  <c r="A7307" i="23"/>
  <c r="C7306" i="23"/>
  <c r="A7306" i="23"/>
  <c r="C7305" i="23"/>
  <c r="A7305" i="23"/>
  <c r="C7304" i="23"/>
  <c r="A7304" i="23"/>
  <c r="C7303" i="23"/>
  <c r="A7303" i="23"/>
  <c r="C7302" i="23"/>
  <c r="A7302" i="23"/>
  <c r="C7301" i="23"/>
  <c r="A7301" i="23"/>
  <c r="C7300" i="23"/>
  <c r="A7300" i="23"/>
  <c r="C7299" i="23"/>
  <c r="A7299" i="23"/>
  <c r="C7298" i="23"/>
  <c r="A7298" i="23"/>
  <c r="C7297" i="23"/>
  <c r="A7297" i="23"/>
  <c r="C7296" i="23"/>
  <c r="A7296" i="23"/>
  <c r="C7295" i="23"/>
  <c r="A7295" i="23"/>
  <c r="C7294" i="23"/>
  <c r="A7294" i="23"/>
  <c r="C7293" i="23"/>
  <c r="A7293" i="23"/>
  <c r="C7670" i="23"/>
  <c r="A7670" i="23"/>
  <c r="C7669" i="23"/>
  <c r="A7669" i="23"/>
  <c r="C7668" i="23"/>
  <c r="A7668" i="23"/>
  <c r="C7667" i="23"/>
  <c r="A7667" i="23"/>
  <c r="C7666" i="23"/>
  <c r="A7666" i="23"/>
  <c r="C7665" i="23"/>
  <c r="A7665" i="23"/>
  <c r="C7664" i="23"/>
  <c r="A7664" i="23"/>
  <c r="C7663" i="23"/>
  <c r="A7663" i="23"/>
  <c r="C7662" i="23"/>
  <c r="A7662" i="23"/>
  <c r="C7661" i="23"/>
  <c r="A7661" i="23"/>
  <c r="C7660" i="23"/>
  <c r="A7660" i="23"/>
  <c r="C7659" i="23"/>
  <c r="A7659" i="23"/>
  <c r="C7658" i="23"/>
  <c r="A7658" i="23"/>
  <c r="C7657" i="23"/>
  <c r="A7657" i="23"/>
  <c r="C7656" i="23"/>
  <c r="A7656" i="23"/>
  <c r="C7655" i="23"/>
  <c r="A7655" i="23"/>
  <c r="C7654" i="23"/>
  <c r="A7654" i="23"/>
  <c r="C7653" i="23"/>
  <c r="A7653" i="23"/>
  <c r="C7652" i="23"/>
  <c r="A7652" i="23"/>
  <c r="C7651" i="23"/>
  <c r="A7651" i="23"/>
  <c r="C7650" i="23"/>
  <c r="A7650" i="23"/>
  <c r="C7649" i="23"/>
  <c r="A7649" i="23"/>
  <c r="C7648" i="23"/>
  <c r="A7648" i="23"/>
  <c r="C7647" i="23"/>
  <c r="A7647" i="23"/>
  <c r="C7646" i="23"/>
  <c r="A7646" i="23"/>
  <c r="C7645" i="23"/>
  <c r="A7645" i="23"/>
  <c r="C7644" i="23"/>
  <c r="A7644" i="23"/>
  <c r="C8021" i="23"/>
  <c r="A8021" i="23"/>
  <c r="C8020" i="23"/>
  <c r="A8020" i="23"/>
  <c r="C8019" i="23"/>
  <c r="A8019" i="23"/>
  <c r="C8018" i="23"/>
  <c r="A8018" i="23"/>
  <c r="C8017" i="23"/>
  <c r="A8017" i="23"/>
  <c r="C8016" i="23"/>
  <c r="A8016" i="23"/>
  <c r="C8015" i="23"/>
  <c r="A8015" i="23"/>
  <c r="C8014" i="23"/>
  <c r="A8014" i="23"/>
  <c r="C8013" i="23"/>
  <c r="A8013" i="23"/>
  <c r="C8012" i="23"/>
  <c r="A8012" i="23"/>
  <c r="C8011" i="23"/>
  <c r="A8011" i="23"/>
  <c r="C8010" i="23"/>
  <c r="A8010" i="23"/>
  <c r="C8009" i="23"/>
  <c r="A8009" i="23"/>
  <c r="C8008" i="23"/>
  <c r="A8008" i="23"/>
  <c r="C8007" i="23"/>
  <c r="A8007" i="23"/>
  <c r="C8006" i="23"/>
  <c r="A8006" i="23"/>
  <c r="C8005" i="23"/>
  <c r="A8005" i="23"/>
  <c r="C8004" i="23"/>
  <c r="A8004" i="23"/>
  <c r="C8003" i="23"/>
  <c r="A8003" i="23"/>
  <c r="C8002" i="23"/>
  <c r="A8002" i="23"/>
  <c r="C8001" i="23"/>
  <c r="A8001" i="23"/>
  <c r="C8000" i="23"/>
  <c r="A8000" i="23"/>
  <c r="C7999" i="23"/>
  <c r="A7999" i="23"/>
  <c r="C7998" i="23"/>
  <c r="A7998" i="23"/>
  <c r="C7997" i="23"/>
  <c r="A7997" i="23"/>
  <c r="C7996" i="23"/>
  <c r="A7996" i="23"/>
  <c r="C7995" i="23"/>
  <c r="A7995" i="23"/>
  <c r="C7697" i="23"/>
  <c r="A7697" i="23"/>
  <c r="C7696" i="23"/>
  <c r="A7696" i="23"/>
  <c r="C7695" i="23"/>
  <c r="A7695" i="23"/>
  <c r="C7694" i="23"/>
  <c r="A7694" i="23"/>
  <c r="C7693" i="23"/>
  <c r="A7693" i="23"/>
  <c r="C7692" i="23"/>
  <c r="A7692" i="23"/>
  <c r="C7691" i="23"/>
  <c r="A7691" i="23"/>
  <c r="C7690" i="23"/>
  <c r="A7690" i="23"/>
  <c r="C7689" i="23"/>
  <c r="A7689" i="23"/>
  <c r="C7688" i="23"/>
  <c r="A7688" i="23"/>
  <c r="C7687" i="23"/>
  <c r="A7687" i="23"/>
  <c r="C7686" i="23"/>
  <c r="A7686" i="23"/>
  <c r="C7685" i="23"/>
  <c r="A7685" i="23"/>
  <c r="C7684" i="23"/>
  <c r="A7684" i="23"/>
  <c r="C7683" i="23"/>
  <c r="A7683" i="23"/>
  <c r="C7682" i="23"/>
  <c r="A7682" i="23"/>
  <c r="C7681" i="23"/>
  <c r="A7681" i="23"/>
  <c r="C7680" i="23"/>
  <c r="A7680" i="23"/>
  <c r="C7679" i="23"/>
  <c r="A7679" i="23"/>
  <c r="C7678" i="23"/>
  <c r="A7678" i="23"/>
  <c r="C7677" i="23"/>
  <c r="A7677" i="23"/>
  <c r="C7676" i="23"/>
  <c r="A7676" i="23"/>
  <c r="C7675" i="23"/>
  <c r="A7675" i="23"/>
  <c r="C7674" i="23"/>
  <c r="A7674" i="23"/>
  <c r="C7673" i="23"/>
  <c r="A7673" i="23"/>
  <c r="C7672" i="23"/>
  <c r="A7672" i="23"/>
  <c r="C7671" i="23"/>
  <c r="A7671" i="23"/>
  <c r="C8156" i="23"/>
  <c r="A8156" i="23"/>
  <c r="C8155" i="23"/>
  <c r="A8155" i="23"/>
  <c r="C8154" i="23"/>
  <c r="A8154" i="23"/>
  <c r="C8153" i="23"/>
  <c r="A8153" i="23"/>
  <c r="C8152" i="23"/>
  <c r="A8152" i="23"/>
  <c r="C8151" i="23"/>
  <c r="A8151" i="23"/>
  <c r="C8150" i="23"/>
  <c r="A8150" i="23"/>
  <c r="C8149" i="23"/>
  <c r="A8149" i="23"/>
  <c r="C8148" i="23"/>
  <c r="A8148" i="23"/>
  <c r="C8147" i="23"/>
  <c r="A8147" i="23"/>
  <c r="C8146" i="23"/>
  <c r="A8146" i="23"/>
  <c r="C8145" i="23"/>
  <c r="A8145" i="23"/>
  <c r="C8144" i="23"/>
  <c r="A8144" i="23"/>
  <c r="C8143" i="23"/>
  <c r="A8143" i="23"/>
  <c r="C8142" i="23"/>
  <c r="A8142" i="23"/>
  <c r="C8141" i="23"/>
  <c r="A8141" i="23"/>
  <c r="C8140" i="23"/>
  <c r="A8140" i="23"/>
  <c r="C8139" i="23"/>
  <c r="A8139" i="23"/>
  <c r="C8138" i="23"/>
  <c r="A8138" i="23"/>
  <c r="C8137" i="23"/>
  <c r="A8137" i="23"/>
  <c r="C8136" i="23"/>
  <c r="A8136" i="23"/>
  <c r="C8135" i="23"/>
  <c r="A8135" i="23"/>
  <c r="C8134" i="23"/>
  <c r="A8134" i="23"/>
  <c r="C8133" i="23"/>
  <c r="A8133" i="23"/>
  <c r="C8132" i="23"/>
  <c r="A8132" i="23"/>
  <c r="C8131" i="23"/>
  <c r="A8131" i="23"/>
  <c r="C8130" i="23"/>
  <c r="A8130" i="23"/>
  <c r="C7292" i="23"/>
  <c r="A7292" i="23"/>
  <c r="C7291" i="23"/>
  <c r="A7291" i="23"/>
  <c r="C7290" i="23"/>
  <c r="A7290" i="23"/>
  <c r="C7289" i="23"/>
  <c r="A7289" i="23"/>
  <c r="C7288" i="23"/>
  <c r="A7288" i="23"/>
  <c r="C7287" i="23"/>
  <c r="A7287" i="23"/>
  <c r="C7286" i="23"/>
  <c r="A7286" i="23"/>
  <c r="C7285" i="23"/>
  <c r="A7285" i="23"/>
  <c r="C7284" i="23"/>
  <c r="A7284" i="23"/>
  <c r="C7283" i="23"/>
  <c r="A7283" i="23"/>
  <c r="C7282" i="23"/>
  <c r="A7282" i="23"/>
  <c r="C7281" i="23"/>
  <c r="A7281" i="23"/>
  <c r="C7280" i="23"/>
  <c r="A7280" i="23"/>
  <c r="C7279" i="23"/>
  <c r="A7279" i="23"/>
  <c r="C7278" i="23"/>
  <c r="A7278" i="23"/>
  <c r="C7277" i="23"/>
  <c r="A7277" i="23"/>
  <c r="C7276" i="23"/>
  <c r="A7276" i="23"/>
  <c r="C7275" i="23"/>
  <c r="A7275" i="23"/>
  <c r="C7274" i="23"/>
  <c r="A7274" i="23"/>
  <c r="C7273" i="23"/>
  <c r="A7273" i="23"/>
  <c r="C7272" i="23"/>
  <c r="A7272" i="23"/>
  <c r="C7271" i="23"/>
  <c r="A7271" i="23"/>
  <c r="C7270" i="23"/>
  <c r="A7270" i="23"/>
  <c r="C7269" i="23"/>
  <c r="A7269" i="23"/>
  <c r="C7268" i="23"/>
  <c r="A7268" i="23"/>
  <c r="C7267" i="23"/>
  <c r="A7267" i="23"/>
  <c r="C7266" i="23"/>
  <c r="A7266" i="23"/>
  <c r="C7643" i="23"/>
  <c r="A7643" i="23"/>
  <c r="C7642" i="23"/>
  <c r="A7642" i="23"/>
  <c r="C7641" i="23"/>
  <c r="A7641" i="23"/>
  <c r="C7640" i="23"/>
  <c r="A7640" i="23"/>
  <c r="C7639" i="23"/>
  <c r="A7639" i="23"/>
  <c r="C7638" i="23"/>
  <c r="A7638" i="23"/>
  <c r="C7637" i="23"/>
  <c r="A7637" i="23"/>
  <c r="C7636" i="23"/>
  <c r="A7636" i="23"/>
  <c r="C7635" i="23"/>
  <c r="A7635" i="23"/>
  <c r="C7634" i="23"/>
  <c r="A7634" i="23"/>
  <c r="C7633" i="23"/>
  <c r="A7633" i="23"/>
  <c r="C7632" i="23"/>
  <c r="A7632" i="23"/>
  <c r="C7631" i="23"/>
  <c r="A7631" i="23"/>
  <c r="C7630" i="23"/>
  <c r="A7630" i="23"/>
  <c r="C7629" i="23"/>
  <c r="A7629" i="23"/>
  <c r="C7628" i="23"/>
  <c r="A7628" i="23"/>
  <c r="C7627" i="23"/>
  <c r="A7627" i="23"/>
  <c r="C7626" i="23"/>
  <c r="A7626" i="23"/>
  <c r="C7625" i="23"/>
  <c r="A7625" i="23"/>
  <c r="C7624" i="23"/>
  <c r="A7624" i="23"/>
  <c r="C7623" i="23"/>
  <c r="A7623" i="23"/>
  <c r="C7622" i="23"/>
  <c r="A7622" i="23"/>
  <c r="C7621" i="23"/>
  <c r="A7621" i="23"/>
  <c r="C7620" i="23"/>
  <c r="A7620" i="23"/>
  <c r="C7619" i="23"/>
  <c r="A7619" i="23"/>
  <c r="C7618" i="23"/>
  <c r="A7618" i="23"/>
  <c r="C7617" i="23"/>
  <c r="A7617" i="23"/>
  <c r="C7940" i="23"/>
  <c r="A7940" i="23"/>
  <c r="C7939" i="23"/>
  <c r="A7939" i="23"/>
  <c r="C7938" i="23"/>
  <c r="A7938" i="23"/>
  <c r="C7937" i="23"/>
  <c r="A7937" i="23"/>
  <c r="C7936" i="23"/>
  <c r="A7936" i="23"/>
  <c r="C7935" i="23"/>
  <c r="A7935" i="23"/>
  <c r="C7934" i="23"/>
  <c r="A7934" i="23"/>
  <c r="C7933" i="23"/>
  <c r="A7933" i="23"/>
  <c r="C7932" i="23"/>
  <c r="A7932" i="23"/>
  <c r="C7931" i="23"/>
  <c r="A7931" i="23"/>
  <c r="C7930" i="23"/>
  <c r="A7930" i="23"/>
  <c r="C7929" i="23"/>
  <c r="A7929" i="23"/>
  <c r="C7928" i="23"/>
  <c r="A7928" i="23"/>
  <c r="C7927" i="23"/>
  <c r="A7927" i="23"/>
  <c r="C7926" i="23"/>
  <c r="A7926" i="23"/>
  <c r="C7925" i="23"/>
  <c r="A7925" i="23"/>
  <c r="C7924" i="23"/>
  <c r="A7924" i="23"/>
  <c r="C7923" i="23"/>
  <c r="A7923" i="23"/>
  <c r="C7922" i="23"/>
  <c r="A7922" i="23"/>
  <c r="C7921" i="23"/>
  <c r="A7921" i="23"/>
  <c r="C7920" i="23"/>
  <c r="A7920" i="23"/>
  <c r="C7919" i="23"/>
  <c r="A7919" i="23"/>
  <c r="C7918" i="23"/>
  <c r="A7918" i="23"/>
  <c r="C7917" i="23"/>
  <c r="A7917" i="23"/>
  <c r="C7916" i="23"/>
  <c r="A7916" i="23"/>
  <c r="C7915" i="23"/>
  <c r="A7915" i="23"/>
  <c r="C7914" i="23"/>
  <c r="A7914" i="23"/>
  <c r="C7751" i="23"/>
  <c r="A7751" i="23"/>
  <c r="C7750" i="23"/>
  <c r="A7750" i="23"/>
  <c r="C7749" i="23"/>
  <c r="A7749" i="23"/>
  <c r="C7748" i="23"/>
  <c r="A7748" i="23"/>
  <c r="C7747" i="23"/>
  <c r="A7747" i="23"/>
  <c r="C7746" i="23"/>
  <c r="A7746" i="23"/>
  <c r="C7745" i="23"/>
  <c r="A7745" i="23"/>
  <c r="C7744" i="23"/>
  <c r="A7744" i="23"/>
  <c r="C7743" i="23"/>
  <c r="A7743" i="23"/>
  <c r="C7742" i="23"/>
  <c r="A7742" i="23"/>
  <c r="C7741" i="23"/>
  <c r="A7741" i="23"/>
  <c r="C7740" i="23"/>
  <c r="A7740" i="23"/>
  <c r="C7739" i="23"/>
  <c r="A7739" i="23"/>
  <c r="C7738" i="23"/>
  <c r="A7738" i="23"/>
  <c r="C7737" i="23"/>
  <c r="A7737" i="23"/>
  <c r="C7736" i="23"/>
  <c r="A7736" i="23"/>
  <c r="C7735" i="23"/>
  <c r="A7735" i="23"/>
  <c r="C7734" i="23"/>
  <c r="A7734" i="23"/>
  <c r="C7733" i="23"/>
  <c r="A7733" i="23"/>
  <c r="C7732" i="23"/>
  <c r="A7732" i="23"/>
  <c r="C7731" i="23"/>
  <c r="A7731" i="23"/>
  <c r="C7730" i="23"/>
  <c r="A7730" i="23"/>
  <c r="C7729" i="23"/>
  <c r="A7729" i="23"/>
  <c r="C7728" i="23"/>
  <c r="A7728" i="23"/>
  <c r="C7727" i="23"/>
  <c r="A7727" i="23"/>
  <c r="C7726" i="23"/>
  <c r="A7726" i="23"/>
  <c r="C7725" i="23"/>
  <c r="A7725" i="23"/>
  <c r="C7832" i="23"/>
  <c r="A7832" i="23"/>
  <c r="C7831" i="23"/>
  <c r="A7831" i="23"/>
  <c r="C7830" i="23"/>
  <c r="A7830" i="23"/>
  <c r="C7829" i="23"/>
  <c r="A7829" i="23"/>
  <c r="C7828" i="23"/>
  <c r="A7828" i="23"/>
  <c r="C7827" i="23"/>
  <c r="A7827" i="23"/>
  <c r="C7826" i="23"/>
  <c r="A7826" i="23"/>
  <c r="C7825" i="23"/>
  <c r="A7825" i="23"/>
  <c r="C7824" i="23"/>
  <c r="A7824" i="23"/>
  <c r="C7823" i="23"/>
  <c r="A7823" i="23"/>
  <c r="C7822" i="23"/>
  <c r="A7822" i="23"/>
  <c r="C7821" i="23"/>
  <c r="A7821" i="23"/>
  <c r="C7820" i="23"/>
  <c r="A7820" i="23"/>
  <c r="C7819" i="23"/>
  <c r="A7819" i="23"/>
  <c r="C7818" i="23"/>
  <c r="A7818" i="23"/>
  <c r="C7817" i="23"/>
  <c r="A7817" i="23"/>
  <c r="C7816" i="23"/>
  <c r="A7816" i="23"/>
  <c r="C7815" i="23"/>
  <c r="A7815" i="23"/>
  <c r="C7814" i="23"/>
  <c r="A7814" i="23"/>
  <c r="C7813" i="23"/>
  <c r="A7813" i="23"/>
  <c r="C7812" i="23"/>
  <c r="A7812" i="23"/>
  <c r="C7811" i="23"/>
  <c r="A7811" i="23"/>
  <c r="C7810" i="23"/>
  <c r="A7810" i="23"/>
  <c r="C7809" i="23"/>
  <c r="A7809" i="23"/>
  <c r="C7808" i="23"/>
  <c r="A7808" i="23"/>
  <c r="C7807" i="23"/>
  <c r="A7807" i="23"/>
  <c r="C7806" i="23"/>
  <c r="A7806" i="23"/>
  <c r="C8102" i="23"/>
  <c r="A8102" i="23"/>
  <c r="C8101" i="23"/>
  <c r="A8101" i="23"/>
  <c r="C8100" i="23"/>
  <c r="A8100" i="23"/>
  <c r="C8099" i="23"/>
  <c r="A8099" i="23"/>
  <c r="C8098" i="23"/>
  <c r="A8098" i="23"/>
  <c r="C8097" i="23"/>
  <c r="A8097" i="23"/>
  <c r="C8096" i="23"/>
  <c r="A8096" i="23"/>
  <c r="C8095" i="23"/>
  <c r="A8095" i="23"/>
  <c r="C8094" i="23"/>
  <c r="A8094" i="23"/>
  <c r="C8093" i="23"/>
  <c r="A8093" i="23"/>
  <c r="C8092" i="23"/>
  <c r="A8092" i="23"/>
  <c r="C8091" i="23"/>
  <c r="A8091" i="23"/>
  <c r="C8090" i="23"/>
  <c r="A8090" i="23"/>
  <c r="C8089" i="23"/>
  <c r="A8089" i="23"/>
  <c r="C8088" i="23"/>
  <c r="A8088" i="23"/>
  <c r="C8087" i="23"/>
  <c r="A8087" i="23"/>
  <c r="C8086" i="23"/>
  <c r="A8086" i="23"/>
  <c r="C8085" i="23"/>
  <c r="A8085" i="23"/>
  <c r="C8084" i="23"/>
  <c r="A8084" i="23"/>
  <c r="C8083" i="23"/>
  <c r="A8083" i="23"/>
  <c r="C8082" i="23"/>
  <c r="A8082" i="23"/>
  <c r="C8081" i="23"/>
  <c r="A8081" i="23"/>
  <c r="C8080" i="23"/>
  <c r="A8080" i="23"/>
  <c r="C8079" i="23"/>
  <c r="A8079" i="23"/>
  <c r="C8078" i="23"/>
  <c r="A8078" i="23"/>
  <c r="C8077" i="23"/>
  <c r="A8077" i="23"/>
  <c r="C8076" i="23"/>
  <c r="A8076" i="23"/>
  <c r="C8048" i="23"/>
  <c r="A8048" i="23"/>
  <c r="C8047" i="23"/>
  <c r="A8047" i="23"/>
  <c r="C8046" i="23"/>
  <c r="A8046" i="23"/>
  <c r="C8045" i="23"/>
  <c r="A8045" i="23"/>
  <c r="C8044" i="23"/>
  <c r="A8044" i="23"/>
  <c r="C8043" i="23"/>
  <c r="A8043" i="23"/>
  <c r="C8042" i="23"/>
  <c r="A8042" i="23"/>
  <c r="C8041" i="23"/>
  <c r="A8041" i="23"/>
  <c r="C8040" i="23"/>
  <c r="A8040" i="23"/>
  <c r="C8039" i="23"/>
  <c r="A8039" i="23"/>
  <c r="C8038" i="23"/>
  <c r="A8038" i="23"/>
  <c r="C8037" i="23"/>
  <c r="A8037" i="23"/>
  <c r="C8036" i="23"/>
  <c r="A8036" i="23"/>
  <c r="C8035" i="23"/>
  <c r="A8035" i="23"/>
  <c r="C8034" i="23"/>
  <c r="A8034" i="23"/>
  <c r="C8033" i="23"/>
  <c r="A8033" i="23"/>
  <c r="C8032" i="23"/>
  <c r="A8032" i="23"/>
  <c r="C8031" i="23"/>
  <c r="A8031" i="23"/>
  <c r="C8030" i="23"/>
  <c r="A8030" i="23"/>
  <c r="C8029" i="23"/>
  <c r="A8029" i="23"/>
  <c r="C8028" i="23"/>
  <c r="A8028" i="23"/>
  <c r="C8027" i="23"/>
  <c r="A8027" i="23"/>
  <c r="C8026" i="23"/>
  <c r="A8026" i="23"/>
  <c r="C8025" i="23"/>
  <c r="A8025" i="23"/>
  <c r="C8024" i="23"/>
  <c r="A8024" i="23"/>
  <c r="C8023" i="23"/>
  <c r="A8023" i="23"/>
  <c r="C8022" i="23"/>
  <c r="A8022" i="23"/>
  <c r="C7994" i="23"/>
  <c r="A7994" i="23"/>
  <c r="C7993" i="23"/>
  <c r="A7993" i="23"/>
  <c r="C7992" i="23"/>
  <c r="A7992" i="23"/>
  <c r="C7991" i="23"/>
  <c r="A7991" i="23"/>
  <c r="C7990" i="23"/>
  <c r="A7990" i="23"/>
  <c r="C7989" i="23"/>
  <c r="A7989" i="23"/>
  <c r="C7988" i="23"/>
  <c r="A7988" i="23"/>
  <c r="C7987" i="23"/>
  <c r="A7987" i="23"/>
  <c r="C7986" i="23"/>
  <c r="A7986" i="23"/>
  <c r="C7985" i="23"/>
  <c r="A7985" i="23"/>
  <c r="C7984" i="23"/>
  <c r="A7984" i="23"/>
  <c r="C7983" i="23"/>
  <c r="A7983" i="23"/>
  <c r="C7982" i="23"/>
  <c r="A7982" i="23"/>
  <c r="C7981" i="23"/>
  <c r="A7981" i="23"/>
  <c r="C7980" i="23"/>
  <c r="A7980" i="23"/>
  <c r="C7979" i="23"/>
  <c r="A7979" i="23"/>
  <c r="C7978" i="23"/>
  <c r="A7978" i="23"/>
  <c r="C7977" i="23"/>
  <c r="A7977" i="23"/>
  <c r="C7976" i="23"/>
  <c r="A7976" i="23"/>
  <c r="C7975" i="23"/>
  <c r="A7975" i="23"/>
  <c r="C7974" i="23"/>
  <c r="A7974" i="23"/>
  <c r="C7973" i="23"/>
  <c r="A7973" i="23"/>
  <c r="C7972" i="23"/>
  <c r="A7972" i="23"/>
  <c r="C7971" i="23"/>
  <c r="A7971" i="23"/>
  <c r="C7970" i="23"/>
  <c r="A7970" i="23"/>
  <c r="C7969" i="23"/>
  <c r="A7969" i="23"/>
  <c r="C7968" i="23"/>
  <c r="A7968" i="23"/>
  <c r="C7805" i="23"/>
  <c r="A7805" i="23"/>
  <c r="C7804" i="23"/>
  <c r="A7804" i="23"/>
  <c r="C7803" i="23"/>
  <c r="A7803" i="23"/>
  <c r="C7802" i="23"/>
  <c r="A7802" i="23"/>
  <c r="C7801" i="23"/>
  <c r="A7801" i="23"/>
  <c r="C7800" i="23"/>
  <c r="A7800" i="23"/>
  <c r="C7799" i="23"/>
  <c r="A7799" i="23"/>
  <c r="C7798" i="23"/>
  <c r="A7798" i="23"/>
  <c r="C7797" i="23"/>
  <c r="A7797" i="23"/>
  <c r="C7796" i="23"/>
  <c r="A7796" i="23"/>
  <c r="C7795" i="23"/>
  <c r="A7795" i="23"/>
  <c r="C7794" i="23"/>
  <c r="A7794" i="23"/>
  <c r="C7793" i="23"/>
  <c r="A7793" i="23"/>
  <c r="C7792" i="23"/>
  <c r="A7792" i="23"/>
  <c r="C7791" i="23"/>
  <c r="A7791" i="23"/>
  <c r="C7790" i="23"/>
  <c r="A7790" i="23"/>
  <c r="C7789" i="23"/>
  <c r="A7789" i="23"/>
  <c r="C7788" i="23"/>
  <c r="A7788" i="23"/>
  <c r="C7787" i="23"/>
  <c r="A7787" i="23"/>
  <c r="C7786" i="23"/>
  <c r="A7786" i="23"/>
  <c r="C7785" i="23"/>
  <c r="A7785" i="23"/>
  <c r="C7784" i="23"/>
  <c r="A7784" i="23"/>
  <c r="C7783" i="23"/>
  <c r="A7783" i="23"/>
  <c r="C7782" i="23"/>
  <c r="A7782" i="23"/>
  <c r="C7781" i="23"/>
  <c r="A7781" i="23"/>
  <c r="C7780" i="23"/>
  <c r="A7780" i="23"/>
  <c r="C7779" i="23"/>
  <c r="A7779" i="23"/>
  <c r="C7238" i="23"/>
  <c r="A7238" i="23"/>
  <c r="C7237" i="23"/>
  <c r="A7237" i="23"/>
  <c r="C7236" i="23"/>
  <c r="A7236" i="23"/>
  <c r="C7235" i="23"/>
  <c r="A7235" i="23"/>
  <c r="C7234" i="23"/>
  <c r="A7234" i="23"/>
  <c r="C7233" i="23"/>
  <c r="A7233" i="23"/>
  <c r="C7232" i="23"/>
  <c r="A7232" i="23"/>
  <c r="C7231" i="23"/>
  <c r="A7231" i="23"/>
  <c r="C7230" i="23"/>
  <c r="A7230" i="23"/>
  <c r="C7229" i="23"/>
  <c r="A7229" i="23"/>
  <c r="C7228" i="23"/>
  <c r="A7228" i="23"/>
  <c r="C7227" i="23"/>
  <c r="A7227" i="23"/>
  <c r="C7226" i="23"/>
  <c r="A7226" i="23"/>
  <c r="C7225" i="23"/>
  <c r="A7225" i="23"/>
  <c r="C7224" i="23"/>
  <c r="A7224" i="23"/>
  <c r="C7223" i="23"/>
  <c r="A7223" i="23"/>
  <c r="C7222" i="23"/>
  <c r="A7222" i="23"/>
  <c r="C7221" i="23"/>
  <c r="A7221" i="23"/>
  <c r="C7220" i="23"/>
  <c r="A7220" i="23"/>
  <c r="C7219" i="23"/>
  <c r="A7219" i="23"/>
  <c r="C7218" i="23"/>
  <c r="A7218" i="23"/>
  <c r="C7217" i="23"/>
  <c r="A7217" i="23"/>
  <c r="C7216" i="23"/>
  <c r="A7216" i="23"/>
  <c r="C7215" i="23"/>
  <c r="A7215" i="23"/>
  <c r="C7214" i="23"/>
  <c r="A7214" i="23"/>
  <c r="C7213" i="23"/>
  <c r="A7213" i="23"/>
  <c r="C7212" i="23"/>
  <c r="A7212" i="23"/>
  <c r="C7778" i="23"/>
  <c r="A7778" i="23"/>
  <c r="C7777" i="23"/>
  <c r="A7777" i="23"/>
  <c r="C7776" i="23"/>
  <c r="A7776" i="23"/>
  <c r="C7775" i="23"/>
  <c r="A7775" i="23"/>
  <c r="C7774" i="23"/>
  <c r="A7774" i="23"/>
  <c r="C7773" i="23"/>
  <c r="A7773" i="23"/>
  <c r="C7772" i="23"/>
  <c r="A7772" i="23"/>
  <c r="C7771" i="23"/>
  <c r="A7771" i="23"/>
  <c r="C7770" i="23"/>
  <c r="A7770" i="23"/>
  <c r="C7769" i="23"/>
  <c r="A7769" i="23"/>
  <c r="C7768" i="23"/>
  <c r="A7768" i="23"/>
  <c r="C7767" i="23"/>
  <c r="A7767" i="23"/>
  <c r="C7766" i="23"/>
  <c r="A7766" i="23"/>
  <c r="C7765" i="23"/>
  <c r="A7765" i="23"/>
  <c r="C7764" i="23"/>
  <c r="A7764" i="23"/>
  <c r="C7763" i="23"/>
  <c r="A7763" i="23"/>
  <c r="C7762" i="23"/>
  <c r="A7762" i="23"/>
  <c r="C7761" i="23"/>
  <c r="A7761" i="23"/>
  <c r="C7760" i="23"/>
  <c r="A7760" i="23"/>
  <c r="C7759" i="23"/>
  <c r="A7759" i="23"/>
  <c r="C7758" i="23"/>
  <c r="A7758" i="23"/>
  <c r="C7757" i="23"/>
  <c r="A7757" i="23"/>
  <c r="C7756" i="23"/>
  <c r="A7756" i="23"/>
  <c r="C7755" i="23"/>
  <c r="A7755" i="23"/>
  <c r="C7754" i="23"/>
  <c r="A7754" i="23"/>
  <c r="C7753" i="23"/>
  <c r="A7753" i="23"/>
  <c r="C7752" i="23"/>
  <c r="A7752" i="23"/>
  <c r="C7589" i="23"/>
  <c r="A7589" i="23"/>
  <c r="C7588" i="23"/>
  <c r="A7588" i="23"/>
  <c r="C7587" i="23"/>
  <c r="A7587" i="23"/>
  <c r="C7586" i="23"/>
  <c r="A7586" i="23"/>
  <c r="C7585" i="23"/>
  <c r="A7585" i="23"/>
  <c r="C7584" i="23"/>
  <c r="A7584" i="23"/>
  <c r="C7583" i="23"/>
  <c r="A7583" i="23"/>
  <c r="C7582" i="23"/>
  <c r="A7582" i="23"/>
  <c r="C7581" i="23"/>
  <c r="A7581" i="23"/>
  <c r="C7580" i="23"/>
  <c r="A7580" i="23"/>
  <c r="C7579" i="23"/>
  <c r="A7579" i="23"/>
  <c r="C7578" i="23"/>
  <c r="A7578" i="23"/>
  <c r="C7577" i="23"/>
  <c r="A7577" i="23"/>
  <c r="C7576" i="23"/>
  <c r="A7576" i="23"/>
  <c r="C7575" i="23"/>
  <c r="A7575" i="23"/>
  <c r="C7574" i="23"/>
  <c r="A7574" i="23"/>
  <c r="C7573" i="23"/>
  <c r="A7573" i="23"/>
  <c r="C7572" i="23"/>
  <c r="A7572" i="23"/>
  <c r="C7571" i="23"/>
  <c r="A7571" i="23"/>
  <c r="C7570" i="23"/>
  <c r="A7570" i="23"/>
  <c r="C7569" i="23"/>
  <c r="A7569" i="23"/>
  <c r="C7568" i="23"/>
  <c r="A7568" i="23"/>
  <c r="C7567" i="23"/>
  <c r="A7567" i="23"/>
  <c r="C7566" i="23"/>
  <c r="A7566" i="23"/>
  <c r="C7565" i="23"/>
  <c r="A7565" i="23"/>
  <c r="C7564" i="23"/>
  <c r="A7564" i="23"/>
  <c r="C7563" i="23"/>
  <c r="A7563" i="23"/>
  <c r="C8183" i="23"/>
  <c r="A8183" i="23"/>
  <c r="C8182" i="23"/>
  <c r="A8182" i="23"/>
  <c r="C8181" i="23"/>
  <c r="A8181" i="23"/>
  <c r="C8180" i="23"/>
  <c r="A8180" i="23"/>
  <c r="C8179" i="23"/>
  <c r="A8179" i="23"/>
  <c r="C8178" i="23"/>
  <c r="A8178" i="23"/>
  <c r="C8177" i="23"/>
  <c r="A8177" i="23"/>
  <c r="C8176" i="23"/>
  <c r="A8176" i="23"/>
  <c r="C8175" i="23"/>
  <c r="A8175" i="23"/>
  <c r="C8174" i="23"/>
  <c r="A8174" i="23"/>
  <c r="C8173" i="23"/>
  <c r="A8173" i="23"/>
  <c r="C8172" i="23"/>
  <c r="A8172" i="23"/>
  <c r="C8171" i="23"/>
  <c r="A8171" i="23"/>
  <c r="C8170" i="23"/>
  <c r="A8170" i="23"/>
  <c r="C8169" i="23"/>
  <c r="A8169" i="23"/>
  <c r="C8168" i="23"/>
  <c r="A8168" i="23"/>
  <c r="C8167" i="23"/>
  <c r="A8167" i="23"/>
  <c r="C8166" i="23"/>
  <c r="A8166" i="23"/>
  <c r="C8165" i="23"/>
  <c r="A8165" i="23"/>
  <c r="C8164" i="23"/>
  <c r="A8164" i="23"/>
  <c r="C8163" i="23"/>
  <c r="A8163" i="23"/>
  <c r="C8162" i="23"/>
  <c r="A8162" i="23"/>
  <c r="C8161" i="23"/>
  <c r="A8161" i="23"/>
  <c r="C8160" i="23"/>
  <c r="A8160" i="23"/>
  <c r="C8159" i="23"/>
  <c r="A8159" i="23"/>
  <c r="C8158" i="23"/>
  <c r="A8158" i="23"/>
  <c r="C8157" i="23"/>
  <c r="A8157" i="23"/>
  <c r="C7913" i="23"/>
  <c r="A7913" i="23"/>
  <c r="C7912" i="23"/>
  <c r="A7912" i="23"/>
  <c r="C7911" i="23"/>
  <c r="A7911" i="23"/>
  <c r="C7910" i="23"/>
  <c r="A7910" i="23"/>
  <c r="C7909" i="23"/>
  <c r="A7909" i="23"/>
  <c r="C7908" i="23"/>
  <c r="A7908" i="23"/>
  <c r="C7907" i="23"/>
  <c r="A7907" i="23"/>
  <c r="C7906" i="23"/>
  <c r="A7906" i="23"/>
  <c r="C7905" i="23"/>
  <c r="A7905" i="23"/>
  <c r="C7904" i="23"/>
  <c r="A7904" i="23"/>
  <c r="C7903" i="23"/>
  <c r="A7903" i="23"/>
  <c r="C7902" i="23"/>
  <c r="A7902" i="23"/>
  <c r="C7901" i="23"/>
  <c r="A7901" i="23"/>
  <c r="C7900" i="23"/>
  <c r="A7900" i="23"/>
  <c r="C7899" i="23"/>
  <c r="A7899" i="23"/>
  <c r="C7898" i="23"/>
  <c r="A7898" i="23"/>
  <c r="C7897" i="23"/>
  <c r="A7897" i="23"/>
  <c r="C7896" i="23"/>
  <c r="A7896" i="23"/>
  <c r="C7895" i="23"/>
  <c r="A7895" i="23"/>
  <c r="C7894" i="23"/>
  <c r="A7894" i="23"/>
  <c r="C7893" i="23"/>
  <c r="A7893" i="23"/>
  <c r="C7892" i="23"/>
  <c r="A7892" i="23"/>
  <c r="C7891" i="23"/>
  <c r="A7891" i="23"/>
  <c r="C7890" i="23"/>
  <c r="A7890" i="23"/>
  <c r="C7889" i="23"/>
  <c r="A7889" i="23"/>
  <c r="C7888" i="23"/>
  <c r="A7888" i="23"/>
  <c r="C7887" i="23"/>
  <c r="A7887" i="23"/>
  <c r="C8210" i="23"/>
  <c r="A8210" i="23"/>
  <c r="C8209" i="23"/>
  <c r="A8209" i="23"/>
  <c r="C8208" i="23"/>
  <c r="A8208" i="23"/>
  <c r="C8207" i="23"/>
  <c r="A8207" i="23"/>
  <c r="C8206" i="23"/>
  <c r="A8206" i="23"/>
  <c r="C8205" i="23"/>
  <c r="A8205" i="23"/>
  <c r="C8204" i="23"/>
  <c r="A8204" i="23"/>
  <c r="C8203" i="23"/>
  <c r="A8203" i="23"/>
  <c r="C8202" i="23"/>
  <c r="A8202" i="23"/>
  <c r="C8201" i="23"/>
  <c r="A8201" i="23"/>
  <c r="C8200" i="23"/>
  <c r="A8200" i="23"/>
  <c r="C8199" i="23"/>
  <c r="A8199" i="23"/>
  <c r="C8198" i="23"/>
  <c r="A8198" i="23"/>
  <c r="C8197" i="23"/>
  <c r="A8197" i="23"/>
  <c r="C8196" i="23"/>
  <c r="A8196" i="23"/>
  <c r="C8195" i="23"/>
  <c r="A8195" i="23"/>
  <c r="C8194" i="23"/>
  <c r="A8194" i="23"/>
  <c r="C8193" i="23"/>
  <c r="A8193" i="23"/>
  <c r="C8192" i="23"/>
  <c r="A8192" i="23"/>
  <c r="C8191" i="23"/>
  <c r="A8191" i="23"/>
  <c r="C8190" i="23"/>
  <c r="A8190" i="23"/>
  <c r="C8189" i="23"/>
  <c r="A8189" i="23"/>
  <c r="C8188" i="23"/>
  <c r="A8188" i="23"/>
  <c r="C8187" i="23"/>
  <c r="A8187" i="23"/>
  <c r="C8186" i="23"/>
  <c r="A8186" i="23"/>
  <c r="C8185" i="23"/>
  <c r="A8185" i="23"/>
  <c r="C8184" i="23"/>
  <c r="A8184" i="23"/>
  <c r="C7859" i="23"/>
  <c r="A7859" i="23"/>
  <c r="C7858" i="23"/>
  <c r="A7858" i="23"/>
  <c r="C7857" i="23"/>
  <c r="A7857" i="23"/>
  <c r="C7856" i="23"/>
  <c r="A7856" i="23"/>
  <c r="C7855" i="23"/>
  <c r="A7855" i="23"/>
  <c r="C7854" i="23"/>
  <c r="A7854" i="23"/>
  <c r="C7853" i="23"/>
  <c r="A7853" i="23"/>
  <c r="C7852" i="23"/>
  <c r="A7852" i="23"/>
  <c r="C7851" i="23"/>
  <c r="A7851" i="23"/>
  <c r="C7850" i="23"/>
  <c r="A7850" i="23"/>
  <c r="C7849" i="23"/>
  <c r="A7849" i="23"/>
  <c r="C7848" i="23"/>
  <c r="A7848" i="23"/>
  <c r="C7847" i="23"/>
  <c r="A7847" i="23"/>
  <c r="C7846" i="23"/>
  <c r="A7846" i="23"/>
  <c r="C7845" i="23"/>
  <c r="A7845" i="23"/>
  <c r="C7844" i="23"/>
  <c r="A7844" i="23"/>
  <c r="C7843" i="23"/>
  <c r="A7843" i="23"/>
  <c r="C7842" i="23"/>
  <c r="A7842" i="23"/>
  <c r="C7841" i="23"/>
  <c r="A7841" i="23"/>
  <c r="C7840" i="23"/>
  <c r="A7840" i="23"/>
  <c r="C7839" i="23"/>
  <c r="A7839" i="23"/>
  <c r="C7838" i="23"/>
  <c r="A7838" i="23"/>
  <c r="C7837" i="23"/>
  <c r="A7837" i="23"/>
  <c r="C7836" i="23"/>
  <c r="A7836" i="23"/>
  <c r="C7835" i="23"/>
  <c r="A7835" i="23"/>
  <c r="C7834" i="23"/>
  <c r="A7834" i="23"/>
  <c r="C7833" i="23"/>
  <c r="A7833" i="23"/>
  <c r="C7886" i="23"/>
  <c r="A7886" i="23"/>
  <c r="C7885" i="23"/>
  <c r="A7885" i="23"/>
  <c r="C7884" i="23"/>
  <c r="A7884" i="23"/>
  <c r="C7883" i="23"/>
  <c r="A7883" i="23"/>
  <c r="C7882" i="23"/>
  <c r="A7882" i="23"/>
  <c r="C7881" i="23"/>
  <c r="A7881" i="23"/>
  <c r="C7880" i="23"/>
  <c r="A7880" i="23"/>
  <c r="C7879" i="23"/>
  <c r="A7879" i="23"/>
  <c r="C7878" i="23"/>
  <c r="A7878" i="23"/>
  <c r="C7877" i="23"/>
  <c r="A7877" i="23"/>
  <c r="C7876" i="23"/>
  <c r="A7876" i="23"/>
  <c r="C7875" i="23"/>
  <c r="A7875" i="23"/>
  <c r="C7874" i="23"/>
  <c r="A7874" i="23"/>
  <c r="C7873" i="23"/>
  <c r="A7873" i="23"/>
  <c r="C7872" i="23"/>
  <c r="A7872" i="23"/>
  <c r="C7871" i="23"/>
  <c r="A7871" i="23"/>
  <c r="C7870" i="23"/>
  <c r="A7870" i="23"/>
  <c r="C7869" i="23"/>
  <c r="A7869" i="23"/>
  <c r="C7868" i="23"/>
  <c r="A7868" i="23"/>
  <c r="C7867" i="23"/>
  <c r="A7867" i="23"/>
  <c r="C7866" i="23"/>
  <c r="A7866" i="23"/>
  <c r="C7865" i="23"/>
  <c r="A7865" i="23"/>
  <c r="C7864" i="23"/>
  <c r="A7864" i="23"/>
  <c r="C7863" i="23"/>
  <c r="A7863" i="23"/>
  <c r="C7862" i="23"/>
  <c r="A7862" i="23"/>
  <c r="C7861" i="23"/>
  <c r="A7861" i="23"/>
  <c r="C7860" i="23"/>
  <c r="A7860" i="23"/>
  <c r="C7616" i="23"/>
  <c r="A7616" i="23"/>
  <c r="C7615" i="23"/>
  <c r="A7615" i="23"/>
  <c r="C7614" i="23"/>
  <c r="A7614" i="23"/>
  <c r="C7613" i="23"/>
  <c r="A7613" i="23"/>
  <c r="C7612" i="23"/>
  <c r="A7612" i="23"/>
  <c r="C7611" i="23"/>
  <c r="A7611" i="23"/>
  <c r="C7610" i="23"/>
  <c r="A7610" i="23"/>
  <c r="C7609" i="23"/>
  <c r="A7609" i="23"/>
  <c r="C7608" i="23"/>
  <c r="A7608" i="23"/>
  <c r="C7607" i="23"/>
  <c r="A7607" i="23"/>
  <c r="C7606" i="23"/>
  <c r="A7606" i="23"/>
  <c r="C7605" i="23"/>
  <c r="A7605" i="23"/>
  <c r="C7604" i="23"/>
  <c r="A7604" i="23"/>
  <c r="C7603" i="23"/>
  <c r="A7603" i="23"/>
  <c r="C7602" i="23"/>
  <c r="A7602" i="23"/>
  <c r="C7601" i="23"/>
  <c r="A7601" i="23"/>
  <c r="C7600" i="23"/>
  <c r="A7600" i="23"/>
  <c r="C7599" i="23"/>
  <c r="A7599" i="23"/>
  <c r="C7598" i="23"/>
  <c r="A7598" i="23"/>
  <c r="C7597" i="23"/>
  <c r="A7597" i="23"/>
  <c r="C7596" i="23"/>
  <c r="A7596" i="23"/>
  <c r="C7595" i="23"/>
  <c r="A7595" i="23"/>
  <c r="C7594" i="23"/>
  <c r="A7594" i="23"/>
  <c r="C7593" i="23"/>
  <c r="A7593" i="23"/>
  <c r="C7592" i="23"/>
  <c r="A7592" i="23"/>
  <c r="C7591" i="23"/>
  <c r="A7591" i="23"/>
  <c r="C7590" i="23"/>
  <c r="A7590" i="23"/>
  <c r="C7211" i="23"/>
  <c r="A7211" i="23"/>
  <c r="C7210" i="23"/>
  <c r="A7210" i="23"/>
  <c r="C7209" i="23"/>
  <c r="A7209" i="23"/>
  <c r="C7208" i="23"/>
  <c r="A7208" i="23"/>
  <c r="C7207" i="23"/>
  <c r="A7207" i="23"/>
  <c r="C7206" i="23"/>
  <c r="A7206" i="23"/>
  <c r="C7205" i="23"/>
  <c r="A7205" i="23"/>
  <c r="C7204" i="23"/>
  <c r="A7204" i="23"/>
  <c r="C7203" i="23"/>
  <c r="A7203" i="23"/>
  <c r="C7202" i="23"/>
  <c r="A7202" i="23"/>
  <c r="C7201" i="23"/>
  <c r="A7201" i="23"/>
  <c r="C7200" i="23"/>
  <c r="A7200" i="23"/>
  <c r="C7199" i="23"/>
  <c r="A7199" i="23"/>
  <c r="C7198" i="23"/>
  <c r="A7198" i="23"/>
  <c r="C7197" i="23"/>
  <c r="A7197" i="23"/>
  <c r="C7196" i="23"/>
  <c r="A7196" i="23"/>
  <c r="C7195" i="23"/>
  <c r="A7195" i="23"/>
  <c r="C7194" i="23"/>
  <c r="A7194" i="23"/>
  <c r="C7193" i="23"/>
  <c r="A7193" i="23"/>
  <c r="C7192" i="23"/>
  <c r="A7192" i="23"/>
  <c r="C7191" i="23"/>
  <c r="A7191" i="23"/>
  <c r="C7190" i="23"/>
  <c r="A7190" i="23"/>
  <c r="C7189" i="23"/>
  <c r="A7189" i="23"/>
  <c r="C7188" i="23"/>
  <c r="A7188" i="23"/>
  <c r="C7187" i="23"/>
  <c r="A7187" i="23"/>
  <c r="C7186" i="23"/>
  <c r="A7186" i="23"/>
  <c r="C7185" i="23"/>
  <c r="A7185" i="23"/>
  <c r="C7724" i="23"/>
  <c r="A7724" i="23"/>
  <c r="C7723" i="23"/>
  <c r="A7723" i="23"/>
  <c r="C7722" i="23"/>
  <c r="A7722" i="23"/>
  <c r="C7721" i="23"/>
  <c r="A7721" i="23"/>
  <c r="C7720" i="23"/>
  <c r="A7720" i="23"/>
  <c r="C7719" i="23"/>
  <c r="A7719" i="23"/>
  <c r="C7718" i="23"/>
  <c r="A7718" i="23"/>
  <c r="C7717" i="23"/>
  <c r="A7717" i="23"/>
  <c r="C7716" i="23"/>
  <c r="A7716" i="23"/>
  <c r="C7715" i="23"/>
  <c r="A7715" i="23"/>
  <c r="C7714" i="23"/>
  <c r="A7714" i="23"/>
  <c r="C7713" i="23"/>
  <c r="A7713" i="23"/>
  <c r="C7712" i="23"/>
  <c r="A7712" i="23"/>
  <c r="C7711" i="23"/>
  <c r="A7711" i="23"/>
  <c r="C7710" i="23"/>
  <c r="A7710" i="23"/>
  <c r="C7709" i="23"/>
  <c r="A7709" i="23"/>
  <c r="C7708" i="23"/>
  <c r="A7708" i="23"/>
  <c r="C7707" i="23"/>
  <c r="A7707" i="23"/>
  <c r="C7706" i="23"/>
  <c r="A7706" i="23"/>
  <c r="C7705" i="23"/>
  <c r="A7705" i="23"/>
  <c r="C7704" i="23"/>
  <c r="A7704" i="23"/>
  <c r="C7703" i="23"/>
  <c r="A7703" i="23"/>
  <c r="C7702" i="23"/>
  <c r="A7702" i="23"/>
  <c r="C7701" i="23"/>
  <c r="A7701" i="23"/>
  <c r="C7700" i="23"/>
  <c r="A7700" i="23"/>
  <c r="C7699" i="23"/>
  <c r="A7699" i="23"/>
  <c r="C7698" i="23"/>
  <c r="A7698" i="23"/>
  <c r="C8075" i="23"/>
  <c r="A8075" i="23"/>
  <c r="C8074" i="23"/>
  <c r="A8074" i="23"/>
  <c r="C8073" i="23"/>
  <c r="A8073" i="23"/>
  <c r="C8072" i="23"/>
  <c r="A8072" i="23"/>
  <c r="C8071" i="23"/>
  <c r="A8071" i="23"/>
  <c r="C8070" i="23"/>
  <c r="A8070" i="23"/>
  <c r="C8069" i="23"/>
  <c r="A8069" i="23"/>
  <c r="C8068" i="23"/>
  <c r="A8068" i="23"/>
  <c r="C8067" i="23"/>
  <c r="A8067" i="23"/>
  <c r="C8066" i="23"/>
  <c r="A8066" i="23"/>
  <c r="C8065" i="23"/>
  <c r="A8065" i="23"/>
  <c r="C8064" i="23"/>
  <c r="A8064" i="23"/>
  <c r="C8063" i="23"/>
  <c r="A8063" i="23"/>
  <c r="C8062" i="23"/>
  <c r="A8062" i="23"/>
  <c r="C8061" i="23"/>
  <c r="A8061" i="23"/>
  <c r="C8060" i="23"/>
  <c r="A8060" i="23"/>
  <c r="C8059" i="23"/>
  <c r="A8059" i="23"/>
  <c r="C8058" i="23"/>
  <c r="A8058" i="23"/>
  <c r="C8057" i="23"/>
  <c r="A8057" i="23"/>
  <c r="C8056" i="23"/>
  <c r="A8056" i="23"/>
  <c r="C8055" i="23"/>
  <c r="A8055" i="23"/>
  <c r="C8054" i="23"/>
  <c r="A8054" i="23"/>
  <c r="C8053" i="23"/>
  <c r="A8053" i="23"/>
  <c r="C8052" i="23"/>
  <c r="A8052" i="23"/>
  <c r="C8051" i="23"/>
  <c r="A8051" i="23"/>
  <c r="C8050" i="23"/>
  <c r="A8050" i="23"/>
  <c r="C8049" i="23"/>
  <c r="A8049" i="23"/>
  <c r="C8129" i="23"/>
  <c r="A8129" i="23"/>
  <c r="C8128" i="23"/>
  <c r="A8128" i="23"/>
  <c r="C8127" i="23"/>
  <c r="A8127" i="23"/>
  <c r="C8126" i="23"/>
  <c r="A8126" i="23"/>
  <c r="C8125" i="23"/>
  <c r="A8125" i="23"/>
  <c r="C8124" i="23"/>
  <c r="A8124" i="23"/>
  <c r="C8123" i="23"/>
  <c r="A8123" i="23"/>
  <c r="C8122" i="23"/>
  <c r="A8122" i="23"/>
  <c r="C8121" i="23"/>
  <c r="A8121" i="23"/>
  <c r="C8120" i="23"/>
  <c r="A8120" i="23"/>
  <c r="C8119" i="23"/>
  <c r="A8119" i="23"/>
  <c r="C8118" i="23"/>
  <c r="A8118" i="23"/>
  <c r="C8117" i="23"/>
  <c r="A8117" i="23"/>
  <c r="C8116" i="23"/>
  <c r="A8116" i="23"/>
  <c r="C8115" i="23"/>
  <c r="A8115" i="23"/>
  <c r="C8114" i="23"/>
  <c r="A8114" i="23"/>
  <c r="C8113" i="23"/>
  <c r="A8113" i="23"/>
  <c r="C8112" i="23"/>
  <c r="A8112" i="23"/>
  <c r="C8111" i="23"/>
  <c r="A8111" i="23"/>
  <c r="C8110" i="23"/>
  <c r="A8110" i="23"/>
  <c r="C8109" i="23"/>
  <c r="A8109" i="23"/>
  <c r="C8108" i="23"/>
  <c r="A8108" i="23"/>
  <c r="C8107" i="23"/>
  <c r="A8107" i="23"/>
  <c r="C8106" i="23"/>
  <c r="A8106" i="23"/>
  <c r="C8105" i="23"/>
  <c r="A8105" i="23"/>
  <c r="C8104" i="23"/>
  <c r="A8104" i="23"/>
  <c r="C8103" i="23"/>
  <c r="A8103" i="23"/>
  <c r="C7265" i="23"/>
  <c r="A7265" i="23"/>
  <c r="C7264" i="23"/>
  <c r="A7264" i="23"/>
  <c r="C7263" i="23"/>
  <c r="A7263" i="23"/>
  <c r="C7262" i="23"/>
  <c r="A7262" i="23"/>
  <c r="C7261" i="23"/>
  <c r="A7261" i="23"/>
  <c r="C7260" i="23"/>
  <c r="A7260" i="23"/>
  <c r="C7259" i="23"/>
  <c r="A7259" i="23"/>
  <c r="C7258" i="23"/>
  <c r="A7258" i="23"/>
  <c r="C7257" i="23"/>
  <c r="A7257" i="23"/>
  <c r="C7256" i="23"/>
  <c r="A7256" i="23"/>
  <c r="C7255" i="23"/>
  <c r="A7255" i="23"/>
  <c r="C7254" i="23"/>
  <c r="A7254" i="23"/>
  <c r="C7253" i="23"/>
  <c r="A7253" i="23"/>
  <c r="C7252" i="23"/>
  <c r="A7252" i="23"/>
  <c r="C7251" i="23"/>
  <c r="A7251" i="23"/>
  <c r="C7250" i="23"/>
  <c r="A7250" i="23"/>
  <c r="C7249" i="23"/>
  <c r="A7249" i="23"/>
  <c r="C7248" i="23"/>
  <c r="A7248" i="23"/>
  <c r="C7247" i="23"/>
  <c r="A7247" i="23"/>
  <c r="C7246" i="23"/>
  <c r="A7246" i="23"/>
  <c r="C7245" i="23"/>
  <c r="A7245" i="23"/>
  <c r="C7244" i="23"/>
  <c r="A7244" i="23"/>
  <c r="C7243" i="23"/>
  <c r="A7243" i="23"/>
  <c r="C7242" i="23"/>
  <c r="A7242" i="23"/>
  <c r="C7241" i="23"/>
  <c r="A7241" i="23"/>
  <c r="C7240" i="23"/>
  <c r="A7240" i="23"/>
  <c r="C7239" i="23"/>
  <c r="A7239" i="23"/>
  <c r="C7967" i="23"/>
  <c r="A7967" i="23"/>
  <c r="C7966" i="23"/>
  <c r="A7966" i="23"/>
  <c r="C7965" i="23"/>
  <c r="A7965" i="23"/>
  <c r="C7964" i="23"/>
  <c r="A7964" i="23"/>
  <c r="C7963" i="23"/>
  <c r="A7963" i="23"/>
  <c r="C7962" i="23"/>
  <c r="A7962" i="23"/>
  <c r="C7961" i="23"/>
  <c r="A7961" i="23"/>
  <c r="C7960" i="23"/>
  <c r="A7960" i="23"/>
  <c r="C7959" i="23"/>
  <c r="A7959" i="23"/>
  <c r="C7958" i="23"/>
  <c r="A7958" i="23"/>
  <c r="C7957" i="23"/>
  <c r="A7957" i="23"/>
  <c r="C7956" i="23"/>
  <c r="A7956" i="23"/>
  <c r="C7955" i="23"/>
  <c r="A7955" i="23"/>
  <c r="C7954" i="23"/>
  <c r="A7954" i="23"/>
  <c r="C7953" i="23"/>
  <c r="A7953" i="23"/>
  <c r="C7952" i="23"/>
  <c r="A7952" i="23"/>
  <c r="C7951" i="23"/>
  <c r="A7951" i="23"/>
  <c r="C7950" i="23"/>
  <c r="A7950" i="23"/>
  <c r="C7949" i="23"/>
  <c r="A7949" i="23"/>
  <c r="C7948" i="23"/>
  <c r="A7948" i="23"/>
  <c r="C7947" i="23"/>
  <c r="A7947" i="23"/>
  <c r="C7946" i="23"/>
  <c r="A7946" i="23"/>
  <c r="C7945" i="23"/>
  <c r="A7945" i="23"/>
  <c r="C7944" i="23"/>
  <c r="A7944" i="23"/>
  <c r="C7943" i="23"/>
  <c r="A7943" i="23"/>
  <c r="C7942" i="23"/>
  <c r="A7942" i="23"/>
  <c r="C7941" i="23"/>
  <c r="A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A6320" i="23"/>
  <c r="C6319" i="23"/>
  <c r="A6319" i="23"/>
  <c r="C6318" i="23"/>
  <c r="A6318" i="23"/>
  <c r="C6317" i="23"/>
  <c r="A6317" i="23"/>
  <c r="C6316" i="23"/>
  <c r="A6316" i="23"/>
  <c r="C6315" i="23"/>
  <c r="A6315" i="23"/>
  <c r="C6314" i="23"/>
  <c r="A6314" i="23"/>
  <c r="C6313" i="23"/>
  <c r="A6313" i="23"/>
  <c r="C6312" i="23"/>
  <c r="A6312" i="23"/>
  <c r="C6311" i="23"/>
  <c r="A6311" i="23"/>
  <c r="C6310" i="23"/>
  <c r="A6310" i="23"/>
  <c r="C6309" i="23"/>
  <c r="A6309" i="23"/>
  <c r="C6308" i="23"/>
  <c r="A6308" i="23"/>
  <c r="C6307" i="23"/>
  <c r="A6307" i="23"/>
  <c r="C6306" i="23"/>
  <c r="A6306" i="23"/>
  <c r="C6305" i="23"/>
  <c r="A6305" i="23"/>
  <c r="C6304" i="23"/>
  <c r="A6304" i="23"/>
  <c r="C6303" i="23"/>
  <c r="A6303" i="23"/>
  <c r="C6302" i="23"/>
  <c r="A6302" i="23"/>
  <c r="C6301" i="23"/>
  <c r="A6301" i="23"/>
  <c r="C6300" i="23"/>
  <c r="A6300" i="23"/>
  <c r="C6299" i="23"/>
  <c r="A6299" i="23"/>
  <c r="C6298" i="23"/>
  <c r="A6298" i="23"/>
  <c r="C6297" i="23"/>
  <c r="A6297" i="23"/>
  <c r="C6296" i="23"/>
  <c r="A6296" i="23"/>
  <c r="C6295" i="23"/>
  <c r="A6295" i="23"/>
  <c r="C6294" i="23"/>
  <c r="A6294" i="23"/>
  <c r="C6347" i="23"/>
  <c r="A6347" i="23"/>
  <c r="C6346" i="23"/>
  <c r="A6346" i="23"/>
  <c r="C6345" i="23"/>
  <c r="A6345" i="23"/>
  <c r="C6344" i="23"/>
  <c r="A6344" i="23"/>
  <c r="C6343" i="23"/>
  <c r="A6343" i="23"/>
  <c r="C6342" i="23"/>
  <c r="A6342" i="23"/>
  <c r="C6341" i="23"/>
  <c r="A6341" i="23"/>
  <c r="C6340" i="23"/>
  <c r="A6340" i="23"/>
  <c r="C6339" i="23"/>
  <c r="A6339" i="23"/>
  <c r="C6338" i="23"/>
  <c r="A6338" i="23"/>
  <c r="C6337" i="23"/>
  <c r="A6337" i="23"/>
  <c r="C6336" i="23"/>
  <c r="A6336" i="23"/>
  <c r="C6335" i="23"/>
  <c r="A6335" i="23"/>
  <c r="C6334" i="23"/>
  <c r="A6334" i="23"/>
  <c r="C6333" i="23"/>
  <c r="A6333" i="23"/>
  <c r="C6332" i="23"/>
  <c r="A6332" i="23"/>
  <c r="C6331" i="23"/>
  <c r="A6331" i="23"/>
  <c r="C6330" i="23"/>
  <c r="A6330" i="23"/>
  <c r="C6329" i="23"/>
  <c r="A6329" i="23"/>
  <c r="C6328" i="23"/>
  <c r="A6328" i="23"/>
  <c r="C6327" i="23"/>
  <c r="A6327" i="23"/>
  <c r="C6326" i="23"/>
  <c r="A6326" i="23"/>
  <c r="C6325" i="23"/>
  <c r="A6325" i="23"/>
  <c r="C6324" i="23"/>
  <c r="A6324" i="23"/>
  <c r="C6323" i="23"/>
  <c r="A6323" i="23"/>
  <c r="C6322" i="23"/>
  <c r="A6322" i="23"/>
  <c r="C6321" i="23"/>
  <c r="A6321" i="23"/>
  <c r="C6374" i="23"/>
  <c r="A6374" i="23"/>
  <c r="C6373" i="23"/>
  <c r="A6373" i="23"/>
  <c r="C6372" i="23"/>
  <c r="A6372" i="23"/>
  <c r="C6371" i="23"/>
  <c r="A6371" i="23"/>
  <c r="C6370" i="23"/>
  <c r="A6370" i="23"/>
  <c r="C6369" i="23"/>
  <c r="A6369" i="23"/>
  <c r="C6368" i="23"/>
  <c r="A6368" i="23"/>
  <c r="C6367" i="23"/>
  <c r="A6367" i="23"/>
  <c r="C6366" i="23"/>
  <c r="A6366" i="23"/>
  <c r="C6365" i="23"/>
  <c r="A6365" i="23"/>
  <c r="C6364" i="23"/>
  <c r="A6364" i="23"/>
  <c r="C6363" i="23"/>
  <c r="A6363" i="23"/>
  <c r="C6362" i="23"/>
  <c r="A6362" i="23"/>
  <c r="C6361" i="23"/>
  <c r="A6361" i="23"/>
  <c r="C6360" i="23"/>
  <c r="A6360" i="23"/>
  <c r="C6359" i="23"/>
  <c r="A6359" i="23"/>
  <c r="C6358" i="23"/>
  <c r="A6358" i="23"/>
  <c r="C6357" i="23"/>
  <c r="A6357" i="23"/>
  <c r="C6356" i="23"/>
  <c r="A6356" i="23"/>
  <c r="C6355" i="23"/>
  <c r="A6355" i="23"/>
  <c r="C6354" i="23"/>
  <c r="A6354" i="23"/>
  <c r="C6353" i="23"/>
  <c r="A6353" i="23"/>
  <c r="C6352" i="23"/>
  <c r="A6352" i="23"/>
  <c r="C6351" i="23"/>
  <c r="A6351" i="23"/>
  <c r="C6350" i="23"/>
  <c r="A6350" i="23"/>
  <c r="C6349" i="23"/>
  <c r="A6349" i="23"/>
  <c r="C6348" i="23"/>
  <c r="A6348" i="23"/>
  <c r="C6401" i="23"/>
  <c r="A6401" i="23"/>
  <c r="C6400" i="23"/>
  <c r="A6400" i="23"/>
  <c r="C6399" i="23"/>
  <c r="A6399" i="23"/>
  <c r="C6398" i="23"/>
  <c r="A6398" i="23"/>
  <c r="C6397" i="23"/>
  <c r="A6397" i="23"/>
  <c r="C6396" i="23"/>
  <c r="A6396" i="23"/>
  <c r="C6395" i="23"/>
  <c r="A6395" i="23"/>
  <c r="C6394" i="23"/>
  <c r="A6394" i="23"/>
  <c r="C6393" i="23"/>
  <c r="A6393" i="23"/>
  <c r="C6392" i="23"/>
  <c r="A6392" i="23"/>
  <c r="C6391" i="23"/>
  <c r="A6391" i="23"/>
  <c r="C6390" i="23"/>
  <c r="A6390" i="23"/>
  <c r="C6389" i="23"/>
  <c r="A6389" i="23"/>
  <c r="C6388" i="23"/>
  <c r="A6388" i="23"/>
  <c r="C6387" i="23"/>
  <c r="A6387" i="23"/>
  <c r="C6386" i="23"/>
  <c r="A6386" i="23"/>
  <c r="C6385" i="23"/>
  <c r="A6385" i="23"/>
  <c r="C6384" i="23"/>
  <c r="A6384" i="23"/>
  <c r="C6383" i="23"/>
  <c r="A6383" i="23"/>
  <c r="C6382" i="23"/>
  <c r="A6382" i="23"/>
  <c r="C6381" i="23"/>
  <c r="A6381" i="23"/>
  <c r="C6380" i="23"/>
  <c r="A6380" i="23"/>
  <c r="C6379" i="23"/>
  <c r="A6379" i="23"/>
  <c r="C6378" i="23"/>
  <c r="A6378" i="23"/>
  <c r="C6377" i="23"/>
  <c r="A6377" i="23"/>
  <c r="C6376" i="23"/>
  <c r="A6376" i="23"/>
  <c r="C6375" i="23"/>
  <c r="A6375" i="23"/>
  <c r="C6428" i="23"/>
  <c r="A6428" i="23"/>
  <c r="C6427" i="23"/>
  <c r="A6427" i="23"/>
  <c r="C6426" i="23"/>
  <c r="A6426" i="23"/>
  <c r="C6425" i="23"/>
  <c r="A6425" i="23"/>
  <c r="C6424" i="23"/>
  <c r="A6424" i="23"/>
  <c r="C6423" i="23"/>
  <c r="A6423" i="23"/>
  <c r="C6422" i="23"/>
  <c r="A6422" i="23"/>
  <c r="C6421" i="23"/>
  <c r="A6421" i="23"/>
  <c r="C6420" i="23"/>
  <c r="A6420" i="23"/>
  <c r="C6419" i="23"/>
  <c r="A6419" i="23"/>
  <c r="C6418" i="23"/>
  <c r="A6418" i="23"/>
  <c r="C6417" i="23"/>
  <c r="A6417" i="23"/>
  <c r="C6416" i="23"/>
  <c r="A6416" i="23"/>
  <c r="C6415" i="23"/>
  <c r="A6415" i="23"/>
  <c r="C6414" i="23"/>
  <c r="A6414" i="23"/>
  <c r="C6413" i="23"/>
  <c r="A6413" i="23"/>
  <c r="C6412" i="23"/>
  <c r="A6412" i="23"/>
  <c r="C6411" i="23"/>
  <c r="A6411" i="23"/>
  <c r="C6410" i="23"/>
  <c r="A6410" i="23"/>
  <c r="C6409" i="23"/>
  <c r="A6409" i="23"/>
  <c r="C6408" i="23"/>
  <c r="A6408" i="23"/>
  <c r="C6407" i="23"/>
  <c r="A6407" i="23"/>
  <c r="C6406" i="23"/>
  <c r="A6406" i="23"/>
  <c r="C6405" i="23"/>
  <c r="A6405" i="23"/>
  <c r="C6404" i="23"/>
  <c r="A6404" i="23"/>
  <c r="C6403" i="23"/>
  <c r="A6403" i="23"/>
  <c r="C6402" i="23"/>
  <c r="A6402" i="23"/>
  <c r="C6455" i="23"/>
  <c r="A6455" i="23"/>
  <c r="C6454" i="23"/>
  <c r="A6454" i="23"/>
  <c r="C6453" i="23"/>
  <c r="A6453" i="23"/>
  <c r="C6452" i="23"/>
  <c r="A6452" i="23"/>
  <c r="C6451" i="23"/>
  <c r="A6451" i="23"/>
  <c r="C6450" i="23"/>
  <c r="A6450" i="23"/>
  <c r="C6449" i="23"/>
  <c r="A6449" i="23"/>
  <c r="C6448" i="23"/>
  <c r="A6448" i="23"/>
  <c r="C6447" i="23"/>
  <c r="A6447" i="23"/>
  <c r="C6446" i="23"/>
  <c r="A6446" i="23"/>
  <c r="C6445" i="23"/>
  <c r="A6445" i="23"/>
  <c r="C6444" i="23"/>
  <c r="A6444" i="23"/>
  <c r="C6443" i="23"/>
  <c r="A6443" i="23"/>
  <c r="C6442" i="23"/>
  <c r="A6442" i="23"/>
  <c r="C6441" i="23"/>
  <c r="A6441" i="23"/>
  <c r="C6440" i="23"/>
  <c r="A6440" i="23"/>
  <c r="C6439" i="23"/>
  <c r="A6439" i="23"/>
  <c r="C6438" i="23"/>
  <c r="A6438" i="23"/>
  <c r="C6437" i="23"/>
  <c r="A6437" i="23"/>
  <c r="C6436" i="23"/>
  <c r="A6436" i="23"/>
  <c r="C6435" i="23"/>
  <c r="A6435" i="23"/>
  <c r="C6434" i="23"/>
  <c r="A6434" i="23"/>
  <c r="C6433" i="23"/>
  <c r="A6433" i="23"/>
  <c r="C6432" i="23"/>
  <c r="A6432" i="23"/>
  <c r="C6431" i="23"/>
  <c r="A6431" i="23"/>
  <c r="C6430" i="23"/>
  <c r="A6430" i="23"/>
  <c r="C6429" i="23"/>
  <c r="A6429" i="23"/>
  <c r="C6482" i="23"/>
  <c r="A6482" i="23"/>
  <c r="C6481" i="23"/>
  <c r="A6481" i="23"/>
  <c r="C6480" i="23"/>
  <c r="A6480" i="23"/>
  <c r="C6479" i="23"/>
  <c r="A6479" i="23"/>
  <c r="C6478" i="23"/>
  <c r="A6478" i="23"/>
  <c r="C6477" i="23"/>
  <c r="A6477" i="23"/>
  <c r="C6476" i="23"/>
  <c r="A6476" i="23"/>
  <c r="C6475" i="23"/>
  <c r="A6475" i="23"/>
  <c r="C6474" i="23"/>
  <c r="A6474" i="23"/>
  <c r="C6473" i="23"/>
  <c r="A6473" i="23"/>
  <c r="C6472" i="23"/>
  <c r="A6472" i="23"/>
  <c r="C6471" i="23"/>
  <c r="A6471" i="23"/>
  <c r="C6470" i="23"/>
  <c r="A6470" i="23"/>
  <c r="C6469" i="23"/>
  <c r="A6469" i="23"/>
  <c r="C6468" i="23"/>
  <c r="A6468" i="23"/>
  <c r="C6467" i="23"/>
  <c r="A6467" i="23"/>
  <c r="C6466" i="23"/>
  <c r="A6466" i="23"/>
  <c r="C6465" i="23"/>
  <c r="A6465" i="23"/>
  <c r="C6464" i="23"/>
  <c r="A6464" i="23"/>
  <c r="C6463" i="23"/>
  <c r="A6463" i="23"/>
  <c r="C6462" i="23"/>
  <c r="A6462" i="23"/>
  <c r="C6461" i="23"/>
  <c r="A6461" i="23"/>
  <c r="C6460" i="23"/>
  <c r="A6460" i="23"/>
  <c r="C6459" i="23"/>
  <c r="A6459" i="23"/>
  <c r="C6458" i="23"/>
  <c r="A6458" i="23"/>
  <c r="C6457" i="23"/>
  <c r="A6457" i="23"/>
  <c r="C6456" i="23"/>
  <c r="A6456" i="23"/>
  <c r="C6509" i="23"/>
  <c r="A6509" i="23"/>
  <c r="C6508" i="23"/>
  <c r="A6508" i="23"/>
  <c r="C6507" i="23"/>
  <c r="A6507" i="23"/>
  <c r="C6506" i="23"/>
  <c r="A6506" i="23"/>
  <c r="C6505" i="23"/>
  <c r="A6505" i="23"/>
  <c r="C6504" i="23"/>
  <c r="A6504" i="23"/>
  <c r="C6503" i="23"/>
  <c r="A6503" i="23"/>
  <c r="C6502" i="23"/>
  <c r="A6502" i="23"/>
  <c r="C6501" i="23"/>
  <c r="A6501" i="23"/>
  <c r="C6500" i="23"/>
  <c r="A6500" i="23"/>
  <c r="C6499" i="23"/>
  <c r="A6499" i="23"/>
  <c r="C6498" i="23"/>
  <c r="A6498" i="23"/>
  <c r="C6497" i="23"/>
  <c r="A6497" i="23"/>
  <c r="C6496" i="23"/>
  <c r="A6496" i="23"/>
  <c r="C6495" i="23"/>
  <c r="A6495" i="23"/>
  <c r="C6494" i="23"/>
  <c r="A6494" i="23"/>
  <c r="C6493" i="23"/>
  <c r="A6493" i="23"/>
  <c r="C6492" i="23"/>
  <c r="A6492" i="23"/>
  <c r="C6491" i="23"/>
  <c r="A6491" i="23"/>
  <c r="C6490" i="23"/>
  <c r="A6490" i="23"/>
  <c r="C6489" i="23"/>
  <c r="A6489" i="23"/>
  <c r="C6488" i="23"/>
  <c r="A6488" i="23"/>
  <c r="C6487" i="23"/>
  <c r="A6487" i="23"/>
  <c r="C6486" i="23"/>
  <c r="A6486" i="23"/>
  <c r="C6485" i="23"/>
  <c r="A6485" i="23"/>
  <c r="C6484" i="23"/>
  <c r="A6484" i="23"/>
  <c r="C6483" i="23"/>
  <c r="A6483" i="23"/>
  <c r="C6536" i="23"/>
  <c r="A6536" i="23"/>
  <c r="C6535" i="23"/>
  <c r="A6535" i="23"/>
  <c r="C6534" i="23"/>
  <c r="A6534" i="23"/>
  <c r="C6533" i="23"/>
  <c r="A6533" i="23"/>
  <c r="C6532" i="23"/>
  <c r="A6532" i="23"/>
  <c r="C6531" i="23"/>
  <c r="A6531" i="23"/>
  <c r="C6530" i="23"/>
  <c r="A6530" i="23"/>
  <c r="C6529" i="23"/>
  <c r="A6529" i="23"/>
  <c r="C6528" i="23"/>
  <c r="A6528" i="23"/>
  <c r="C6527" i="23"/>
  <c r="A6527" i="23"/>
  <c r="C6526" i="23"/>
  <c r="A6526" i="23"/>
  <c r="C6525" i="23"/>
  <c r="A6525" i="23"/>
  <c r="C6524" i="23"/>
  <c r="A6524" i="23"/>
  <c r="C6523" i="23"/>
  <c r="A6523" i="23"/>
  <c r="C6522" i="23"/>
  <c r="A6522" i="23"/>
  <c r="C6521" i="23"/>
  <c r="A6521" i="23"/>
  <c r="C6520" i="23"/>
  <c r="A6520" i="23"/>
  <c r="C6519" i="23"/>
  <c r="A6519" i="23"/>
  <c r="C6518" i="23"/>
  <c r="A6518" i="23"/>
  <c r="C6517" i="23"/>
  <c r="A6517" i="23"/>
  <c r="C6516" i="23"/>
  <c r="A6516" i="23"/>
  <c r="C6515" i="23"/>
  <c r="A6515" i="23"/>
  <c r="C6514" i="23"/>
  <c r="A6514" i="23"/>
  <c r="C6513" i="23"/>
  <c r="A6513" i="23"/>
  <c r="C6512" i="23"/>
  <c r="A6512" i="23"/>
  <c r="C6511" i="23"/>
  <c r="A6511" i="23"/>
  <c r="C6510" i="23"/>
  <c r="A6510" i="23"/>
  <c r="C6293" i="23"/>
  <c r="A6293" i="23"/>
  <c r="C6292" i="23"/>
  <c r="A6292" i="23"/>
  <c r="C6291" i="23"/>
  <c r="A6291" i="23"/>
  <c r="C6290" i="23"/>
  <c r="A6290" i="23"/>
  <c r="C6289" i="23"/>
  <c r="A6289" i="23"/>
  <c r="C6288" i="23"/>
  <c r="A6288" i="23"/>
  <c r="C6287" i="23"/>
  <c r="A6287" i="23"/>
  <c r="C6286" i="23"/>
  <c r="A6286" i="23"/>
  <c r="C6285" i="23"/>
  <c r="A6285" i="23"/>
  <c r="C6284" i="23"/>
  <c r="A6284" i="23"/>
  <c r="C6283" i="23"/>
  <c r="A6283" i="23"/>
  <c r="C6282" i="23"/>
  <c r="A6282" i="23"/>
  <c r="C6281" i="23"/>
  <c r="A6281" i="23"/>
  <c r="C6280" i="23"/>
  <c r="A6280" i="23"/>
  <c r="C6279" i="23"/>
  <c r="A6279" i="23"/>
  <c r="C6278" i="23"/>
  <c r="A6278" i="23"/>
  <c r="C6277" i="23"/>
  <c r="A6277" i="23"/>
  <c r="C6276" i="23"/>
  <c r="A6276" i="23"/>
  <c r="C6275" i="23"/>
  <c r="A6275" i="23"/>
  <c r="C6274" i="23"/>
  <c r="A6274" i="23"/>
  <c r="C6273" i="23"/>
  <c r="A6273" i="23"/>
  <c r="C6272" i="23"/>
  <c r="A6272" i="23"/>
  <c r="C6271" i="23"/>
  <c r="A6271" i="23"/>
  <c r="C6270" i="23"/>
  <c r="A6270" i="23"/>
  <c r="C6269" i="23"/>
  <c r="A6269" i="23"/>
  <c r="C6268" i="23"/>
  <c r="A6268" i="23"/>
  <c r="C6267" i="23"/>
  <c r="A6267" i="23"/>
  <c r="C6644" i="23"/>
  <c r="A6644" i="23"/>
  <c r="C6643" i="23"/>
  <c r="A6643" i="23"/>
  <c r="C6642" i="23"/>
  <c r="A6642" i="23"/>
  <c r="C6641" i="23"/>
  <c r="A6641" i="23"/>
  <c r="C6640" i="23"/>
  <c r="A6640" i="23"/>
  <c r="C6639" i="23"/>
  <c r="A6639" i="23"/>
  <c r="C6638" i="23"/>
  <c r="A6638" i="23"/>
  <c r="C6637" i="23"/>
  <c r="A6637" i="23"/>
  <c r="C6636" i="23"/>
  <c r="A6636" i="23"/>
  <c r="C6635" i="23"/>
  <c r="A6635" i="23"/>
  <c r="C6634" i="23"/>
  <c r="A6634" i="23"/>
  <c r="C6633" i="23"/>
  <c r="A6633" i="23"/>
  <c r="C6632" i="23"/>
  <c r="A6632" i="23"/>
  <c r="C6631" i="23"/>
  <c r="A6631" i="23"/>
  <c r="C6630" i="23"/>
  <c r="A6630" i="23"/>
  <c r="C6629" i="23"/>
  <c r="A6629" i="23"/>
  <c r="C6628" i="23"/>
  <c r="A6628" i="23"/>
  <c r="C6627" i="23"/>
  <c r="A6627" i="23"/>
  <c r="C6626" i="23"/>
  <c r="A6626" i="23"/>
  <c r="C6625" i="23"/>
  <c r="A6625" i="23"/>
  <c r="C6624" i="23"/>
  <c r="A6624" i="23"/>
  <c r="C6623" i="23"/>
  <c r="A6623" i="23"/>
  <c r="C6622" i="23"/>
  <c r="A6622" i="23"/>
  <c r="C6621" i="23"/>
  <c r="A6621" i="23"/>
  <c r="C6620" i="23"/>
  <c r="A6620" i="23"/>
  <c r="C6619" i="23"/>
  <c r="A6619" i="23"/>
  <c r="C6618" i="23"/>
  <c r="A6618" i="23"/>
  <c r="C6995" i="23"/>
  <c r="A6995" i="23"/>
  <c r="C6994" i="23"/>
  <c r="A6994" i="23"/>
  <c r="C6993" i="23"/>
  <c r="A6993" i="23"/>
  <c r="C6992" i="23"/>
  <c r="A6992" i="23"/>
  <c r="C6991" i="23"/>
  <c r="A6991" i="23"/>
  <c r="C6990" i="23"/>
  <c r="A6990" i="23"/>
  <c r="C6989" i="23"/>
  <c r="A6989" i="23"/>
  <c r="C6988" i="23"/>
  <c r="A6988" i="23"/>
  <c r="C6987" i="23"/>
  <c r="A6987" i="23"/>
  <c r="C6986" i="23"/>
  <c r="A6986" i="23"/>
  <c r="C6985" i="23"/>
  <c r="A6985" i="23"/>
  <c r="C6984" i="23"/>
  <c r="A6984" i="23"/>
  <c r="C6983" i="23"/>
  <c r="A6983" i="23"/>
  <c r="C6982" i="23"/>
  <c r="A6982" i="23"/>
  <c r="C6981" i="23"/>
  <c r="A6981" i="23"/>
  <c r="C6980" i="23"/>
  <c r="A6980" i="23"/>
  <c r="C6979" i="23"/>
  <c r="A6979" i="23"/>
  <c r="C6978" i="23"/>
  <c r="A6978" i="23"/>
  <c r="C6977" i="23"/>
  <c r="A6977" i="23"/>
  <c r="C6976" i="23"/>
  <c r="A6976" i="23"/>
  <c r="C6975" i="23"/>
  <c r="A6975" i="23"/>
  <c r="C6974" i="23"/>
  <c r="A6974" i="23"/>
  <c r="C6973" i="23"/>
  <c r="A6973" i="23"/>
  <c r="C6972" i="23"/>
  <c r="A6972" i="23"/>
  <c r="C6971" i="23"/>
  <c r="A6971" i="23"/>
  <c r="C6970" i="23"/>
  <c r="A6970" i="23"/>
  <c r="C6969" i="23"/>
  <c r="A6969" i="23"/>
  <c r="C6671" i="23"/>
  <c r="A6671" i="23"/>
  <c r="C6670" i="23"/>
  <c r="A6670" i="23"/>
  <c r="C6669" i="23"/>
  <c r="A6669" i="23"/>
  <c r="C6668" i="23"/>
  <c r="A6668" i="23"/>
  <c r="C6667" i="23"/>
  <c r="A6667" i="23"/>
  <c r="C6666" i="23"/>
  <c r="A6666" i="23"/>
  <c r="C6665" i="23"/>
  <c r="A6665" i="23"/>
  <c r="C6664" i="23"/>
  <c r="A6664" i="23"/>
  <c r="C6663" i="23"/>
  <c r="A6663" i="23"/>
  <c r="C6662" i="23"/>
  <c r="A6662" i="23"/>
  <c r="C6661" i="23"/>
  <c r="A6661" i="23"/>
  <c r="C6660" i="23"/>
  <c r="A6660" i="23"/>
  <c r="C6659" i="23"/>
  <c r="A6659" i="23"/>
  <c r="C6658" i="23"/>
  <c r="A6658" i="23"/>
  <c r="C6657" i="23"/>
  <c r="A6657" i="23"/>
  <c r="C6656" i="23"/>
  <c r="A6656" i="23"/>
  <c r="C6655" i="23"/>
  <c r="A6655" i="23"/>
  <c r="C6654" i="23"/>
  <c r="A6654" i="23"/>
  <c r="C6653" i="23"/>
  <c r="A6653" i="23"/>
  <c r="C6652" i="23"/>
  <c r="A6652" i="23"/>
  <c r="C6651" i="23"/>
  <c r="A6651" i="23"/>
  <c r="C6650" i="23"/>
  <c r="A6650" i="23"/>
  <c r="C6649" i="23"/>
  <c r="A6649" i="23"/>
  <c r="C6648" i="23"/>
  <c r="A6648" i="23"/>
  <c r="C6647" i="23"/>
  <c r="A6647" i="23"/>
  <c r="C6646" i="23"/>
  <c r="A6646" i="23"/>
  <c r="C6645" i="23"/>
  <c r="A6645" i="23"/>
  <c r="C7130" i="23"/>
  <c r="A7130" i="23"/>
  <c r="C7129" i="23"/>
  <c r="A7129" i="23"/>
  <c r="C7128" i="23"/>
  <c r="A7128" i="23"/>
  <c r="C7127" i="23"/>
  <c r="A7127" i="23"/>
  <c r="C7126" i="23"/>
  <c r="A7126" i="23"/>
  <c r="C7125" i="23"/>
  <c r="A7125" i="23"/>
  <c r="C7124" i="23"/>
  <c r="A7124" i="23"/>
  <c r="C7123" i="23"/>
  <c r="A7123" i="23"/>
  <c r="C7122" i="23"/>
  <c r="A7122" i="23"/>
  <c r="C7121" i="23"/>
  <c r="A7121" i="23"/>
  <c r="C7120" i="23"/>
  <c r="A7120" i="23"/>
  <c r="C7119" i="23"/>
  <c r="A7119" i="23"/>
  <c r="C7118" i="23"/>
  <c r="A7118" i="23"/>
  <c r="C7117" i="23"/>
  <c r="A7117" i="23"/>
  <c r="C7116" i="23"/>
  <c r="A7116" i="23"/>
  <c r="C7115" i="23"/>
  <c r="A7115" i="23"/>
  <c r="C7114" i="23"/>
  <c r="A7114" i="23"/>
  <c r="C7113" i="23"/>
  <c r="A7113" i="23"/>
  <c r="C7112" i="23"/>
  <c r="A7112" i="23"/>
  <c r="C7111" i="23"/>
  <c r="A7111" i="23"/>
  <c r="C7110" i="23"/>
  <c r="A7110" i="23"/>
  <c r="C7109" i="23"/>
  <c r="A7109" i="23"/>
  <c r="C7108" i="23"/>
  <c r="A7108" i="23"/>
  <c r="C7107" i="23"/>
  <c r="A7107" i="23"/>
  <c r="C7106" i="23"/>
  <c r="A7106" i="23"/>
  <c r="C7105" i="23"/>
  <c r="A7105" i="23"/>
  <c r="C7104" i="23"/>
  <c r="A7104" i="23"/>
  <c r="C6266" i="23"/>
  <c r="A6266" i="23"/>
  <c r="C6265" i="23"/>
  <c r="A6265" i="23"/>
  <c r="C6264" i="23"/>
  <c r="A6264" i="23"/>
  <c r="C6263" i="23"/>
  <c r="A6263" i="23"/>
  <c r="C6262" i="23"/>
  <c r="A6262" i="23"/>
  <c r="C6261" i="23"/>
  <c r="A6261" i="23"/>
  <c r="C6260" i="23"/>
  <c r="A6260" i="23"/>
  <c r="C6259" i="23"/>
  <c r="A6259" i="23"/>
  <c r="C6258" i="23"/>
  <c r="A6258" i="23"/>
  <c r="C6257" i="23"/>
  <c r="A6257" i="23"/>
  <c r="C6256" i="23"/>
  <c r="A6256" i="23"/>
  <c r="C6255" i="23"/>
  <c r="A6255" i="23"/>
  <c r="C6254" i="23"/>
  <c r="A6254" i="23"/>
  <c r="C6253" i="23"/>
  <c r="A6253" i="23"/>
  <c r="C6252" i="23"/>
  <c r="A6252" i="23"/>
  <c r="C6251" i="23"/>
  <c r="A6251" i="23"/>
  <c r="C6250" i="23"/>
  <c r="A6250" i="23"/>
  <c r="C6249" i="23"/>
  <c r="A6249" i="23"/>
  <c r="C6248" i="23"/>
  <c r="A6248" i="23"/>
  <c r="C6247" i="23"/>
  <c r="A6247" i="23"/>
  <c r="C6246" i="23"/>
  <c r="A6246" i="23"/>
  <c r="C6245" i="23"/>
  <c r="A6245" i="23"/>
  <c r="C6244" i="23"/>
  <c r="A6244" i="23"/>
  <c r="C6243" i="23"/>
  <c r="A6243" i="23"/>
  <c r="C6242" i="23"/>
  <c r="A6242" i="23"/>
  <c r="C6241" i="23"/>
  <c r="A6241" i="23"/>
  <c r="C6240" i="23"/>
  <c r="A6240" i="23"/>
  <c r="C6617" i="23"/>
  <c r="A6617" i="23"/>
  <c r="C6616" i="23"/>
  <c r="A6616" i="23"/>
  <c r="C6615" i="23"/>
  <c r="A6615" i="23"/>
  <c r="C6614" i="23"/>
  <c r="A6614" i="23"/>
  <c r="C6613" i="23"/>
  <c r="A6613" i="23"/>
  <c r="C6612" i="23"/>
  <c r="A6612" i="23"/>
  <c r="C6611" i="23"/>
  <c r="A6611" i="23"/>
  <c r="C6610" i="23"/>
  <c r="A6610" i="23"/>
  <c r="C6609" i="23"/>
  <c r="A6609" i="23"/>
  <c r="C6608" i="23"/>
  <c r="A6608" i="23"/>
  <c r="C6607" i="23"/>
  <c r="A6607" i="23"/>
  <c r="C6606" i="23"/>
  <c r="A6606" i="23"/>
  <c r="C6605" i="23"/>
  <c r="A6605" i="23"/>
  <c r="C6604" i="23"/>
  <c r="A6604" i="23"/>
  <c r="C6603" i="23"/>
  <c r="A6603" i="23"/>
  <c r="C6602" i="23"/>
  <c r="A6602" i="23"/>
  <c r="C6601" i="23"/>
  <c r="A6601" i="23"/>
  <c r="C6600" i="23"/>
  <c r="A6600" i="23"/>
  <c r="C6599" i="23"/>
  <c r="A6599" i="23"/>
  <c r="C6598" i="23"/>
  <c r="A6598" i="23"/>
  <c r="C6597" i="23"/>
  <c r="A6597" i="23"/>
  <c r="C6596" i="23"/>
  <c r="A6596" i="23"/>
  <c r="C6595" i="23"/>
  <c r="A6595" i="23"/>
  <c r="C6594" i="23"/>
  <c r="A6594" i="23"/>
  <c r="C6593" i="23"/>
  <c r="A6593" i="23"/>
  <c r="C6592" i="23"/>
  <c r="A6592" i="23"/>
  <c r="C6591" i="23"/>
  <c r="A6591" i="23"/>
  <c r="C6914" i="23"/>
  <c r="A6914" i="23"/>
  <c r="C6913" i="23"/>
  <c r="A6913" i="23"/>
  <c r="C6912" i="23"/>
  <c r="A6912" i="23"/>
  <c r="C6911" i="23"/>
  <c r="A6911" i="23"/>
  <c r="C6910" i="23"/>
  <c r="A6910" i="23"/>
  <c r="C6909" i="23"/>
  <c r="A6909" i="23"/>
  <c r="C6908" i="23"/>
  <c r="A6908" i="23"/>
  <c r="C6907" i="23"/>
  <c r="A6907" i="23"/>
  <c r="C6906" i="23"/>
  <c r="A6906" i="23"/>
  <c r="C6905" i="23"/>
  <c r="A6905" i="23"/>
  <c r="C6904" i="23"/>
  <c r="A6904" i="23"/>
  <c r="C6903" i="23"/>
  <c r="A6903" i="23"/>
  <c r="C6902" i="23"/>
  <c r="A6902" i="23"/>
  <c r="C6901" i="23"/>
  <c r="A6901" i="23"/>
  <c r="C6900" i="23"/>
  <c r="A6900" i="23"/>
  <c r="C6899" i="23"/>
  <c r="A6899" i="23"/>
  <c r="C6898" i="23"/>
  <c r="A6898" i="23"/>
  <c r="C6897" i="23"/>
  <c r="A6897" i="23"/>
  <c r="C6896" i="23"/>
  <c r="A6896" i="23"/>
  <c r="C6895" i="23"/>
  <c r="A6895" i="23"/>
  <c r="C6894" i="23"/>
  <c r="A6894" i="23"/>
  <c r="C6893" i="23"/>
  <c r="A6893" i="23"/>
  <c r="C6892" i="23"/>
  <c r="A6892" i="23"/>
  <c r="C6891" i="23"/>
  <c r="A6891" i="23"/>
  <c r="C6890" i="23"/>
  <c r="A6890" i="23"/>
  <c r="C6889" i="23"/>
  <c r="A6889" i="23"/>
  <c r="C6888" i="23"/>
  <c r="A6888" i="23"/>
  <c r="C6725" i="23"/>
  <c r="A6725" i="23"/>
  <c r="C6724" i="23"/>
  <c r="A6724" i="23"/>
  <c r="C6723" i="23"/>
  <c r="A6723" i="23"/>
  <c r="C6722" i="23"/>
  <c r="A6722" i="23"/>
  <c r="C6721" i="23"/>
  <c r="A6721" i="23"/>
  <c r="C6720" i="23"/>
  <c r="A6720" i="23"/>
  <c r="C6719" i="23"/>
  <c r="A6719" i="23"/>
  <c r="C6718" i="23"/>
  <c r="A6718" i="23"/>
  <c r="C6717" i="23"/>
  <c r="A6717" i="23"/>
  <c r="C6716" i="23"/>
  <c r="A6716" i="23"/>
  <c r="C6715" i="23"/>
  <c r="A6715" i="23"/>
  <c r="C6714" i="23"/>
  <c r="A6714" i="23"/>
  <c r="C6713" i="23"/>
  <c r="A6713" i="23"/>
  <c r="C6712" i="23"/>
  <c r="A6712" i="23"/>
  <c r="C6711" i="23"/>
  <c r="A6711" i="23"/>
  <c r="C6710" i="23"/>
  <c r="A6710" i="23"/>
  <c r="C6709" i="23"/>
  <c r="A6709" i="23"/>
  <c r="C6708" i="23"/>
  <c r="A6708" i="23"/>
  <c r="C6707" i="23"/>
  <c r="A6707" i="23"/>
  <c r="C6706" i="23"/>
  <c r="A6706" i="23"/>
  <c r="C6705" i="23"/>
  <c r="A6705" i="23"/>
  <c r="C6704" i="23"/>
  <c r="A6704" i="23"/>
  <c r="C6703" i="23"/>
  <c r="A6703" i="23"/>
  <c r="C6702" i="23"/>
  <c r="A6702" i="23"/>
  <c r="C6701" i="23"/>
  <c r="A6701" i="23"/>
  <c r="C6700" i="23"/>
  <c r="A6700" i="23"/>
  <c r="C6699" i="23"/>
  <c r="A6699" i="23"/>
  <c r="C6806" i="23"/>
  <c r="A6806" i="23"/>
  <c r="C6805" i="23"/>
  <c r="A6805" i="23"/>
  <c r="C6804" i="23"/>
  <c r="A6804" i="23"/>
  <c r="C6803" i="23"/>
  <c r="A6803" i="23"/>
  <c r="C6802" i="23"/>
  <c r="A6802" i="23"/>
  <c r="C6801" i="23"/>
  <c r="A6801" i="23"/>
  <c r="C6800" i="23"/>
  <c r="A6800" i="23"/>
  <c r="C6799" i="23"/>
  <c r="A6799" i="23"/>
  <c r="C6798" i="23"/>
  <c r="A6798" i="23"/>
  <c r="C6797" i="23"/>
  <c r="A6797" i="23"/>
  <c r="C6796" i="23"/>
  <c r="A6796" i="23"/>
  <c r="C6795" i="23"/>
  <c r="A6795" i="23"/>
  <c r="C6794" i="23"/>
  <c r="A6794" i="23"/>
  <c r="C6793" i="23"/>
  <c r="A6793" i="23"/>
  <c r="C6792" i="23"/>
  <c r="A6792" i="23"/>
  <c r="C6791" i="23"/>
  <c r="A6791" i="23"/>
  <c r="C6790" i="23"/>
  <c r="A6790" i="23"/>
  <c r="C6789" i="23"/>
  <c r="A6789" i="23"/>
  <c r="C6788" i="23"/>
  <c r="A6788" i="23"/>
  <c r="C6787" i="23"/>
  <c r="A6787" i="23"/>
  <c r="C6786" i="23"/>
  <c r="A6786" i="23"/>
  <c r="C6785" i="23"/>
  <c r="A6785" i="23"/>
  <c r="C6784" i="23"/>
  <c r="A6784" i="23"/>
  <c r="C6783" i="23"/>
  <c r="A6783" i="23"/>
  <c r="C6782" i="23"/>
  <c r="A6782" i="23"/>
  <c r="C6781" i="23"/>
  <c r="A6781" i="23"/>
  <c r="C6780" i="23"/>
  <c r="A6780" i="23"/>
  <c r="C7076" i="23"/>
  <c r="A7076" i="23"/>
  <c r="C7075" i="23"/>
  <c r="A7075" i="23"/>
  <c r="C7074" i="23"/>
  <c r="A7074" i="23"/>
  <c r="C7073" i="23"/>
  <c r="A7073" i="23"/>
  <c r="C7072" i="23"/>
  <c r="A7072" i="23"/>
  <c r="C7071" i="23"/>
  <c r="A7071" i="23"/>
  <c r="C7070" i="23"/>
  <c r="A7070" i="23"/>
  <c r="C7069" i="23"/>
  <c r="A7069" i="23"/>
  <c r="C7068" i="23"/>
  <c r="A7068" i="23"/>
  <c r="C7067" i="23"/>
  <c r="A7067" i="23"/>
  <c r="C7066" i="23"/>
  <c r="A7066" i="23"/>
  <c r="C7065" i="23"/>
  <c r="A7065" i="23"/>
  <c r="C7064" i="23"/>
  <c r="A7064" i="23"/>
  <c r="C7063" i="23"/>
  <c r="A7063" i="23"/>
  <c r="C7062" i="23"/>
  <c r="A7062" i="23"/>
  <c r="C7061" i="23"/>
  <c r="A7061" i="23"/>
  <c r="C7060" i="23"/>
  <c r="A7060" i="23"/>
  <c r="C7059" i="23"/>
  <c r="A7059" i="23"/>
  <c r="C7058" i="23"/>
  <c r="A7058" i="23"/>
  <c r="C7057" i="23"/>
  <c r="A7057" i="23"/>
  <c r="C7056" i="23"/>
  <c r="A7056" i="23"/>
  <c r="C7055" i="23"/>
  <c r="A7055" i="23"/>
  <c r="C7054" i="23"/>
  <c r="A7054" i="23"/>
  <c r="C7053" i="23"/>
  <c r="A7053" i="23"/>
  <c r="C7052" i="23"/>
  <c r="A7052" i="23"/>
  <c r="C7051" i="23"/>
  <c r="A7051" i="23"/>
  <c r="C7050" i="23"/>
  <c r="A7050" i="23"/>
  <c r="C7022" i="23"/>
  <c r="A7022" i="23"/>
  <c r="C7021" i="23"/>
  <c r="A7021" i="23"/>
  <c r="C7020" i="23"/>
  <c r="A7020" i="23"/>
  <c r="C7019" i="23"/>
  <c r="A7019" i="23"/>
  <c r="C7018" i="23"/>
  <c r="A7018" i="23"/>
  <c r="C7017" i="23"/>
  <c r="A7017" i="23"/>
  <c r="C7016" i="23"/>
  <c r="A7016" i="23"/>
  <c r="C7015" i="23"/>
  <c r="A7015" i="23"/>
  <c r="C7014" i="23"/>
  <c r="A7014" i="23"/>
  <c r="C7013" i="23"/>
  <c r="A7013" i="23"/>
  <c r="C7012" i="23"/>
  <c r="A7012" i="23"/>
  <c r="C7011" i="23"/>
  <c r="A7011" i="23"/>
  <c r="C7010" i="23"/>
  <c r="A7010" i="23"/>
  <c r="C7009" i="23"/>
  <c r="A7009" i="23"/>
  <c r="C7008" i="23"/>
  <c r="A7008" i="23"/>
  <c r="C7007" i="23"/>
  <c r="A7007" i="23"/>
  <c r="C7006" i="23"/>
  <c r="A7006" i="23"/>
  <c r="C7005" i="23"/>
  <c r="A7005" i="23"/>
  <c r="C7004" i="23"/>
  <c r="A7004" i="23"/>
  <c r="C7003" i="23"/>
  <c r="A7003" i="23"/>
  <c r="C7002" i="23"/>
  <c r="A7002" i="23"/>
  <c r="C7001" i="23"/>
  <c r="A7001" i="23"/>
  <c r="C7000" i="23"/>
  <c r="A7000" i="23"/>
  <c r="C6999" i="23"/>
  <c r="A6999" i="23"/>
  <c r="C6998" i="23"/>
  <c r="A6998" i="23"/>
  <c r="C6997" i="23"/>
  <c r="A6997" i="23"/>
  <c r="C6996" i="23"/>
  <c r="A6996" i="23"/>
  <c r="C6968" i="23"/>
  <c r="A6968" i="23"/>
  <c r="C6967" i="23"/>
  <c r="A6967" i="23"/>
  <c r="C6966" i="23"/>
  <c r="A6966" i="23"/>
  <c r="C6965" i="23"/>
  <c r="A6965" i="23"/>
  <c r="C6964" i="23"/>
  <c r="A6964" i="23"/>
  <c r="C6963" i="23"/>
  <c r="A6963" i="23"/>
  <c r="C6962" i="23"/>
  <c r="A6962" i="23"/>
  <c r="C6961" i="23"/>
  <c r="A6961" i="23"/>
  <c r="C6960" i="23"/>
  <c r="A6960" i="23"/>
  <c r="C6959" i="23"/>
  <c r="A6959" i="23"/>
  <c r="C6958" i="23"/>
  <c r="A6958" i="23"/>
  <c r="C6957" i="23"/>
  <c r="A6957" i="23"/>
  <c r="C6956" i="23"/>
  <c r="A6956" i="23"/>
  <c r="C6955" i="23"/>
  <c r="A6955" i="23"/>
  <c r="C6954" i="23"/>
  <c r="A6954" i="23"/>
  <c r="C6953" i="23"/>
  <c r="A6953" i="23"/>
  <c r="C6952" i="23"/>
  <c r="A6952" i="23"/>
  <c r="C6951" i="23"/>
  <c r="A6951" i="23"/>
  <c r="C6950" i="23"/>
  <c r="A6950" i="23"/>
  <c r="C6949" i="23"/>
  <c r="A6949" i="23"/>
  <c r="C6948" i="23"/>
  <c r="A6948" i="23"/>
  <c r="C6947" i="23"/>
  <c r="A6947" i="23"/>
  <c r="C6946" i="23"/>
  <c r="A6946" i="23"/>
  <c r="C6945" i="23"/>
  <c r="A6945" i="23"/>
  <c r="C6944" i="23"/>
  <c r="A6944" i="23"/>
  <c r="C6943" i="23"/>
  <c r="A6943" i="23"/>
  <c r="C6942" i="23"/>
  <c r="A6942" i="23"/>
  <c r="C6779" i="23"/>
  <c r="A6779" i="23"/>
  <c r="C6778" i="23"/>
  <c r="A6778" i="23"/>
  <c r="C6777" i="23"/>
  <c r="A6777" i="23"/>
  <c r="C6776" i="23"/>
  <c r="A6776" i="23"/>
  <c r="C6775" i="23"/>
  <c r="A6775" i="23"/>
  <c r="C6774" i="23"/>
  <c r="A6774" i="23"/>
  <c r="C6773" i="23"/>
  <c r="A6773" i="23"/>
  <c r="C6772" i="23"/>
  <c r="A6772" i="23"/>
  <c r="C6771" i="23"/>
  <c r="A6771" i="23"/>
  <c r="C6770" i="23"/>
  <c r="A6770" i="23"/>
  <c r="C6769" i="23"/>
  <c r="A6769" i="23"/>
  <c r="C6768" i="23"/>
  <c r="A6768" i="23"/>
  <c r="C6767" i="23"/>
  <c r="A6767" i="23"/>
  <c r="C6766" i="23"/>
  <c r="A6766" i="23"/>
  <c r="C6765" i="23"/>
  <c r="A6765" i="23"/>
  <c r="C6764" i="23"/>
  <c r="A6764" i="23"/>
  <c r="C6763" i="23"/>
  <c r="A6763" i="23"/>
  <c r="C6762" i="23"/>
  <c r="A6762" i="23"/>
  <c r="C6761" i="23"/>
  <c r="A6761" i="23"/>
  <c r="C6760" i="23"/>
  <c r="A6760" i="23"/>
  <c r="C6759" i="23"/>
  <c r="A6759" i="23"/>
  <c r="C6758" i="23"/>
  <c r="A6758" i="23"/>
  <c r="C6757" i="23"/>
  <c r="A6757" i="23"/>
  <c r="C6756" i="23"/>
  <c r="A6756" i="23"/>
  <c r="C6755" i="23"/>
  <c r="A6755" i="23"/>
  <c r="C6754" i="23"/>
  <c r="A6754" i="23"/>
  <c r="C6753" i="23"/>
  <c r="A6753" i="23"/>
  <c r="C6212" i="23"/>
  <c r="A6212" i="23"/>
  <c r="C6211" i="23"/>
  <c r="A6211" i="23"/>
  <c r="C6210" i="23"/>
  <c r="A6210" i="23"/>
  <c r="C6209" i="23"/>
  <c r="A6209" i="23"/>
  <c r="C6208" i="23"/>
  <c r="A6208" i="23"/>
  <c r="C6207" i="23"/>
  <c r="A6207" i="23"/>
  <c r="C6206" i="23"/>
  <c r="A6206" i="23"/>
  <c r="C6205" i="23"/>
  <c r="A6205" i="23"/>
  <c r="C6204" i="23"/>
  <c r="A6204" i="23"/>
  <c r="C6203" i="23"/>
  <c r="A6203" i="23"/>
  <c r="C6202" i="23"/>
  <c r="A6202" i="23"/>
  <c r="C6201" i="23"/>
  <c r="A6201" i="23"/>
  <c r="C6200" i="23"/>
  <c r="A6200" i="23"/>
  <c r="C6199" i="23"/>
  <c r="A6199" i="23"/>
  <c r="C6198" i="23"/>
  <c r="A6198" i="23"/>
  <c r="C6197" i="23"/>
  <c r="A6197" i="23"/>
  <c r="C6196" i="23"/>
  <c r="A6196" i="23"/>
  <c r="C6195" i="23"/>
  <c r="A6195" i="23"/>
  <c r="C6194" i="23"/>
  <c r="A6194" i="23"/>
  <c r="C6193" i="23"/>
  <c r="A6193" i="23"/>
  <c r="C6192" i="23"/>
  <c r="A6192" i="23"/>
  <c r="C6191" i="23"/>
  <c r="A6191" i="23"/>
  <c r="C6190" i="23"/>
  <c r="A6190" i="23"/>
  <c r="C6189" i="23"/>
  <c r="A6189" i="23"/>
  <c r="C6188" i="23"/>
  <c r="A6188" i="23"/>
  <c r="C6187" i="23"/>
  <c r="A6187" i="23"/>
  <c r="C6186" i="23"/>
  <c r="A6186" i="23"/>
  <c r="C6752" i="23"/>
  <c r="A6752" i="23"/>
  <c r="C6751" i="23"/>
  <c r="A6751" i="23"/>
  <c r="C6750" i="23"/>
  <c r="A6750" i="23"/>
  <c r="C6749" i="23"/>
  <c r="A6749" i="23"/>
  <c r="C6748" i="23"/>
  <c r="A6748" i="23"/>
  <c r="C6747" i="23"/>
  <c r="A6747" i="23"/>
  <c r="C6746" i="23"/>
  <c r="A6746" i="23"/>
  <c r="C6745" i="23"/>
  <c r="A6745" i="23"/>
  <c r="C6744" i="23"/>
  <c r="A6744" i="23"/>
  <c r="C6743" i="23"/>
  <c r="A6743" i="23"/>
  <c r="C6742" i="23"/>
  <c r="A6742" i="23"/>
  <c r="C6741" i="23"/>
  <c r="A6741" i="23"/>
  <c r="C6740" i="23"/>
  <c r="A6740" i="23"/>
  <c r="C6739" i="23"/>
  <c r="A6739" i="23"/>
  <c r="C6738" i="23"/>
  <c r="A6738" i="23"/>
  <c r="C6737" i="23"/>
  <c r="A6737" i="23"/>
  <c r="C6736" i="23"/>
  <c r="A6736" i="23"/>
  <c r="C6735" i="23"/>
  <c r="A6735" i="23"/>
  <c r="C6734" i="23"/>
  <c r="A6734" i="23"/>
  <c r="C6733" i="23"/>
  <c r="A6733" i="23"/>
  <c r="C6732" i="23"/>
  <c r="A6732" i="23"/>
  <c r="C6731" i="23"/>
  <c r="A6731" i="23"/>
  <c r="C6730" i="23"/>
  <c r="A6730" i="23"/>
  <c r="C6729" i="23"/>
  <c r="A6729" i="23"/>
  <c r="C6728" i="23"/>
  <c r="A6728" i="23"/>
  <c r="C6727" i="23"/>
  <c r="A6727" i="23"/>
  <c r="C6726" i="23"/>
  <c r="A6726" i="23"/>
  <c r="C6563" i="23"/>
  <c r="A6563" i="23"/>
  <c r="C6562" i="23"/>
  <c r="A6562" i="23"/>
  <c r="C6561" i="23"/>
  <c r="A6561" i="23"/>
  <c r="C6560" i="23"/>
  <c r="A6560" i="23"/>
  <c r="C6559" i="23"/>
  <c r="A6559" i="23"/>
  <c r="C6558" i="23"/>
  <c r="A6558" i="23"/>
  <c r="C6557" i="23"/>
  <c r="A6557" i="23"/>
  <c r="C6556" i="23"/>
  <c r="A6556" i="23"/>
  <c r="C6555" i="23"/>
  <c r="A6555" i="23"/>
  <c r="C6554" i="23"/>
  <c r="A6554" i="23"/>
  <c r="C6553" i="23"/>
  <c r="A6553" i="23"/>
  <c r="C6552" i="23"/>
  <c r="A6552" i="23"/>
  <c r="C6551" i="23"/>
  <c r="A6551" i="23"/>
  <c r="C6550" i="23"/>
  <c r="A6550" i="23"/>
  <c r="C6549" i="23"/>
  <c r="A6549" i="23"/>
  <c r="C6548" i="23"/>
  <c r="A6548" i="23"/>
  <c r="C6547" i="23"/>
  <c r="A6547" i="23"/>
  <c r="C6546" i="23"/>
  <c r="A6546" i="23"/>
  <c r="C6545" i="23"/>
  <c r="A6545" i="23"/>
  <c r="C6544" i="23"/>
  <c r="A6544" i="23"/>
  <c r="C6543" i="23"/>
  <c r="A6543" i="23"/>
  <c r="C6542" i="23"/>
  <c r="A6542" i="23"/>
  <c r="C6541" i="23"/>
  <c r="A6541" i="23"/>
  <c r="C6540" i="23"/>
  <c r="A6540" i="23"/>
  <c r="C6539" i="23"/>
  <c r="A6539" i="23"/>
  <c r="C6538" i="23"/>
  <c r="A6538" i="23"/>
  <c r="C6537" i="23"/>
  <c r="A6537" i="23"/>
  <c r="C7157" i="23"/>
  <c r="A7157" i="23"/>
  <c r="C7156" i="23"/>
  <c r="A7156" i="23"/>
  <c r="C7155" i="23"/>
  <c r="A7155" i="23"/>
  <c r="C7154" i="23"/>
  <c r="A7154" i="23"/>
  <c r="C7153" i="23"/>
  <c r="A7153" i="23"/>
  <c r="C7152" i="23"/>
  <c r="A7152" i="23"/>
  <c r="C7151" i="23"/>
  <c r="A7151" i="23"/>
  <c r="C7150" i="23"/>
  <c r="A7150" i="23"/>
  <c r="C7149" i="23"/>
  <c r="A7149" i="23"/>
  <c r="C7148" i="23"/>
  <c r="A7148" i="23"/>
  <c r="C7147" i="23"/>
  <c r="A7147" i="23"/>
  <c r="C7146" i="23"/>
  <c r="A7146" i="23"/>
  <c r="C7145" i="23"/>
  <c r="A7145" i="23"/>
  <c r="C7144" i="23"/>
  <c r="A7144" i="23"/>
  <c r="C7143" i="23"/>
  <c r="A7143" i="23"/>
  <c r="C7142" i="23"/>
  <c r="A7142" i="23"/>
  <c r="C7141" i="23"/>
  <c r="A7141" i="23"/>
  <c r="C7140" i="23"/>
  <c r="A7140" i="23"/>
  <c r="C7139" i="23"/>
  <c r="A7139" i="23"/>
  <c r="C7138" i="23"/>
  <c r="A7138" i="23"/>
  <c r="C7137" i="23"/>
  <c r="A7137" i="23"/>
  <c r="C7136" i="23"/>
  <c r="A7136" i="23"/>
  <c r="C7135" i="23"/>
  <c r="A7135" i="23"/>
  <c r="C7134" i="23"/>
  <c r="A7134" i="23"/>
  <c r="C7133" i="23"/>
  <c r="A7133" i="23"/>
  <c r="C7132" i="23"/>
  <c r="A7132" i="23"/>
  <c r="C7131" i="23"/>
  <c r="A7131" i="23"/>
  <c r="C6887" i="23"/>
  <c r="A6887" i="23"/>
  <c r="C6886" i="23"/>
  <c r="A6886" i="23"/>
  <c r="C6885" i="23"/>
  <c r="A6885" i="23"/>
  <c r="C6884" i="23"/>
  <c r="A6884" i="23"/>
  <c r="C6883" i="23"/>
  <c r="A6883" i="23"/>
  <c r="C6882" i="23"/>
  <c r="A6882" i="23"/>
  <c r="C6881" i="23"/>
  <c r="A6881" i="23"/>
  <c r="C6880" i="23"/>
  <c r="A6880" i="23"/>
  <c r="C6879" i="23"/>
  <c r="A6879" i="23"/>
  <c r="C6878" i="23"/>
  <c r="A6878" i="23"/>
  <c r="C6877" i="23"/>
  <c r="A6877" i="23"/>
  <c r="C6876" i="23"/>
  <c r="A6876" i="23"/>
  <c r="C6875" i="23"/>
  <c r="A6875" i="23"/>
  <c r="C6874" i="23"/>
  <c r="A6874" i="23"/>
  <c r="C6873" i="23"/>
  <c r="A6873" i="23"/>
  <c r="C6872" i="23"/>
  <c r="A6872" i="23"/>
  <c r="C6871" i="23"/>
  <c r="A6871" i="23"/>
  <c r="C6870" i="23"/>
  <c r="A6870" i="23"/>
  <c r="C6869" i="23"/>
  <c r="A6869" i="23"/>
  <c r="C6868" i="23"/>
  <c r="A6868" i="23"/>
  <c r="C6867" i="23"/>
  <c r="A6867" i="23"/>
  <c r="C6866" i="23"/>
  <c r="A6866" i="23"/>
  <c r="C6865" i="23"/>
  <c r="A6865" i="23"/>
  <c r="C6864" i="23"/>
  <c r="A6864" i="23"/>
  <c r="C6863" i="23"/>
  <c r="A6863" i="23"/>
  <c r="C6862" i="23"/>
  <c r="A6862" i="23"/>
  <c r="C6861" i="23"/>
  <c r="A6861" i="23"/>
  <c r="C7184" i="23"/>
  <c r="A7184" i="23"/>
  <c r="C7183" i="23"/>
  <c r="A7183" i="23"/>
  <c r="C7182" i="23"/>
  <c r="A7182" i="23"/>
  <c r="C7181" i="23"/>
  <c r="A7181" i="23"/>
  <c r="C7180" i="23"/>
  <c r="A7180" i="23"/>
  <c r="C7179" i="23"/>
  <c r="A7179" i="23"/>
  <c r="C7178" i="23"/>
  <c r="A7178" i="23"/>
  <c r="C7177" i="23"/>
  <c r="A7177" i="23"/>
  <c r="C7176" i="23"/>
  <c r="A7176" i="23"/>
  <c r="C7175" i="23"/>
  <c r="A7175" i="23"/>
  <c r="C7174" i="23"/>
  <c r="A7174" i="23"/>
  <c r="C7173" i="23"/>
  <c r="A7173" i="23"/>
  <c r="C7172" i="23"/>
  <c r="A7172" i="23"/>
  <c r="C7171" i="23"/>
  <c r="A7171" i="23"/>
  <c r="C7170" i="23"/>
  <c r="A7170" i="23"/>
  <c r="C7169" i="23"/>
  <c r="A7169" i="23"/>
  <c r="C7168" i="23"/>
  <c r="A7168" i="23"/>
  <c r="C7167" i="23"/>
  <c r="A7167" i="23"/>
  <c r="C7166" i="23"/>
  <c r="A7166" i="23"/>
  <c r="C7165" i="23"/>
  <c r="A7165" i="23"/>
  <c r="C7164" i="23"/>
  <c r="A7164" i="23"/>
  <c r="C7163" i="23"/>
  <c r="A7163" i="23"/>
  <c r="C7162" i="23"/>
  <c r="A7162" i="23"/>
  <c r="C7161" i="23"/>
  <c r="A7161" i="23"/>
  <c r="C7160" i="23"/>
  <c r="A7160" i="23"/>
  <c r="C7159" i="23"/>
  <c r="A7159" i="23"/>
  <c r="C7158" i="23"/>
  <c r="A7158" i="23"/>
  <c r="C6833" i="23"/>
  <c r="A6833" i="23"/>
  <c r="C6832" i="23"/>
  <c r="A6832" i="23"/>
  <c r="C6831" i="23"/>
  <c r="A6831" i="23"/>
  <c r="C6830" i="23"/>
  <c r="A6830" i="23"/>
  <c r="C6829" i="23"/>
  <c r="A6829" i="23"/>
  <c r="C6828" i="23"/>
  <c r="A6828" i="23"/>
  <c r="C6827" i="23"/>
  <c r="A6827" i="23"/>
  <c r="C6826" i="23"/>
  <c r="A6826" i="23"/>
  <c r="C6825" i="23"/>
  <c r="A6825" i="23"/>
  <c r="C6824" i="23"/>
  <c r="A6824" i="23"/>
  <c r="C6823" i="23"/>
  <c r="A6823" i="23"/>
  <c r="C6822" i="23"/>
  <c r="A6822" i="23"/>
  <c r="C6821" i="23"/>
  <c r="A6821" i="23"/>
  <c r="C6820" i="23"/>
  <c r="A6820" i="23"/>
  <c r="C6819" i="23"/>
  <c r="A6819" i="23"/>
  <c r="C6818" i="23"/>
  <c r="A6818" i="23"/>
  <c r="C6817" i="23"/>
  <c r="A6817" i="23"/>
  <c r="C6816" i="23"/>
  <c r="A6816" i="23"/>
  <c r="C6815" i="23"/>
  <c r="A6815" i="23"/>
  <c r="C6814" i="23"/>
  <c r="A6814" i="23"/>
  <c r="C6813" i="23"/>
  <c r="A6813" i="23"/>
  <c r="C6812" i="23"/>
  <c r="A6812" i="23"/>
  <c r="C6811" i="23"/>
  <c r="A6811" i="23"/>
  <c r="C6810" i="23"/>
  <c r="A6810" i="23"/>
  <c r="C6809" i="23"/>
  <c r="A6809" i="23"/>
  <c r="C6808" i="23"/>
  <c r="A6808" i="23"/>
  <c r="C6807" i="23"/>
  <c r="A6807" i="23"/>
  <c r="C6860" i="23"/>
  <c r="A6860" i="23"/>
  <c r="C6859" i="23"/>
  <c r="A6859" i="23"/>
  <c r="C6858" i="23"/>
  <c r="A6858" i="23"/>
  <c r="C6857" i="23"/>
  <c r="A6857" i="23"/>
  <c r="C6856" i="23"/>
  <c r="A6856" i="23"/>
  <c r="C6855" i="23"/>
  <c r="A6855" i="23"/>
  <c r="C6854" i="23"/>
  <c r="A6854" i="23"/>
  <c r="C6853" i="23"/>
  <c r="A6853" i="23"/>
  <c r="C6852" i="23"/>
  <c r="A6852" i="23"/>
  <c r="C6851" i="23"/>
  <c r="A6851" i="23"/>
  <c r="C6850" i="23"/>
  <c r="A6850" i="23"/>
  <c r="C6849" i="23"/>
  <c r="A6849" i="23"/>
  <c r="C6848" i="23"/>
  <c r="A6848" i="23"/>
  <c r="C6847" i="23"/>
  <c r="A6847" i="23"/>
  <c r="C6846" i="23"/>
  <c r="A6846" i="23"/>
  <c r="C6845" i="23"/>
  <c r="A6845" i="23"/>
  <c r="C6844" i="23"/>
  <c r="A6844" i="23"/>
  <c r="C6843" i="23"/>
  <c r="A6843" i="23"/>
  <c r="C6842" i="23"/>
  <c r="A6842" i="23"/>
  <c r="C6841" i="23"/>
  <c r="A6841" i="23"/>
  <c r="C6840" i="23"/>
  <c r="A6840" i="23"/>
  <c r="C6839" i="23"/>
  <c r="A6839" i="23"/>
  <c r="C6838" i="23"/>
  <c r="A6838" i="23"/>
  <c r="C6837" i="23"/>
  <c r="A6837" i="23"/>
  <c r="C6836" i="23"/>
  <c r="A6836" i="23"/>
  <c r="C6835" i="23"/>
  <c r="A6835" i="23"/>
  <c r="C6834" i="23"/>
  <c r="A6834" i="23"/>
  <c r="C6590" i="23"/>
  <c r="A6590" i="23"/>
  <c r="C6589" i="23"/>
  <c r="A6589" i="23"/>
  <c r="C6588" i="23"/>
  <c r="A6588" i="23"/>
  <c r="C6587" i="23"/>
  <c r="A6587" i="23"/>
  <c r="C6586" i="23"/>
  <c r="A6586" i="23"/>
  <c r="C6585" i="23"/>
  <c r="A6585" i="23"/>
  <c r="C6584" i="23"/>
  <c r="A6584" i="23"/>
  <c r="C6583" i="23"/>
  <c r="A6583" i="23"/>
  <c r="C6582" i="23"/>
  <c r="A6582" i="23"/>
  <c r="C6581" i="23"/>
  <c r="A6581" i="23"/>
  <c r="C6580" i="23"/>
  <c r="A6580" i="23"/>
  <c r="C6579" i="23"/>
  <c r="A6579" i="23"/>
  <c r="C6578" i="23"/>
  <c r="A6578" i="23"/>
  <c r="C6577" i="23"/>
  <c r="A6577" i="23"/>
  <c r="C6576" i="23"/>
  <c r="A6576" i="23"/>
  <c r="C6575" i="23"/>
  <c r="A6575" i="23"/>
  <c r="C6574" i="23"/>
  <c r="A6574" i="23"/>
  <c r="C6573" i="23"/>
  <c r="A6573" i="23"/>
  <c r="C6572" i="23"/>
  <c r="A6572" i="23"/>
  <c r="C6571" i="23"/>
  <c r="A6571" i="23"/>
  <c r="C6570" i="23"/>
  <c r="A6570" i="23"/>
  <c r="C6569" i="23"/>
  <c r="A6569" i="23"/>
  <c r="C6568" i="23"/>
  <c r="A6568" i="23"/>
  <c r="C6567" i="23"/>
  <c r="A6567" i="23"/>
  <c r="C6566" i="23"/>
  <c r="A6566" i="23"/>
  <c r="C6565" i="23"/>
  <c r="A6565" i="23"/>
  <c r="C6564" i="23"/>
  <c r="A6564" i="23"/>
  <c r="C6185" i="23"/>
  <c r="A6185" i="23"/>
  <c r="C6184" i="23"/>
  <c r="A6184" i="23"/>
  <c r="C6183" i="23"/>
  <c r="A6183" i="23"/>
  <c r="C6182" i="23"/>
  <c r="A6182" i="23"/>
  <c r="C6181" i="23"/>
  <c r="A6181" i="23"/>
  <c r="C6180" i="23"/>
  <c r="A6180" i="23"/>
  <c r="C6179" i="23"/>
  <c r="A6179" i="23"/>
  <c r="C6178" i="23"/>
  <c r="A6178" i="23"/>
  <c r="C6177" i="23"/>
  <c r="A6177" i="23"/>
  <c r="C6176" i="23"/>
  <c r="A6176" i="23"/>
  <c r="C6175" i="23"/>
  <c r="A6175" i="23"/>
  <c r="C6174" i="23"/>
  <c r="A6174" i="23"/>
  <c r="C6173" i="23"/>
  <c r="A6173" i="23"/>
  <c r="C6172" i="23"/>
  <c r="A6172" i="23"/>
  <c r="C6171" i="23"/>
  <c r="A6171" i="23"/>
  <c r="C6170" i="23"/>
  <c r="A6170" i="23"/>
  <c r="C6169" i="23"/>
  <c r="A6169" i="23"/>
  <c r="C6168" i="23"/>
  <c r="A6168" i="23"/>
  <c r="C6167" i="23"/>
  <c r="A6167" i="23"/>
  <c r="C6166" i="23"/>
  <c r="A6166" i="23"/>
  <c r="C6165" i="23"/>
  <c r="A6165" i="23"/>
  <c r="C6164" i="23"/>
  <c r="A6164" i="23"/>
  <c r="C6163" i="23"/>
  <c r="A6163" i="23"/>
  <c r="C6162" i="23"/>
  <c r="A6162" i="23"/>
  <c r="C6161" i="23"/>
  <c r="A6161" i="23"/>
  <c r="C6160" i="23"/>
  <c r="A6160" i="23"/>
  <c r="C6159" i="23"/>
  <c r="A6159" i="23"/>
  <c r="C6698" i="23"/>
  <c r="A6698" i="23"/>
  <c r="C6697" i="23"/>
  <c r="A6697" i="23"/>
  <c r="C6696" i="23"/>
  <c r="A6696" i="23"/>
  <c r="C6695" i="23"/>
  <c r="A6695" i="23"/>
  <c r="C6694" i="23"/>
  <c r="A6694" i="23"/>
  <c r="C6693" i="23"/>
  <c r="A6693" i="23"/>
  <c r="C6692" i="23"/>
  <c r="A6692" i="23"/>
  <c r="C6691" i="23"/>
  <c r="A6691" i="23"/>
  <c r="C6690" i="23"/>
  <c r="A6690" i="23"/>
  <c r="C6689" i="23"/>
  <c r="A6689" i="23"/>
  <c r="C6688" i="23"/>
  <c r="A6688" i="23"/>
  <c r="C6687" i="23"/>
  <c r="A6687" i="23"/>
  <c r="C6686" i="23"/>
  <c r="A6686" i="23"/>
  <c r="C6685" i="23"/>
  <c r="A6685" i="23"/>
  <c r="C6684" i="23"/>
  <c r="A6684" i="23"/>
  <c r="C6683" i="23"/>
  <c r="A6683" i="23"/>
  <c r="C6682" i="23"/>
  <c r="A6682" i="23"/>
  <c r="C6681" i="23"/>
  <c r="A6681" i="23"/>
  <c r="C6680" i="23"/>
  <c r="A6680" i="23"/>
  <c r="C6679" i="23"/>
  <c r="A6679" i="23"/>
  <c r="C6678" i="23"/>
  <c r="A6678" i="23"/>
  <c r="C6677" i="23"/>
  <c r="A6677" i="23"/>
  <c r="C6676" i="23"/>
  <c r="A6676" i="23"/>
  <c r="C6675" i="23"/>
  <c r="A6675" i="23"/>
  <c r="C6674" i="23"/>
  <c r="A6674" i="23"/>
  <c r="C6673" i="23"/>
  <c r="A6673" i="23"/>
  <c r="C6672" i="23"/>
  <c r="A6672" i="23"/>
  <c r="C7049" i="23"/>
  <c r="A7049" i="23"/>
  <c r="C7048" i="23"/>
  <c r="A7048" i="23"/>
  <c r="C7047" i="23"/>
  <c r="A7047" i="23"/>
  <c r="C7046" i="23"/>
  <c r="A7046" i="23"/>
  <c r="C7045" i="23"/>
  <c r="A7045" i="23"/>
  <c r="C7044" i="23"/>
  <c r="A7044" i="23"/>
  <c r="C7043" i="23"/>
  <c r="A7043" i="23"/>
  <c r="C7042" i="23"/>
  <c r="A7042" i="23"/>
  <c r="C7041" i="23"/>
  <c r="A7041" i="23"/>
  <c r="C7040" i="23"/>
  <c r="A7040" i="23"/>
  <c r="C7039" i="23"/>
  <c r="A7039" i="23"/>
  <c r="C7038" i="23"/>
  <c r="A7038" i="23"/>
  <c r="C7037" i="23"/>
  <c r="A7037" i="23"/>
  <c r="C7036" i="23"/>
  <c r="A7036" i="23"/>
  <c r="C7035" i="23"/>
  <c r="A7035" i="23"/>
  <c r="C7034" i="23"/>
  <c r="A7034" i="23"/>
  <c r="C7033" i="23"/>
  <c r="A7033" i="23"/>
  <c r="C7032" i="23"/>
  <c r="A7032" i="23"/>
  <c r="C7031" i="23"/>
  <c r="A7031" i="23"/>
  <c r="C7030" i="23"/>
  <c r="A7030" i="23"/>
  <c r="C7029" i="23"/>
  <c r="A7029" i="23"/>
  <c r="C7028" i="23"/>
  <c r="A7028" i="23"/>
  <c r="C7027" i="23"/>
  <c r="A7027" i="23"/>
  <c r="C7026" i="23"/>
  <c r="A7026" i="23"/>
  <c r="C7025" i="23"/>
  <c r="A7025" i="23"/>
  <c r="C7024" i="23"/>
  <c r="A7024" i="23"/>
  <c r="C7023" i="23"/>
  <c r="A7023" i="23"/>
  <c r="C7103" i="23"/>
  <c r="A7103" i="23"/>
  <c r="C7102" i="23"/>
  <c r="A7102" i="23"/>
  <c r="C7101" i="23"/>
  <c r="A7101" i="23"/>
  <c r="C7100" i="23"/>
  <c r="A7100" i="23"/>
  <c r="C7099" i="23"/>
  <c r="A7099" i="23"/>
  <c r="C7098" i="23"/>
  <c r="A7098" i="23"/>
  <c r="C7097" i="23"/>
  <c r="A7097" i="23"/>
  <c r="C7096" i="23"/>
  <c r="A7096" i="23"/>
  <c r="C7095" i="23"/>
  <c r="A7095" i="23"/>
  <c r="C7094" i="23"/>
  <c r="A7094" i="23"/>
  <c r="C7093" i="23"/>
  <c r="A7093" i="23"/>
  <c r="C7092" i="23"/>
  <c r="A7092" i="23"/>
  <c r="C7091" i="23"/>
  <c r="A7091" i="23"/>
  <c r="C7090" i="23"/>
  <c r="A7090" i="23"/>
  <c r="C7089" i="23"/>
  <c r="A7089" i="23"/>
  <c r="C7088" i="23"/>
  <c r="A7088" i="23"/>
  <c r="C7087" i="23"/>
  <c r="A7087" i="23"/>
  <c r="C7086" i="23"/>
  <c r="A7086" i="23"/>
  <c r="C7085" i="23"/>
  <c r="A7085" i="23"/>
  <c r="C7084" i="23"/>
  <c r="A7084" i="23"/>
  <c r="C7083" i="23"/>
  <c r="A7083" i="23"/>
  <c r="C7082" i="23"/>
  <c r="A7082" i="23"/>
  <c r="C7081" i="23"/>
  <c r="A7081" i="23"/>
  <c r="C7080" i="23"/>
  <c r="A7080" i="23"/>
  <c r="C7079" i="23"/>
  <c r="A7079" i="23"/>
  <c r="C7078" i="23"/>
  <c r="A7078" i="23"/>
  <c r="C7077" i="23"/>
  <c r="A7077" i="23"/>
  <c r="C6239" i="23"/>
  <c r="A6239" i="23"/>
  <c r="C6238" i="23"/>
  <c r="A6238" i="23"/>
  <c r="C6237" i="23"/>
  <c r="A6237" i="23"/>
  <c r="C6236" i="23"/>
  <c r="A6236" i="23"/>
  <c r="C6235" i="23"/>
  <c r="A6235" i="23"/>
  <c r="C6234" i="23"/>
  <c r="A6234" i="23"/>
  <c r="C6233" i="23"/>
  <c r="A6233" i="23"/>
  <c r="C6232" i="23"/>
  <c r="A6232" i="23"/>
  <c r="C6231" i="23"/>
  <c r="A6231" i="23"/>
  <c r="C6230" i="23"/>
  <c r="A6230" i="23"/>
  <c r="C6229" i="23"/>
  <c r="A6229" i="23"/>
  <c r="C6228" i="23"/>
  <c r="A6228" i="23"/>
  <c r="C6227" i="23"/>
  <c r="A6227" i="23"/>
  <c r="C6226" i="23"/>
  <c r="A6226" i="23"/>
  <c r="C6225" i="23"/>
  <c r="A6225" i="23"/>
  <c r="C6224" i="23"/>
  <c r="A6224" i="23"/>
  <c r="C6223" i="23"/>
  <c r="A6223" i="23"/>
  <c r="C6222" i="23"/>
  <c r="A6222" i="23"/>
  <c r="C6221" i="23"/>
  <c r="A6221" i="23"/>
  <c r="C6220" i="23"/>
  <c r="A6220" i="23"/>
  <c r="C6219" i="23"/>
  <c r="A6219" i="23"/>
  <c r="C6218" i="23"/>
  <c r="A6218" i="23"/>
  <c r="C6217" i="23"/>
  <c r="A6217" i="23"/>
  <c r="C6216" i="23"/>
  <c r="A6216" i="23"/>
  <c r="C6215" i="23"/>
  <c r="A6215" i="23"/>
  <c r="C6214" i="23"/>
  <c r="A6214" i="23"/>
  <c r="C6213" i="23"/>
  <c r="A6213" i="23"/>
  <c r="C6941" i="23"/>
  <c r="A6941" i="23"/>
  <c r="C6940" i="23"/>
  <c r="A6940" i="23"/>
  <c r="C6939" i="23"/>
  <c r="A6939" i="23"/>
  <c r="C6938" i="23"/>
  <c r="A6938" i="23"/>
  <c r="C6937" i="23"/>
  <c r="A6937" i="23"/>
  <c r="C6936" i="23"/>
  <c r="A6936" i="23"/>
  <c r="C6935" i="23"/>
  <c r="A6935" i="23"/>
  <c r="C6934" i="23"/>
  <c r="A6934" i="23"/>
  <c r="C6933" i="23"/>
  <c r="A6933" i="23"/>
  <c r="C6932" i="23"/>
  <c r="A6932" i="23"/>
  <c r="C6931" i="23"/>
  <c r="A6931" i="23"/>
  <c r="C6930" i="23"/>
  <c r="A6930" i="23"/>
  <c r="C6929" i="23"/>
  <c r="A6929" i="23"/>
  <c r="C6928" i="23"/>
  <c r="A6928" i="23"/>
  <c r="C6927" i="23"/>
  <c r="A6927" i="23"/>
  <c r="C6926" i="23"/>
  <c r="A6926" i="23"/>
  <c r="C6925" i="23"/>
  <c r="A6925" i="23"/>
  <c r="C6924" i="23"/>
  <c r="A6924" i="23"/>
  <c r="C6923" i="23"/>
  <c r="A6923" i="23"/>
  <c r="C6922" i="23"/>
  <c r="A6922" i="23"/>
  <c r="C6921" i="23"/>
  <c r="A6921" i="23"/>
  <c r="C6920" i="23"/>
  <c r="A6920" i="23"/>
  <c r="C6919" i="23"/>
  <c r="A6919" i="23"/>
  <c r="C6918" i="23"/>
  <c r="A6918" i="23"/>
  <c r="C6917" i="23"/>
  <c r="A6917" i="23"/>
  <c r="C6916" i="23"/>
  <c r="A6916" i="23"/>
  <c r="C6915" i="23"/>
  <c r="A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A5294" i="23"/>
  <c r="B5293" i="23"/>
  <c r="A5293" i="23"/>
  <c r="B5292" i="23"/>
  <c r="A5292" i="23"/>
  <c r="B5291" i="23"/>
  <c r="A5291" i="23"/>
  <c r="B5290" i="23"/>
  <c r="A5290" i="23"/>
  <c r="B5289" i="23"/>
  <c r="A5289" i="23"/>
  <c r="B5288" i="23"/>
  <c r="A5288" i="23"/>
  <c r="B5287" i="23"/>
  <c r="A5287" i="23"/>
  <c r="B5286" i="23"/>
  <c r="A5286" i="23"/>
  <c r="B5285" i="23"/>
  <c r="A5285" i="23"/>
  <c r="B5284" i="23"/>
  <c r="A5284" i="23"/>
  <c r="B5283" i="23"/>
  <c r="A5283" i="23"/>
  <c r="B5282" i="23"/>
  <c r="A5282" i="23"/>
  <c r="B5281" i="23"/>
  <c r="A5281" i="23"/>
  <c r="B5280" i="23"/>
  <c r="A5280" i="23"/>
  <c r="B5279" i="23"/>
  <c r="A5279" i="23"/>
  <c r="B5278" i="23"/>
  <c r="A5278" i="23"/>
  <c r="B5277" i="23"/>
  <c r="A5277" i="23"/>
  <c r="B5276" i="23"/>
  <c r="A5276" i="23"/>
  <c r="B5275" i="23"/>
  <c r="A5275" i="23"/>
  <c r="B5274" i="23"/>
  <c r="A5274" i="23"/>
  <c r="B5273" i="23"/>
  <c r="A5273" i="23"/>
  <c r="B5272" i="23"/>
  <c r="A5272" i="23"/>
  <c r="B5271" i="23"/>
  <c r="A5271" i="23"/>
  <c r="B5270" i="23"/>
  <c r="A5270" i="23"/>
  <c r="B5269" i="23"/>
  <c r="A5269" i="23"/>
  <c r="B5268" i="23"/>
  <c r="A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A5321" i="23"/>
  <c r="B5320" i="23"/>
  <c r="A5320" i="23"/>
  <c r="B5319" i="23"/>
  <c r="A5319" i="23"/>
  <c r="B5318" i="23"/>
  <c r="A5318" i="23"/>
  <c r="B5317" i="23"/>
  <c r="A5317" i="23"/>
  <c r="B5316" i="23"/>
  <c r="A5316" i="23"/>
  <c r="B5315" i="23"/>
  <c r="A5315" i="23"/>
  <c r="B5314" i="23"/>
  <c r="A5314" i="23"/>
  <c r="B5313" i="23"/>
  <c r="A5313" i="23"/>
  <c r="B5312" i="23"/>
  <c r="A5312" i="23"/>
  <c r="B5311" i="23"/>
  <c r="A5311" i="23"/>
  <c r="B5310" i="23"/>
  <c r="A5310" i="23"/>
  <c r="B5309" i="23"/>
  <c r="A5309" i="23"/>
  <c r="B5308" i="23"/>
  <c r="A5308" i="23"/>
  <c r="B5307" i="23"/>
  <c r="A5307" i="23"/>
  <c r="B5306" i="23"/>
  <c r="A5306" i="23"/>
  <c r="B5305" i="23"/>
  <c r="A5305" i="23"/>
  <c r="B5304" i="23"/>
  <c r="A5304" i="23"/>
  <c r="B5303" i="23"/>
  <c r="A5303" i="23"/>
  <c r="B5302" i="23"/>
  <c r="A5302" i="23"/>
  <c r="B5301" i="23"/>
  <c r="A5301" i="23"/>
  <c r="B5300" i="23"/>
  <c r="A5300" i="23"/>
  <c r="B5299" i="23"/>
  <c r="A5299" i="23"/>
  <c r="B5298" i="23"/>
  <c r="A5298" i="23"/>
  <c r="B5297" i="23"/>
  <c r="A5297" i="23"/>
  <c r="B5296" i="23"/>
  <c r="A5296" i="23"/>
  <c r="B5295" i="23"/>
  <c r="A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A5348" i="23"/>
  <c r="B5347" i="23"/>
  <c r="A5347" i="23"/>
  <c r="B5346" i="23"/>
  <c r="A5346" i="23"/>
  <c r="B5345" i="23"/>
  <c r="A5345" i="23"/>
  <c r="B5344" i="23"/>
  <c r="A5344" i="23"/>
  <c r="B5343" i="23"/>
  <c r="A5343" i="23"/>
  <c r="B5342" i="23"/>
  <c r="A5342" i="23"/>
  <c r="B5341" i="23"/>
  <c r="A5341" i="23"/>
  <c r="B5340" i="23"/>
  <c r="A5340" i="23"/>
  <c r="B5339" i="23"/>
  <c r="A5339" i="23"/>
  <c r="B5338" i="23"/>
  <c r="A5338" i="23"/>
  <c r="B5337" i="23"/>
  <c r="A5337" i="23"/>
  <c r="B5336" i="23"/>
  <c r="A5336" i="23"/>
  <c r="B5335" i="23"/>
  <c r="A5335" i="23"/>
  <c r="B5334" i="23"/>
  <c r="A5334" i="23"/>
  <c r="B5333" i="23"/>
  <c r="A5333" i="23"/>
  <c r="B5332" i="23"/>
  <c r="A5332" i="23"/>
  <c r="B5331" i="23"/>
  <c r="A5331" i="23"/>
  <c r="B5330" i="23"/>
  <c r="A5330" i="23"/>
  <c r="B5329" i="23"/>
  <c r="A5329" i="23"/>
  <c r="B5328" i="23"/>
  <c r="A5328" i="23"/>
  <c r="B5327" i="23"/>
  <c r="A5327" i="23"/>
  <c r="B5326" i="23"/>
  <c r="A5326" i="23"/>
  <c r="B5325" i="23"/>
  <c r="A5325" i="23"/>
  <c r="B5324" i="23"/>
  <c r="A5324" i="23"/>
  <c r="B5323" i="23"/>
  <c r="A5323" i="23"/>
  <c r="B5322" i="23"/>
  <c r="A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A5375" i="23"/>
  <c r="B5374" i="23"/>
  <c r="A5374" i="23"/>
  <c r="B5373" i="23"/>
  <c r="A5373" i="23"/>
  <c r="B5372" i="23"/>
  <c r="A5372" i="23"/>
  <c r="B5371" i="23"/>
  <c r="A5371" i="23"/>
  <c r="B5370" i="23"/>
  <c r="A5370" i="23"/>
  <c r="B5369" i="23"/>
  <c r="A5369" i="23"/>
  <c r="B5368" i="23"/>
  <c r="A5368" i="23"/>
  <c r="B5367" i="23"/>
  <c r="A5367" i="23"/>
  <c r="B5366" i="23"/>
  <c r="A5366" i="23"/>
  <c r="B5365" i="23"/>
  <c r="A5365" i="23"/>
  <c r="B5364" i="23"/>
  <c r="A5364" i="23"/>
  <c r="B5363" i="23"/>
  <c r="A5363" i="23"/>
  <c r="B5362" i="23"/>
  <c r="A5362" i="23"/>
  <c r="B5361" i="23"/>
  <c r="A5361" i="23"/>
  <c r="B5360" i="23"/>
  <c r="A5360" i="23"/>
  <c r="B5359" i="23"/>
  <c r="A5359" i="23"/>
  <c r="B5358" i="23"/>
  <c r="A5358" i="23"/>
  <c r="B5357" i="23"/>
  <c r="A5357" i="23"/>
  <c r="B5356" i="23"/>
  <c r="A5356" i="23"/>
  <c r="B5355" i="23"/>
  <c r="A5355" i="23"/>
  <c r="B5354" i="23"/>
  <c r="A5354" i="23"/>
  <c r="B5353" i="23"/>
  <c r="A5353" i="23"/>
  <c r="B5352" i="23"/>
  <c r="A5352" i="23"/>
  <c r="B5351" i="23"/>
  <c r="A5351" i="23"/>
  <c r="B5350" i="23"/>
  <c r="A5350" i="23"/>
  <c r="B5349" i="23"/>
  <c r="A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A5402" i="23"/>
  <c r="B5401" i="23"/>
  <c r="A5401" i="23"/>
  <c r="B5400" i="23"/>
  <c r="A5400" i="23"/>
  <c r="B5399" i="23"/>
  <c r="A5399" i="23"/>
  <c r="B5398" i="23"/>
  <c r="A5398" i="23"/>
  <c r="B5397" i="23"/>
  <c r="A5397" i="23"/>
  <c r="B5396" i="23"/>
  <c r="A5396" i="23"/>
  <c r="B5395" i="23"/>
  <c r="A5395" i="23"/>
  <c r="B5394" i="23"/>
  <c r="A5394" i="23"/>
  <c r="B5393" i="23"/>
  <c r="A5393" i="23"/>
  <c r="B5392" i="23"/>
  <c r="A5392" i="23"/>
  <c r="B5391" i="23"/>
  <c r="A5391" i="23"/>
  <c r="B5390" i="23"/>
  <c r="A5390" i="23"/>
  <c r="B5389" i="23"/>
  <c r="A5389" i="23"/>
  <c r="B5388" i="23"/>
  <c r="A5388" i="23"/>
  <c r="B5387" i="23"/>
  <c r="A5387" i="23"/>
  <c r="B5386" i="23"/>
  <c r="A5386" i="23"/>
  <c r="B5385" i="23"/>
  <c r="A5385" i="23"/>
  <c r="B5384" i="23"/>
  <c r="A5384" i="23"/>
  <c r="B5383" i="23"/>
  <c r="A5383" i="23"/>
  <c r="B5382" i="23"/>
  <c r="A5382" i="23"/>
  <c r="B5381" i="23"/>
  <c r="A5381" i="23"/>
  <c r="B5380" i="23"/>
  <c r="A5380" i="23"/>
  <c r="B5379" i="23"/>
  <c r="A5379" i="23"/>
  <c r="B5378" i="23"/>
  <c r="A5378" i="23"/>
  <c r="B5377" i="23"/>
  <c r="A5377" i="23"/>
  <c r="B5376" i="23"/>
  <c r="A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A5429" i="23"/>
  <c r="B5428" i="23"/>
  <c r="A5428" i="23"/>
  <c r="B5427" i="23"/>
  <c r="A5427" i="23"/>
  <c r="B5426" i="23"/>
  <c r="A5426" i="23"/>
  <c r="B5425" i="23"/>
  <c r="A5425" i="23"/>
  <c r="B5424" i="23"/>
  <c r="A5424" i="23"/>
  <c r="B5423" i="23"/>
  <c r="A5423" i="23"/>
  <c r="B5422" i="23"/>
  <c r="A5422" i="23"/>
  <c r="B5421" i="23"/>
  <c r="A5421" i="23"/>
  <c r="B5420" i="23"/>
  <c r="A5420" i="23"/>
  <c r="B5419" i="23"/>
  <c r="A5419" i="23"/>
  <c r="B5418" i="23"/>
  <c r="A5418" i="23"/>
  <c r="B5417" i="23"/>
  <c r="A5417" i="23"/>
  <c r="B5416" i="23"/>
  <c r="A5416" i="23"/>
  <c r="B5415" i="23"/>
  <c r="A5415" i="23"/>
  <c r="B5414" i="23"/>
  <c r="A5414" i="23"/>
  <c r="B5413" i="23"/>
  <c r="A5413" i="23"/>
  <c r="B5412" i="23"/>
  <c r="A5412" i="23"/>
  <c r="B5411" i="23"/>
  <c r="A5411" i="23"/>
  <c r="B5410" i="23"/>
  <c r="A5410" i="23"/>
  <c r="B5409" i="23"/>
  <c r="A5409" i="23"/>
  <c r="B5408" i="23"/>
  <c r="A5408" i="23"/>
  <c r="B5407" i="23"/>
  <c r="A5407" i="23"/>
  <c r="B5406" i="23"/>
  <c r="A5406" i="23"/>
  <c r="B5405" i="23"/>
  <c r="A5405" i="23"/>
  <c r="B5404" i="23"/>
  <c r="A5404" i="23"/>
  <c r="B5403" i="23"/>
  <c r="A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A5456" i="23"/>
  <c r="B5455" i="23"/>
  <c r="A5455" i="23"/>
  <c r="B5454" i="23"/>
  <c r="A5454" i="23"/>
  <c r="B5453" i="23"/>
  <c r="A5453" i="23"/>
  <c r="B5452" i="23"/>
  <c r="A5452" i="23"/>
  <c r="B5451" i="23"/>
  <c r="A5451" i="23"/>
  <c r="B5450" i="23"/>
  <c r="A5450" i="23"/>
  <c r="B5449" i="23"/>
  <c r="A5449" i="23"/>
  <c r="B5448" i="23"/>
  <c r="A5448" i="23"/>
  <c r="B5447" i="23"/>
  <c r="A5447" i="23"/>
  <c r="B5446" i="23"/>
  <c r="A5446" i="23"/>
  <c r="B5445" i="23"/>
  <c r="A5445" i="23"/>
  <c r="B5444" i="23"/>
  <c r="A5444" i="23"/>
  <c r="B5443" i="23"/>
  <c r="A5443" i="23"/>
  <c r="B5442" i="23"/>
  <c r="A5442" i="23"/>
  <c r="B5441" i="23"/>
  <c r="A5441" i="23"/>
  <c r="B5440" i="23"/>
  <c r="A5440" i="23"/>
  <c r="B5439" i="23"/>
  <c r="A5439" i="23"/>
  <c r="B5438" i="23"/>
  <c r="A5438" i="23"/>
  <c r="B5437" i="23"/>
  <c r="A5437" i="23"/>
  <c r="B5436" i="23"/>
  <c r="A5436" i="23"/>
  <c r="B5435" i="23"/>
  <c r="A5435" i="23"/>
  <c r="B5434" i="23"/>
  <c r="A5434" i="23"/>
  <c r="B5433" i="23"/>
  <c r="A5433" i="23"/>
  <c r="B5432" i="23"/>
  <c r="A5432" i="23"/>
  <c r="B5431" i="23"/>
  <c r="A5431" i="23"/>
  <c r="B5430" i="23"/>
  <c r="A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A5483" i="23"/>
  <c r="B5482" i="23"/>
  <c r="A5482" i="23"/>
  <c r="B5481" i="23"/>
  <c r="A5481" i="23"/>
  <c r="B5480" i="23"/>
  <c r="A5480" i="23"/>
  <c r="B5479" i="23"/>
  <c r="A5479" i="23"/>
  <c r="B5478" i="23"/>
  <c r="A5478" i="23"/>
  <c r="B5477" i="23"/>
  <c r="A5477" i="23"/>
  <c r="B5476" i="23"/>
  <c r="A5476" i="23"/>
  <c r="B5475" i="23"/>
  <c r="A5475" i="23"/>
  <c r="B5474" i="23"/>
  <c r="A5474" i="23"/>
  <c r="B5473" i="23"/>
  <c r="A5473" i="23"/>
  <c r="B5472" i="23"/>
  <c r="A5472" i="23"/>
  <c r="B5471" i="23"/>
  <c r="A5471" i="23"/>
  <c r="B5470" i="23"/>
  <c r="A5470" i="23"/>
  <c r="B5469" i="23"/>
  <c r="A5469" i="23"/>
  <c r="B5468" i="23"/>
  <c r="A5468" i="23"/>
  <c r="B5467" i="23"/>
  <c r="A5467" i="23"/>
  <c r="B5466" i="23"/>
  <c r="A5466" i="23"/>
  <c r="B5465" i="23"/>
  <c r="A5465" i="23"/>
  <c r="B5464" i="23"/>
  <c r="A5464" i="23"/>
  <c r="B5463" i="23"/>
  <c r="A5463" i="23"/>
  <c r="B5462" i="23"/>
  <c r="A5462" i="23"/>
  <c r="B5461" i="23"/>
  <c r="A5461" i="23"/>
  <c r="B5460" i="23"/>
  <c r="A5460" i="23"/>
  <c r="B5459" i="23"/>
  <c r="A5459" i="23"/>
  <c r="B5458" i="23"/>
  <c r="A5458" i="23"/>
  <c r="B5457" i="23"/>
  <c r="A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A5510" i="23"/>
  <c r="B5509" i="23"/>
  <c r="A5509" i="23"/>
  <c r="B5508" i="23"/>
  <c r="A5508" i="23"/>
  <c r="B5507" i="23"/>
  <c r="A5507" i="23"/>
  <c r="B5506" i="23"/>
  <c r="A5506" i="23"/>
  <c r="B5505" i="23"/>
  <c r="A5505" i="23"/>
  <c r="B5504" i="23"/>
  <c r="A5504" i="23"/>
  <c r="B5503" i="23"/>
  <c r="A5503" i="23"/>
  <c r="B5502" i="23"/>
  <c r="A5502" i="23"/>
  <c r="B5501" i="23"/>
  <c r="A5501" i="23"/>
  <c r="B5500" i="23"/>
  <c r="A5500" i="23"/>
  <c r="B5499" i="23"/>
  <c r="A5499" i="23"/>
  <c r="B5498" i="23"/>
  <c r="A5498" i="23"/>
  <c r="B5497" i="23"/>
  <c r="A5497" i="23"/>
  <c r="B5496" i="23"/>
  <c r="A5496" i="23"/>
  <c r="B5495" i="23"/>
  <c r="A5495" i="23"/>
  <c r="B5494" i="23"/>
  <c r="A5494" i="23"/>
  <c r="B5493" i="23"/>
  <c r="A5493" i="23"/>
  <c r="B5492" i="23"/>
  <c r="A5492" i="23"/>
  <c r="B5491" i="23"/>
  <c r="A5491" i="23"/>
  <c r="B5490" i="23"/>
  <c r="A5490" i="23"/>
  <c r="B5489" i="23"/>
  <c r="A5489" i="23"/>
  <c r="B5488" i="23"/>
  <c r="A5488" i="23"/>
  <c r="B5487" i="23"/>
  <c r="A5487" i="23"/>
  <c r="B5486" i="23"/>
  <c r="A5486" i="23"/>
  <c r="B5485" i="23"/>
  <c r="A5485" i="23"/>
  <c r="B5484" i="23"/>
  <c r="A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A5267" i="23"/>
  <c r="B5266" i="23"/>
  <c r="A5266" i="23"/>
  <c r="B5265" i="23"/>
  <c r="A5265" i="23"/>
  <c r="B5264" i="23"/>
  <c r="A5264" i="23"/>
  <c r="B5263" i="23"/>
  <c r="A5263" i="23"/>
  <c r="B5262" i="23"/>
  <c r="A5262" i="23"/>
  <c r="B5261" i="23"/>
  <c r="A5261" i="23"/>
  <c r="B5260" i="23"/>
  <c r="A5260" i="23"/>
  <c r="B5259" i="23"/>
  <c r="A5259" i="23"/>
  <c r="B5258" i="23"/>
  <c r="A5258" i="23"/>
  <c r="B5257" i="23"/>
  <c r="A5257" i="23"/>
  <c r="B5256" i="23"/>
  <c r="A5256" i="23"/>
  <c r="B5255" i="23"/>
  <c r="A5255" i="23"/>
  <c r="B5254" i="23"/>
  <c r="A5254" i="23"/>
  <c r="B5253" i="23"/>
  <c r="A5253" i="23"/>
  <c r="B5252" i="23"/>
  <c r="A5252" i="23"/>
  <c r="B5251" i="23"/>
  <c r="A5251" i="23"/>
  <c r="B5250" i="23"/>
  <c r="A5250" i="23"/>
  <c r="B5249" i="23"/>
  <c r="A5249" i="23"/>
  <c r="B5248" i="23"/>
  <c r="A5248" i="23"/>
  <c r="B5247" i="23"/>
  <c r="A5247" i="23"/>
  <c r="B5246" i="23"/>
  <c r="A5246" i="23"/>
  <c r="B5245" i="23"/>
  <c r="A5245" i="23"/>
  <c r="B5244" i="23"/>
  <c r="A5244" i="23"/>
  <c r="B5243" i="23"/>
  <c r="A5243" i="23"/>
  <c r="B5242" i="23"/>
  <c r="A5242" i="23"/>
  <c r="B5241" i="23"/>
  <c r="A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A5618" i="23"/>
  <c r="B5617" i="23"/>
  <c r="A5617" i="23"/>
  <c r="B5616" i="23"/>
  <c r="A5616" i="23"/>
  <c r="B5615" i="23"/>
  <c r="A5615" i="23"/>
  <c r="B5614" i="23"/>
  <c r="A5614" i="23"/>
  <c r="B5613" i="23"/>
  <c r="A5613" i="23"/>
  <c r="B5612" i="23"/>
  <c r="A5612" i="23"/>
  <c r="B5611" i="23"/>
  <c r="A5611" i="23"/>
  <c r="B5610" i="23"/>
  <c r="A5610" i="23"/>
  <c r="B5609" i="23"/>
  <c r="A5609" i="23"/>
  <c r="B5608" i="23"/>
  <c r="A5608" i="23"/>
  <c r="B5607" i="23"/>
  <c r="A5607" i="23"/>
  <c r="B5606" i="23"/>
  <c r="A5606" i="23"/>
  <c r="B5605" i="23"/>
  <c r="A5605" i="23"/>
  <c r="B5604" i="23"/>
  <c r="A5604" i="23"/>
  <c r="B5603" i="23"/>
  <c r="A5603" i="23"/>
  <c r="B5602" i="23"/>
  <c r="A5602" i="23"/>
  <c r="B5601" i="23"/>
  <c r="A5601" i="23"/>
  <c r="B5600" i="23"/>
  <c r="A5600" i="23"/>
  <c r="B5599" i="23"/>
  <c r="A5599" i="23"/>
  <c r="B5598" i="23"/>
  <c r="A5598" i="23"/>
  <c r="B5597" i="23"/>
  <c r="A5597" i="23"/>
  <c r="B5596" i="23"/>
  <c r="A5596" i="23"/>
  <c r="B5595" i="23"/>
  <c r="A5595" i="23"/>
  <c r="B5594" i="23"/>
  <c r="A5594" i="23"/>
  <c r="B5593" i="23"/>
  <c r="A5593" i="23"/>
  <c r="B5592" i="23"/>
  <c r="A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A5969" i="23"/>
  <c r="B5968" i="23"/>
  <c r="A5968" i="23"/>
  <c r="B5967" i="23"/>
  <c r="A5967" i="23"/>
  <c r="B5966" i="23"/>
  <c r="A5966" i="23"/>
  <c r="B5965" i="23"/>
  <c r="A5965" i="23"/>
  <c r="B5964" i="23"/>
  <c r="A5964" i="23"/>
  <c r="B5963" i="23"/>
  <c r="A5963" i="23"/>
  <c r="B5962" i="23"/>
  <c r="A5962" i="23"/>
  <c r="B5961" i="23"/>
  <c r="A5961" i="23"/>
  <c r="B5960" i="23"/>
  <c r="A5960" i="23"/>
  <c r="B5959" i="23"/>
  <c r="A5959" i="23"/>
  <c r="B5958" i="23"/>
  <c r="A5958" i="23"/>
  <c r="B5957" i="23"/>
  <c r="A5957" i="23"/>
  <c r="B5956" i="23"/>
  <c r="A5956" i="23"/>
  <c r="B5955" i="23"/>
  <c r="A5955" i="23"/>
  <c r="B5954" i="23"/>
  <c r="A5954" i="23"/>
  <c r="B5953" i="23"/>
  <c r="A5953" i="23"/>
  <c r="B5952" i="23"/>
  <c r="A5952" i="23"/>
  <c r="B5951" i="23"/>
  <c r="A5951" i="23"/>
  <c r="B5950" i="23"/>
  <c r="A5950" i="23"/>
  <c r="B5949" i="23"/>
  <c r="A5949" i="23"/>
  <c r="B5948" i="23"/>
  <c r="A5948" i="23"/>
  <c r="B5947" i="23"/>
  <c r="A5947" i="23"/>
  <c r="B5946" i="23"/>
  <c r="A5946" i="23"/>
  <c r="B5945" i="23"/>
  <c r="A5945" i="23"/>
  <c r="B5944" i="23"/>
  <c r="A5944" i="23"/>
  <c r="B5943" i="23"/>
  <c r="A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A5645" i="23"/>
  <c r="B5644" i="23"/>
  <c r="A5644" i="23"/>
  <c r="B5643" i="23"/>
  <c r="A5643" i="23"/>
  <c r="B5642" i="23"/>
  <c r="A5642" i="23"/>
  <c r="B5641" i="23"/>
  <c r="A5641" i="23"/>
  <c r="B5640" i="23"/>
  <c r="A5640" i="23"/>
  <c r="B5639" i="23"/>
  <c r="A5639" i="23"/>
  <c r="B5638" i="23"/>
  <c r="A5638" i="23"/>
  <c r="B5637" i="23"/>
  <c r="A5637" i="23"/>
  <c r="B5636" i="23"/>
  <c r="A5636" i="23"/>
  <c r="B5635" i="23"/>
  <c r="A5635" i="23"/>
  <c r="B5634" i="23"/>
  <c r="A5634" i="23"/>
  <c r="B5633" i="23"/>
  <c r="A5633" i="23"/>
  <c r="B5632" i="23"/>
  <c r="A5632" i="23"/>
  <c r="B5631" i="23"/>
  <c r="A5631" i="23"/>
  <c r="B5630" i="23"/>
  <c r="A5630" i="23"/>
  <c r="B5629" i="23"/>
  <c r="A5629" i="23"/>
  <c r="B5628" i="23"/>
  <c r="A5628" i="23"/>
  <c r="B5627" i="23"/>
  <c r="A5627" i="23"/>
  <c r="B5626" i="23"/>
  <c r="A5626" i="23"/>
  <c r="B5625" i="23"/>
  <c r="A5625" i="23"/>
  <c r="B5624" i="23"/>
  <c r="A5624" i="23"/>
  <c r="B5623" i="23"/>
  <c r="A5623" i="23"/>
  <c r="B5622" i="23"/>
  <c r="A5622" i="23"/>
  <c r="B5621" i="23"/>
  <c r="A5621" i="23"/>
  <c r="B5620" i="23"/>
  <c r="A5620" i="23"/>
  <c r="B5619" i="23"/>
  <c r="A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A6104" i="23"/>
  <c r="B6103" i="23"/>
  <c r="A6103" i="23"/>
  <c r="B6102" i="23"/>
  <c r="A6102" i="23"/>
  <c r="B6101" i="23"/>
  <c r="A6101" i="23"/>
  <c r="B6100" i="23"/>
  <c r="A6100" i="23"/>
  <c r="B6099" i="23"/>
  <c r="A6099" i="23"/>
  <c r="B6098" i="23"/>
  <c r="A6098" i="23"/>
  <c r="B6097" i="23"/>
  <c r="A6097" i="23"/>
  <c r="B6096" i="23"/>
  <c r="A6096" i="23"/>
  <c r="B6095" i="23"/>
  <c r="A6095" i="23"/>
  <c r="B6094" i="23"/>
  <c r="A6094" i="23"/>
  <c r="B6093" i="23"/>
  <c r="A6093" i="23"/>
  <c r="B6092" i="23"/>
  <c r="A6092" i="23"/>
  <c r="B6091" i="23"/>
  <c r="A6091" i="23"/>
  <c r="B6090" i="23"/>
  <c r="A6090" i="23"/>
  <c r="B6089" i="23"/>
  <c r="A6089" i="23"/>
  <c r="B6088" i="23"/>
  <c r="A6088" i="23"/>
  <c r="B6087" i="23"/>
  <c r="A6087" i="23"/>
  <c r="B6086" i="23"/>
  <c r="A6086" i="23"/>
  <c r="B6085" i="23"/>
  <c r="A6085" i="23"/>
  <c r="B6084" i="23"/>
  <c r="A6084" i="23"/>
  <c r="B6083" i="23"/>
  <c r="A6083" i="23"/>
  <c r="B6082" i="23"/>
  <c r="A6082" i="23"/>
  <c r="B6081" i="23"/>
  <c r="A6081" i="23"/>
  <c r="B6080" i="23"/>
  <c r="A6080" i="23"/>
  <c r="B6079" i="23"/>
  <c r="A6079" i="23"/>
  <c r="B6078" i="23"/>
  <c r="A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A5240" i="23"/>
  <c r="B5239" i="23"/>
  <c r="A5239" i="23"/>
  <c r="B5238" i="23"/>
  <c r="A5238" i="23"/>
  <c r="B5237" i="23"/>
  <c r="A5237" i="23"/>
  <c r="B5236" i="23"/>
  <c r="A5236" i="23"/>
  <c r="B5235" i="23"/>
  <c r="A5235" i="23"/>
  <c r="B5234" i="23"/>
  <c r="A5234" i="23"/>
  <c r="B5233" i="23"/>
  <c r="A5233" i="23"/>
  <c r="B5232" i="23"/>
  <c r="A5232" i="23"/>
  <c r="B5231" i="23"/>
  <c r="A5231" i="23"/>
  <c r="B5230" i="23"/>
  <c r="A5230" i="23"/>
  <c r="B5229" i="23"/>
  <c r="A5229" i="23"/>
  <c r="B5228" i="23"/>
  <c r="A5228" i="23"/>
  <c r="B5227" i="23"/>
  <c r="A5227" i="23"/>
  <c r="B5226" i="23"/>
  <c r="A5226" i="23"/>
  <c r="B5225" i="23"/>
  <c r="A5225" i="23"/>
  <c r="B5224" i="23"/>
  <c r="A5224" i="23"/>
  <c r="B5223" i="23"/>
  <c r="A5223" i="23"/>
  <c r="B5222" i="23"/>
  <c r="A5222" i="23"/>
  <c r="B5221" i="23"/>
  <c r="A5221" i="23"/>
  <c r="B5220" i="23"/>
  <c r="A5220" i="23"/>
  <c r="B5219" i="23"/>
  <c r="A5219" i="23"/>
  <c r="B5218" i="23"/>
  <c r="A5218" i="23"/>
  <c r="B5217" i="23"/>
  <c r="A5217" i="23"/>
  <c r="B5216" i="23"/>
  <c r="A5216" i="23"/>
  <c r="B5215" i="23"/>
  <c r="A5215" i="23"/>
  <c r="B5214" i="23"/>
  <c r="A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A5591" i="23"/>
  <c r="B5590" i="23"/>
  <c r="A5590" i="23"/>
  <c r="B5589" i="23"/>
  <c r="A5589" i="23"/>
  <c r="B5588" i="23"/>
  <c r="A5588" i="23"/>
  <c r="B5587" i="23"/>
  <c r="A5587" i="23"/>
  <c r="B5586" i="23"/>
  <c r="A5586" i="23"/>
  <c r="B5585" i="23"/>
  <c r="A5585" i="23"/>
  <c r="B5584" i="23"/>
  <c r="A5584" i="23"/>
  <c r="B5583" i="23"/>
  <c r="A5583" i="23"/>
  <c r="B5582" i="23"/>
  <c r="A5582" i="23"/>
  <c r="B5581" i="23"/>
  <c r="A5581" i="23"/>
  <c r="B5580" i="23"/>
  <c r="A5580" i="23"/>
  <c r="B5579" i="23"/>
  <c r="A5579" i="23"/>
  <c r="B5578" i="23"/>
  <c r="A5578" i="23"/>
  <c r="B5577" i="23"/>
  <c r="A5577" i="23"/>
  <c r="B5576" i="23"/>
  <c r="A5576" i="23"/>
  <c r="B5575" i="23"/>
  <c r="A5575" i="23"/>
  <c r="B5574" i="23"/>
  <c r="A5574" i="23"/>
  <c r="B5573" i="23"/>
  <c r="A5573" i="23"/>
  <c r="B5572" i="23"/>
  <c r="A5572" i="23"/>
  <c r="B5571" i="23"/>
  <c r="A5571" i="23"/>
  <c r="B5570" i="23"/>
  <c r="A5570" i="23"/>
  <c r="B5569" i="23"/>
  <c r="A5569" i="23"/>
  <c r="B5568" i="23"/>
  <c r="A5568" i="23"/>
  <c r="B5567" i="23"/>
  <c r="A5567" i="23"/>
  <c r="B5566" i="23"/>
  <c r="A5566" i="23"/>
  <c r="B5565" i="23"/>
  <c r="A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A5888" i="23"/>
  <c r="B5887" i="23"/>
  <c r="A5887" i="23"/>
  <c r="B5886" i="23"/>
  <c r="A5886" i="23"/>
  <c r="B5885" i="23"/>
  <c r="A5885" i="23"/>
  <c r="B5884" i="23"/>
  <c r="A5884" i="23"/>
  <c r="B5883" i="23"/>
  <c r="A5883" i="23"/>
  <c r="B5882" i="23"/>
  <c r="A5882" i="23"/>
  <c r="B5881" i="23"/>
  <c r="A5881" i="23"/>
  <c r="B5880" i="23"/>
  <c r="A5880" i="23"/>
  <c r="B5879" i="23"/>
  <c r="A5879" i="23"/>
  <c r="B5878" i="23"/>
  <c r="A5878" i="23"/>
  <c r="B5877" i="23"/>
  <c r="A5877" i="23"/>
  <c r="B5876" i="23"/>
  <c r="A5876" i="23"/>
  <c r="B5875" i="23"/>
  <c r="A5875" i="23"/>
  <c r="B5874" i="23"/>
  <c r="A5874" i="23"/>
  <c r="B5873" i="23"/>
  <c r="A5873" i="23"/>
  <c r="B5872" i="23"/>
  <c r="A5872" i="23"/>
  <c r="B5871" i="23"/>
  <c r="A5871" i="23"/>
  <c r="B5870" i="23"/>
  <c r="A5870" i="23"/>
  <c r="B5869" i="23"/>
  <c r="A5869" i="23"/>
  <c r="B5868" i="23"/>
  <c r="A5868" i="23"/>
  <c r="B5867" i="23"/>
  <c r="A5867" i="23"/>
  <c r="B5866" i="23"/>
  <c r="A5866" i="23"/>
  <c r="B5865" i="23"/>
  <c r="A5865" i="23"/>
  <c r="B5864" i="23"/>
  <c r="A5864" i="23"/>
  <c r="B5863" i="23"/>
  <c r="A5863" i="23"/>
  <c r="B5862" i="23"/>
  <c r="A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A5699" i="23"/>
  <c r="B5698" i="23"/>
  <c r="A5698" i="23"/>
  <c r="B5697" i="23"/>
  <c r="A5697" i="23"/>
  <c r="B5696" i="23"/>
  <c r="A5696" i="23"/>
  <c r="B5695" i="23"/>
  <c r="A5695" i="23"/>
  <c r="B5694" i="23"/>
  <c r="A5694" i="23"/>
  <c r="B5693" i="23"/>
  <c r="A5693" i="23"/>
  <c r="B5692" i="23"/>
  <c r="A5692" i="23"/>
  <c r="B5691" i="23"/>
  <c r="A5691" i="23"/>
  <c r="B5690" i="23"/>
  <c r="A5690" i="23"/>
  <c r="B5689" i="23"/>
  <c r="A5689" i="23"/>
  <c r="B5688" i="23"/>
  <c r="A5688" i="23"/>
  <c r="B5687" i="23"/>
  <c r="A5687" i="23"/>
  <c r="B5686" i="23"/>
  <c r="A5686" i="23"/>
  <c r="B5685" i="23"/>
  <c r="A5685" i="23"/>
  <c r="B5684" i="23"/>
  <c r="A5684" i="23"/>
  <c r="B5683" i="23"/>
  <c r="A5683" i="23"/>
  <c r="B5682" i="23"/>
  <c r="A5682" i="23"/>
  <c r="B5681" i="23"/>
  <c r="A5681" i="23"/>
  <c r="B5680" i="23"/>
  <c r="A5680" i="23"/>
  <c r="B5679" i="23"/>
  <c r="A5679" i="23"/>
  <c r="B5678" i="23"/>
  <c r="A5678" i="23"/>
  <c r="B5677" i="23"/>
  <c r="A5677" i="23"/>
  <c r="B5676" i="23"/>
  <c r="A5676" i="23"/>
  <c r="B5675" i="23"/>
  <c r="A5675" i="23"/>
  <c r="B5674" i="23"/>
  <c r="A5674" i="23"/>
  <c r="B5673" i="23"/>
  <c r="A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A5780" i="23"/>
  <c r="B5779" i="23"/>
  <c r="A5779" i="23"/>
  <c r="B5778" i="23"/>
  <c r="A5778" i="23"/>
  <c r="B5777" i="23"/>
  <c r="A5777" i="23"/>
  <c r="B5776" i="23"/>
  <c r="A5776" i="23"/>
  <c r="B5775" i="23"/>
  <c r="A5775" i="23"/>
  <c r="B5774" i="23"/>
  <c r="A5774" i="23"/>
  <c r="B5773" i="23"/>
  <c r="A5773" i="23"/>
  <c r="B5772" i="23"/>
  <c r="A5772" i="23"/>
  <c r="B5771" i="23"/>
  <c r="A5771" i="23"/>
  <c r="B5770" i="23"/>
  <c r="A5770" i="23"/>
  <c r="B5769" i="23"/>
  <c r="A5769" i="23"/>
  <c r="B5768" i="23"/>
  <c r="A5768" i="23"/>
  <c r="B5767" i="23"/>
  <c r="A5767" i="23"/>
  <c r="B5766" i="23"/>
  <c r="A5766" i="23"/>
  <c r="B5765" i="23"/>
  <c r="A5765" i="23"/>
  <c r="B5764" i="23"/>
  <c r="A5764" i="23"/>
  <c r="B5763" i="23"/>
  <c r="A5763" i="23"/>
  <c r="B5762" i="23"/>
  <c r="A5762" i="23"/>
  <c r="B5761" i="23"/>
  <c r="A5761" i="23"/>
  <c r="B5760" i="23"/>
  <c r="A5760" i="23"/>
  <c r="B5759" i="23"/>
  <c r="A5759" i="23"/>
  <c r="B5758" i="23"/>
  <c r="A5758" i="23"/>
  <c r="B5757" i="23"/>
  <c r="A5757" i="23"/>
  <c r="B5756" i="23"/>
  <c r="A5756" i="23"/>
  <c r="B5755" i="23"/>
  <c r="A5755" i="23"/>
  <c r="B5754" i="23"/>
  <c r="A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A6050" i="23"/>
  <c r="B6049" i="23"/>
  <c r="A6049" i="23"/>
  <c r="B6048" i="23"/>
  <c r="A6048" i="23"/>
  <c r="B6047" i="23"/>
  <c r="A6047" i="23"/>
  <c r="B6046" i="23"/>
  <c r="A6046" i="23"/>
  <c r="B6045" i="23"/>
  <c r="A6045" i="23"/>
  <c r="B6044" i="23"/>
  <c r="A6044" i="23"/>
  <c r="B6043" i="23"/>
  <c r="A6043" i="23"/>
  <c r="B6042" i="23"/>
  <c r="A6042" i="23"/>
  <c r="B6041" i="23"/>
  <c r="A6041" i="23"/>
  <c r="B6040" i="23"/>
  <c r="A6040" i="23"/>
  <c r="B6039" i="23"/>
  <c r="A6039" i="23"/>
  <c r="B6038" i="23"/>
  <c r="A6038" i="23"/>
  <c r="B6037" i="23"/>
  <c r="A6037" i="23"/>
  <c r="B6036" i="23"/>
  <c r="A6036" i="23"/>
  <c r="B6035" i="23"/>
  <c r="A6035" i="23"/>
  <c r="B6034" i="23"/>
  <c r="A6034" i="23"/>
  <c r="B6033" i="23"/>
  <c r="A6033" i="23"/>
  <c r="B6032" i="23"/>
  <c r="A6032" i="23"/>
  <c r="B6031" i="23"/>
  <c r="A6031" i="23"/>
  <c r="B6030" i="23"/>
  <c r="A6030" i="23"/>
  <c r="B6029" i="23"/>
  <c r="A6029" i="23"/>
  <c r="B6028" i="23"/>
  <c r="A6028" i="23"/>
  <c r="B6027" i="23"/>
  <c r="A6027" i="23"/>
  <c r="B6026" i="23"/>
  <c r="A6026" i="23"/>
  <c r="B6025" i="23"/>
  <c r="A6025" i="23"/>
  <c r="B6024" i="23"/>
  <c r="A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A5996" i="23"/>
  <c r="B5995" i="23"/>
  <c r="A5995" i="23"/>
  <c r="B5994" i="23"/>
  <c r="A5994" i="23"/>
  <c r="B5993" i="23"/>
  <c r="A5993" i="23"/>
  <c r="B5992" i="23"/>
  <c r="A5992" i="23"/>
  <c r="B5991" i="23"/>
  <c r="A5991" i="23"/>
  <c r="B5990" i="23"/>
  <c r="A5990" i="23"/>
  <c r="B5989" i="23"/>
  <c r="A5989" i="23"/>
  <c r="B5988" i="23"/>
  <c r="A5988" i="23"/>
  <c r="B5987" i="23"/>
  <c r="A5987" i="23"/>
  <c r="B5986" i="23"/>
  <c r="A5986" i="23"/>
  <c r="B5985" i="23"/>
  <c r="A5985" i="23"/>
  <c r="B5984" i="23"/>
  <c r="A5984" i="23"/>
  <c r="B5983" i="23"/>
  <c r="A5983" i="23"/>
  <c r="B5982" i="23"/>
  <c r="A5982" i="23"/>
  <c r="B5981" i="23"/>
  <c r="A5981" i="23"/>
  <c r="B5980" i="23"/>
  <c r="A5980" i="23"/>
  <c r="B5979" i="23"/>
  <c r="A5979" i="23"/>
  <c r="B5978" i="23"/>
  <c r="A5978" i="23"/>
  <c r="B5977" i="23"/>
  <c r="A5977" i="23"/>
  <c r="B5976" i="23"/>
  <c r="A5976" i="23"/>
  <c r="B5975" i="23"/>
  <c r="A5975" i="23"/>
  <c r="B5974" i="23"/>
  <c r="A5974" i="23"/>
  <c r="B5973" i="23"/>
  <c r="A5973" i="23"/>
  <c r="B5972" i="23"/>
  <c r="A5972" i="23"/>
  <c r="B5971" i="23"/>
  <c r="A5971" i="23"/>
  <c r="B5970" i="23"/>
  <c r="A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A5942" i="23"/>
  <c r="B5941" i="23"/>
  <c r="A5941" i="23"/>
  <c r="B5940" i="23"/>
  <c r="A5940" i="23"/>
  <c r="B5939" i="23"/>
  <c r="A5939" i="23"/>
  <c r="B5938" i="23"/>
  <c r="A5938" i="23"/>
  <c r="B5937" i="23"/>
  <c r="A5937" i="23"/>
  <c r="B5936" i="23"/>
  <c r="A5936" i="23"/>
  <c r="B5935" i="23"/>
  <c r="A5935" i="23"/>
  <c r="B5934" i="23"/>
  <c r="A5934" i="23"/>
  <c r="B5933" i="23"/>
  <c r="A5933" i="23"/>
  <c r="B5932" i="23"/>
  <c r="A5932" i="23"/>
  <c r="B5931" i="23"/>
  <c r="A5931" i="23"/>
  <c r="B5930" i="23"/>
  <c r="A5930" i="23"/>
  <c r="B5929" i="23"/>
  <c r="A5929" i="23"/>
  <c r="B5928" i="23"/>
  <c r="A5928" i="23"/>
  <c r="B5927" i="23"/>
  <c r="A5927" i="23"/>
  <c r="B5926" i="23"/>
  <c r="A5926" i="23"/>
  <c r="B5925" i="23"/>
  <c r="A5925" i="23"/>
  <c r="B5924" i="23"/>
  <c r="A5924" i="23"/>
  <c r="B5923" i="23"/>
  <c r="A5923" i="23"/>
  <c r="B5922" i="23"/>
  <c r="A5922" i="23"/>
  <c r="B5921" i="23"/>
  <c r="A5921" i="23"/>
  <c r="B5920" i="23"/>
  <c r="A5920" i="23"/>
  <c r="B5919" i="23"/>
  <c r="A5919" i="23"/>
  <c r="B5918" i="23"/>
  <c r="A5918" i="23"/>
  <c r="B5917" i="23"/>
  <c r="A5917" i="23"/>
  <c r="B5916" i="23"/>
  <c r="A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A5753" i="23"/>
  <c r="B5752" i="23"/>
  <c r="A5752" i="23"/>
  <c r="B5751" i="23"/>
  <c r="A5751" i="23"/>
  <c r="B5750" i="23"/>
  <c r="A5750" i="23"/>
  <c r="B5749" i="23"/>
  <c r="A5749" i="23"/>
  <c r="B5748" i="23"/>
  <c r="A5748" i="23"/>
  <c r="B5747" i="23"/>
  <c r="A5747" i="23"/>
  <c r="B5746" i="23"/>
  <c r="A5746" i="23"/>
  <c r="B5745" i="23"/>
  <c r="A5745" i="23"/>
  <c r="B5744" i="23"/>
  <c r="A5744" i="23"/>
  <c r="B5743" i="23"/>
  <c r="A5743" i="23"/>
  <c r="B5742" i="23"/>
  <c r="A5742" i="23"/>
  <c r="B5741" i="23"/>
  <c r="A5741" i="23"/>
  <c r="B5740" i="23"/>
  <c r="A5740" i="23"/>
  <c r="B5739" i="23"/>
  <c r="A5739" i="23"/>
  <c r="B5738" i="23"/>
  <c r="A5738" i="23"/>
  <c r="B5737" i="23"/>
  <c r="A5737" i="23"/>
  <c r="B5736" i="23"/>
  <c r="A5736" i="23"/>
  <c r="B5735" i="23"/>
  <c r="A5735" i="23"/>
  <c r="B5734" i="23"/>
  <c r="A5734" i="23"/>
  <c r="B5733" i="23"/>
  <c r="A5733" i="23"/>
  <c r="B5732" i="23"/>
  <c r="A5732" i="23"/>
  <c r="B5731" i="23"/>
  <c r="A5731" i="23"/>
  <c r="B5730" i="23"/>
  <c r="A5730" i="23"/>
  <c r="B5729" i="23"/>
  <c r="A5729" i="23"/>
  <c r="B5728" i="23"/>
  <c r="A5728" i="23"/>
  <c r="B5727" i="23"/>
  <c r="A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A5186" i="23"/>
  <c r="B5185" i="23"/>
  <c r="A5185" i="23"/>
  <c r="B5184" i="23"/>
  <c r="A5184" i="23"/>
  <c r="B5183" i="23"/>
  <c r="A5183" i="23"/>
  <c r="B5182" i="23"/>
  <c r="A5182" i="23"/>
  <c r="B5181" i="23"/>
  <c r="A5181" i="23"/>
  <c r="B5180" i="23"/>
  <c r="A5180" i="23"/>
  <c r="B5179" i="23"/>
  <c r="A5179" i="23"/>
  <c r="B5178" i="23"/>
  <c r="A5178" i="23"/>
  <c r="B5177" i="23"/>
  <c r="A5177" i="23"/>
  <c r="B5176" i="23"/>
  <c r="A5176" i="23"/>
  <c r="B5175" i="23"/>
  <c r="A5175" i="23"/>
  <c r="B5174" i="23"/>
  <c r="A5174" i="23"/>
  <c r="B5173" i="23"/>
  <c r="A5173" i="23"/>
  <c r="B5172" i="23"/>
  <c r="A5172" i="23"/>
  <c r="B5171" i="23"/>
  <c r="A5171" i="23"/>
  <c r="B5170" i="23"/>
  <c r="A5170" i="23"/>
  <c r="B5169" i="23"/>
  <c r="A5169" i="23"/>
  <c r="B5168" i="23"/>
  <c r="A5168" i="23"/>
  <c r="B5167" i="23"/>
  <c r="A5167" i="23"/>
  <c r="B5166" i="23"/>
  <c r="A5166" i="23"/>
  <c r="B5165" i="23"/>
  <c r="A5165" i="23"/>
  <c r="B5164" i="23"/>
  <c r="A5164" i="23"/>
  <c r="B5163" i="23"/>
  <c r="A5163" i="23"/>
  <c r="B5162" i="23"/>
  <c r="A5162" i="23"/>
  <c r="B5161" i="23"/>
  <c r="A5161" i="23"/>
  <c r="B5160" i="23"/>
  <c r="A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A5726" i="23"/>
  <c r="B5725" i="23"/>
  <c r="A5725" i="23"/>
  <c r="B5724" i="23"/>
  <c r="A5724" i="23"/>
  <c r="B5723" i="23"/>
  <c r="A5723" i="23"/>
  <c r="B5722" i="23"/>
  <c r="A5722" i="23"/>
  <c r="B5721" i="23"/>
  <c r="A5721" i="23"/>
  <c r="B5720" i="23"/>
  <c r="A5720" i="23"/>
  <c r="B5719" i="23"/>
  <c r="A5719" i="23"/>
  <c r="B5718" i="23"/>
  <c r="A5718" i="23"/>
  <c r="B5717" i="23"/>
  <c r="A5717" i="23"/>
  <c r="B5716" i="23"/>
  <c r="A5716" i="23"/>
  <c r="B5715" i="23"/>
  <c r="A5715" i="23"/>
  <c r="B5714" i="23"/>
  <c r="A5714" i="23"/>
  <c r="B5713" i="23"/>
  <c r="A5713" i="23"/>
  <c r="B5712" i="23"/>
  <c r="A5712" i="23"/>
  <c r="B5711" i="23"/>
  <c r="A5711" i="23"/>
  <c r="B5710" i="23"/>
  <c r="A5710" i="23"/>
  <c r="B5709" i="23"/>
  <c r="A5709" i="23"/>
  <c r="B5708" i="23"/>
  <c r="A5708" i="23"/>
  <c r="B5707" i="23"/>
  <c r="A5707" i="23"/>
  <c r="B5706" i="23"/>
  <c r="A5706" i="23"/>
  <c r="B5705" i="23"/>
  <c r="A5705" i="23"/>
  <c r="B5704" i="23"/>
  <c r="A5704" i="23"/>
  <c r="B5703" i="23"/>
  <c r="A5703" i="23"/>
  <c r="B5702" i="23"/>
  <c r="A5702" i="23"/>
  <c r="B5701" i="23"/>
  <c r="A5701" i="23"/>
  <c r="B5700" i="23"/>
  <c r="A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A5537" i="23"/>
  <c r="B5536" i="23"/>
  <c r="A5536" i="23"/>
  <c r="B5535" i="23"/>
  <c r="A5535" i="23"/>
  <c r="B5534" i="23"/>
  <c r="A5534" i="23"/>
  <c r="B5533" i="23"/>
  <c r="A5533" i="23"/>
  <c r="B5532" i="23"/>
  <c r="A5532" i="23"/>
  <c r="B5531" i="23"/>
  <c r="A5531" i="23"/>
  <c r="B5530" i="23"/>
  <c r="A5530" i="23"/>
  <c r="B5529" i="23"/>
  <c r="A5529" i="23"/>
  <c r="B5528" i="23"/>
  <c r="A5528" i="23"/>
  <c r="B5527" i="23"/>
  <c r="A5527" i="23"/>
  <c r="B5526" i="23"/>
  <c r="A5526" i="23"/>
  <c r="B5525" i="23"/>
  <c r="A5525" i="23"/>
  <c r="B5524" i="23"/>
  <c r="A5524" i="23"/>
  <c r="B5523" i="23"/>
  <c r="A5523" i="23"/>
  <c r="B5522" i="23"/>
  <c r="A5522" i="23"/>
  <c r="B5521" i="23"/>
  <c r="A5521" i="23"/>
  <c r="B5520" i="23"/>
  <c r="A5520" i="23"/>
  <c r="B5519" i="23"/>
  <c r="A5519" i="23"/>
  <c r="B5518" i="23"/>
  <c r="A5518" i="23"/>
  <c r="B5517" i="23"/>
  <c r="A5517" i="23"/>
  <c r="B5516" i="23"/>
  <c r="A5516" i="23"/>
  <c r="B5515" i="23"/>
  <c r="A5515" i="23"/>
  <c r="B5514" i="23"/>
  <c r="A5514" i="23"/>
  <c r="B5513" i="23"/>
  <c r="A5513" i="23"/>
  <c r="B5512" i="23"/>
  <c r="A5512" i="23"/>
  <c r="B5511" i="23"/>
  <c r="A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A6131" i="23"/>
  <c r="B6130" i="23"/>
  <c r="A6130" i="23"/>
  <c r="B6129" i="23"/>
  <c r="A6129" i="23"/>
  <c r="B6128" i="23"/>
  <c r="A6128" i="23"/>
  <c r="B6127" i="23"/>
  <c r="A6127" i="23"/>
  <c r="B6126" i="23"/>
  <c r="A6126" i="23"/>
  <c r="B6125" i="23"/>
  <c r="A6125" i="23"/>
  <c r="B6124" i="23"/>
  <c r="A6124" i="23"/>
  <c r="B6123" i="23"/>
  <c r="A6123" i="23"/>
  <c r="B6122" i="23"/>
  <c r="A6122" i="23"/>
  <c r="B6121" i="23"/>
  <c r="A6121" i="23"/>
  <c r="B6120" i="23"/>
  <c r="A6120" i="23"/>
  <c r="B6119" i="23"/>
  <c r="A6119" i="23"/>
  <c r="B6118" i="23"/>
  <c r="A6118" i="23"/>
  <c r="B6117" i="23"/>
  <c r="A6117" i="23"/>
  <c r="B6116" i="23"/>
  <c r="A6116" i="23"/>
  <c r="B6115" i="23"/>
  <c r="A6115" i="23"/>
  <c r="B6114" i="23"/>
  <c r="A6114" i="23"/>
  <c r="B6113" i="23"/>
  <c r="A6113" i="23"/>
  <c r="B6112" i="23"/>
  <c r="A6112" i="23"/>
  <c r="B6111" i="23"/>
  <c r="A6111" i="23"/>
  <c r="B6110" i="23"/>
  <c r="A6110" i="23"/>
  <c r="B6109" i="23"/>
  <c r="A6109" i="23"/>
  <c r="B6108" i="23"/>
  <c r="A6108" i="23"/>
  <c r="B6107" i="23"/>
  <c r="A6107" i="23"/>
  <c r="B6106" i="23"/>
  <c r="A6106" i="23"/>
  <c r="B6105" i="23"/>
  <c r="A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A5861" i="23"/>
  <c r="B5860" i="23"/>
  <c r="A5860" i="23"/>
  <c r="B5859" i="23"/>
  <c r="A5859" i="23"/>
  <c r="B5858" i="23"/>
  <c r="A5858" i="23"/>
  <c r="B5857" i="23"/>
  <c r="A5857" i="23"/>
  <c r="B5856" i="23"/>
  <c r="A5856" i="23"/>
  <c r="B5855" i="23"/>
  <c r="A5855" i="23"/>
  <c r="B5854" i="23"/>
  <c r="A5854" i="23"/>
  <c r="B5853" i="23"/>
  <c r="A5853" i="23"/>
  <c r="B5852" i="23"/>
  <c r="A5852" i="23"/>
  <c r="B5851" i="23"/>
  <c r="A5851" i="23"/>
  <c r="B5850" i="23"/>
  <c r="A5850" i="23"/>
  <c r="B5849" i="23"/>
  <c r="A5849" i="23"/>
  <c r="B5848" i="23"/>
  <c r="A5848" i="23"/>
  <c r="B5847" i="23"/>
  <c r="A5847" i="23"/>
  <c r="B5846" i="23"/>
  <c r="A5846" i="23"/>
  <c r="B5845" i="23"/>
  <c r="A5845" i="23"/>
  <c r="B5844" i="23"/>
  <c r="A5844" i="23"/>
  <c r="B5843" i="23"/>
  <c r="A5843" i="23"/>
  <c r="B5842" i="23"/>
  <c r="A5842" i="23"/>
  <c r="B5841" i="23"/>
  <c r="A5841" i="23"/>
  <c r="B5840" i="23"/>
  <c r="A5840" i="23"/>
  <c r="B5839" i="23"/>
  <c r="A5839" i="23"/>
  <c r="B5838" i="23"/>
  <c r="A5838" i="23"/>
  <c r="B5837" i="23"/>
  <c r="A5837" i="23"/>
  <c r="B5836" i="23"/>
  <c r="A5836" i="23"/>
  <c r="B5835" i="23"/>
  <c r="A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A6158" i="23"/>
  <c r="B6157" i="23"/>
  <c r="A6157" i="23"/>
  <c r="B6156" i="23"/>
  <c r="A6156" i="23"/>
  <c r="B6155" i="23"/>
  <c r="A6155" i="23"/>
  <c r="B6154" i="23"/>
  <c r="A6154" i="23"/>
  <c r="B6153" i="23"/>
  <c r="A6153" i="23"/>
  <c r="B6152" i="23"/>
  <c r="A6152" i="23"/>
  <c r="B6151" i="23"/>
  <c r="A6151" i="23"/>
  <c r="B6150" i="23"/>
  <c r="A6150" i="23"/>
  <c r="B6149" i="23"/>
  <c r="A6149" i="23"/>
  <c r="B6148" i="23"/>
  <c r="A6148" i="23"/>
  <c r="B6147" i="23"/>
  <c r="A6147" i="23"/>
  <c r="B6146" i="23"/>
  <c r="A6146" i="23"/>
  <c r="B6145" i="23"/>
  <c r="A6145" i="23"/>
  <c r="B6144" i="23"/>
  <c r="A6144" i="23"/>
  <c r="B6143" i="23"/>
  <c r="A6143" i="23"/>
  <c r="B6142" i="23"/>
  <c r="A6142" i="23"/>
  <c r="B6141" i="23"/>
  <c r="A6141" i="23"/>
  <c r="B6140" i="23"/>
  <c r="A6140" i="23"/>
  <c r="B6139" i="23"/>
  <c r="A6139" i="23"/>
  <c r="B6138" i="23"/>
  <c r="A6138" i="23"/>
  <c r="B6137" i="23"/>
  <c r="A6137" i="23"/>
  <c r="B6136" i="23"/>
  <c r="A6136" i="23"/>
  <c r="B6135" i="23"/>
  <c r="A6135" i="23"/>
  <c r="B6134" i="23"/>
  <c r="A6134" i="23"/>
  <c r="B6133" i="23"/>
  <c r="A6133" i="23"/>
  <c r="B6132" i="23"/>
  <c r="A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A5807" i="23"/>
  <c r="B5806" i="23"/>
  <c r="A5806" i="23"/>
  <c r="B5805" i="23"/>
  <c r="A5805" i="23"/>
  <c r="B5804" i="23"/>
  <c r="A5804" i="23"/>
  <c r="B5803" i="23"/>
  <c r="A5803" i="23"/>
  <c r="B5802" i="23"/>
  <c r="A5802" i="23"/>
  <c r="B5801" i="23"/>
  <c r="A5801" i="23"/>
  <c r="B5800" i="23"/>
  <c r="A5800" i="23"/>
  <c r="B5799" i="23"/>
  <c r="A5799" i="23"/>
  <c r="B5798" i="23"/>
  <c r="A5798" i="23"/>
  <c r="B5797" i="23"/>
  <c r="A5797" i="23"/>
  <c r="B5796" i="23"/>
  <c r="A5796" i="23"/>
  <c r="B5795" i="23"/>
  <c r="A5795" i="23"/>
  <c r="B5794" i="23"/>
  <c r="A5794" i="23"/>
  <c r="B5793" i="23"/>
  <c r="A5793" i="23"/>
  <c r="B5792" i="23"/>
  <c r="A5792" i="23"/>
  <c r="B5791" i="23"/>
  <c r="A5791" i="23"/>
  <c r="B5790" i="23"/>
  <c r="A5790" i="23"/>
  <c r="B5789" i="23"/>
  <c r="A5789" i="23"/>
  <c r="B5788" i="23"/>
  <c r="A5788" i="23"/>
  <c r="B5787" i="23"/>
  <c r="A5787" i="23"/>
  <c r="B5786" i="23"/>
  <c r="A5786" i="23"/>
  <c r="B5785" i="23"/>
  <c r="A5785" i="23"/>
  <c r="B5784" i="23"/>
  <c r="A5784" i="23"/>
  <c r="B5783" i="23"/>
  <c r="A5783" i="23"/>
  <c r="B5782" i="23"/>
  <c r="A5782" i="23"/>
  <c r="B5781" i="23"/>
  <c r="A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A5834" i="23"/>
  <c r="B5833" i="23"/>
  <c r="A5833" i="23"/>
  <c r="B5832" i="23"/>
  <c r="A5832" i="23"/>
  <c r="B5831" i="23"/>
  <c r="A5831" i="23"/>
  <c r="B5830" i="23"/>
  <c r="A5830" i="23"/>
  <c r="B5829" i="23"/>
  <c r="A5829" i="23"/>
  <c r="B5828" i="23"/>
  <c r="A5828" i="23"/>
  <c r="B5827" i="23"/>
  <c r="A5827" i="23"/>
  <c r="B5826" i="23"/>
  <c r="A5826" i="23"/>
  <c r="B5825" i="23"/>
  <c r="A5825" i="23"/>
  <c r="B5824" i="23"/>
  <c r="A5824" i="23"/>
  <c r="B5823" i="23"/>
  <c r="A5823" i="23"/>
  <c r="B5822" i="23"/>
  <c r="A5822" i="23"/>
  <c r="B5821" i="23"/>
  <c r="A5821" i="23"/>
  <c r="B5820" i="23"/>
  <c r="A5820" i="23"/>
  <c r="B5819" i="23"/>
  <c r="A5819" i="23"/>
  <c r="B5818" i="23"/>
  <c r="A5818" i="23"/>
  <c r="B5817" i="23"/>
  <c r="A5817" i="23"/>
  <c r="B5816" i="23"/>
  <c r="A5816" i="23"/>
  <c r="B5815" i="23"/>
  <c r="A5815" i="23"/>
  <c r="B5814" i="23"/>
  <c r="A5814" i="23"/>
  <c r="B5813" i="23"/>
  <c r="A5813" i="23"/>
  <c r="B5812" i="23"/>
  <c r="A5812" i="23"/>
  <c r="B5811" i="23"/>
  <c r="A5811" i="23"/>
  <c r="B5810" i="23"/>
  <c r="A5810" i="23"/>
  <c r="B5809" i="23"/>
  <c r="A5809" i="23"/>
  <c r="B5808" i="23"/>
  <c r="A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A5564" i="23"/>
  <c r="B5563" i="23"/>
  <c r="A5563" i="23"/>
  <c r="B5562" i="23"/>
  <c r="A5562" i="23"/>
  <c r="B5561" i="23"/>
  <c r="A5561" i="23"/>
  <c r="B5560" i="23"/>
  <c r="A5560" i="23"/>
  <c r="B5559" i="23"/>
  <c r="A5559" i="23"/>
  <c r="B5558" i="23"/>
  <c r="A5558" i="23"/>
  <c r="B5557" i="23"/>
  <c r="A5557" i="23"/>
  <c r="B5556" i="23"/>
  <c r="A5556" i="23"/>
  <c r="B5555" i="23"/>
  <c r="A5555" i="23"/>
  <c r="B5554" i="23"/>
  <c r="A5554" i="23"/>
  <c r="B5553" i="23"/>
  <c r="A5553" i="23"/>
  <c r="B5552" i="23"/>
  <c r="A5552" i="23"/>
  <c r="B5551" i="23"/>
  <c r="A5551" i="23"/>
  <c r="B5550" i="23"/>
  <c r="A5550" i="23"/>
  <c r="B5549" i="23"/>
  <c r="A5549" i="23"/>
  <c r="B5548" i="23"/>
  <c r="A5548" i="23"/>
  <c r="B5547" i="23"/>
  <c r="A5547" i="23"/>
  <c r="B5546" i="23"/>
  <c r="A5546" i="23"/>
  <c r="B5545" i="23"/>
  <c r="A5545" i="23"/>
  <c r="B5544" i="23"/>
  <c r="A5544" i="23"/>
  <c r="B5543" i="23"/>
  <c r="A5543" i="23"/>
  <c r="B5542" i="23"/>
  <c r="A5542" i="23"/>
  <c r="B5541" i="23"/>
  <c r="A5541" i="23"/>
  <c r="B5540" i="23"/>
  <c r="A5540" i="23"/>
  <c r="B5539" i="23"/>
  <c r="A5539" i="23"/>
  <c r="B5538" i="23"/>
  <c r="A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A5159" i="23"/>
  <c r="B5158" i="23"/>
  <c r="A5158" i="23"/>
  <c r="B5157" i="23"/>
  <c r="A5157" i="23"/>
  <c r="B5156" i="23"/>
  <c r="A5156" i="23"/>
  <c r="B5155" i="23"/>
  <c r="A5155" i="23"/>
  <c r="B5154" i="23"/>
  <c r="A5154" i="23"/>
  <c r="B5153" i="23"/>
  <c r="A5153" i="23"/>
  <c r="B5152" i="23"/>
  <c r="A5152" i="23"/>
  <c r="B5151" i="23"/>
  <c r="A5151" i="23"/>
  <c r="B5150" i="23"/>
  <c r="A5150" i="23"/>
  <c r="B5149" i="23"/>
  <c r="A5149" i="23"/>
  <c r="B5148" i="23"/>
  <c r="A5148" i="23"/>
  <c r="B5147" i="23"/>
  <c r="A5147" i="23"/>
  <c r="B5146" i="23"/>
  <c r="A5146" i="23"/>
  <c r="B5145" i="23"/>
  <c r="A5145" i="23"/>
  <c r="B5144" i="23"/>
  <c r="A5144" i="23"/>
  <c r="B5143" i="23"/>
  <c r="A5143" i="23"/>
  <c r="B5142" i="23"/>
  <c r="A5142" i="23"/>
  <c r="B5141" i="23"/>
  <c r="A5141" i="23"/>
  <c r="B5140" i="23"/>
  <c r="A5140" i="23"/>
  <c r="B5139" i="23"/>
  <c r="A5139" i="23"/>
  <c r="B5138" i="23"/>
  <c r="A5138" i="23"/>
  <c r="B5137" i="23"/>
  <c r="A5137" i="23"/>
  <c r="B5136" i="23"/>
  <c r="A5136" i="23"/>
  <c r="B5135" i="23"/>
  <c r="A5135" i="23"/>
  <c r="B5134" i="23"/>
  <c r="A5134" i="23"/>
  <c r="B5133" i="23"/>
  <c r="A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A5672" i="23"/>
  <c r="B5671" i="23"/>
  <c r="A5671" i="23"/>
  <c r="B5670" i="23"/>
  <c r="A5670" i="23"/>
  <c r="B5669" i="23"/>
  <c r="A5669" i="23"/>
  <c r="B5668" i="23"/>
  <c r="A5668" i="23"/>
  <c r="B5667" i="23"/>
  <c r="A5667" i="23"/>
  <c r="B5666" i="23"/>
  <c r="A5666" i="23"/>
  <c r="B5665" i="23"/>
  <c r="A5665" i="23"/>
  <c r="B5664" i="23"/>
  <c r="A5664" i="23"/>
  <c r="B5663" i="23"/>
  <c r="A5663" i="23"/>
  <c r="B5662" i="23"/>
  <c r="A5662" i="23"/>
  <c r="B5661" i="23"/>
  <c r="A5661" i="23"/>
  <c r="B5660" i="23"/>
  <c r="A5660" i="23"/>
  <c r="B5659" i="23"/>
  <c r="A5659" i="23"/>
  <c r="B5658" i="23"/>
  <c r="A5658" i="23"/>
  <c r="B5657" i="23"/>
  <c r="A5657" i="23"/>
  <c r="B5656" i="23"/>
  <c r="A5656" i="23"/>
  <c r="B5655" i="23"/>
  <c r="A5655" i="23"/>
  <c r="B5654" i="23"/>
  <c r="A5654" i="23"/>
  <c r="B5653" i="23"/>
  <c r="A5653" i="23"/>
  <c r="B5652" i="23"/>
  <c r="A5652" i="23"/>
  <c r="B5651" i="23"/>
  <c r="A5651" i="23"/>
  <c r="B5650" i="23"/>
  <c r="A5650" i="23"/>
  <c r="B5649" i="23"/>
  <c r="A5649" i="23"/>
  <c r="B5648" i="23"/>
  <c r="A5648" i="23"/>
  <c r="B5647" i="23"/>
  <c r="A5647" i="23"/>
  <c r="B5646" i="23"/>
  <c r="A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A6023" i="23"/>
  <c r="B6022" i="23"/>
  <c r="A6022" i="23"/>
  <c r="B6021" i="23"/>
  <c r="A6021" i="23"/>
  <c r="B6020" i="23"/>
  <c r="A6020" i="23"/>
  <c r="B6019" i="23"/>
  <c r="A6019" i="23"/>
  <c r="B6018" i="23"/>
  <c r="A6018" i="23"/>
  <c r="B6017" i="23"/>
  <c r="A6017" i="23"/>
  <c r="B6016" i="23"/>
  <c r="A6016" i="23"/>
  <c r="B6015" i="23"/>
  <c r="A6015" i="23"/>
  <c r="B6014" i="23"/>
  <c r="A6014" i="23"/>
  <c r="B6013" i="23"/>
  <c r="A6013" i="23"/>
  <c r="B6012" i="23"/>
  <c r="A6012" i="23"/>
  <c r="B6011" i="23"/>
  <c r="A6011" i="23"/>
  <c r="B6010" i="23"/>
  <c r="A6010" i="23"/>
  <c r="B6009" i="23"/>
  <c r="A6009" i="23"/>
  <c r="B6008" i="23"/>
  <c r="A6008" i="23"/>
  <c r="B6007" i="23"/>
  <c r="A6007" i="23"/>
  <c r="B6006" i="23"/>
  <c r="A6006" i="23"/>
  <c r="B6005" i="23"/>
  <c r="A6005" i="23"/>
  <c r="B6004" i="23"/>
  <c r="A6004" i="23"/>
  <c r="B6003" i="23"/>
  <c r="A6003" i="23"/>
  <c r="B6002" i="23"/>
  <c r="A6002" i="23"/>
  <c r="B6001" i="23"/>
  <c r="A6001" i="23"/>
  <c r="B6000" i="23"/>
  <c r="A6000" i="23"/>
  <c r="B5999" i="23"/>
  <c r="A5999" i="23"/>
  <c r="B5998" i="23"/>
  <c r="A5998" i="23"/>
  <c r="B5997" i="23"/>
  <c r="A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A6077" i="23"/>
  <c r="B6076" i="23"/>
  <c r="A6076" i="23"/>
  <c r="B6075" i="23"/>
  <c r="A6075" i="23"/>
  <c r="B6074" i="23"/>
  <c r="A6074" i="23"/>
  <c r="B6073" i="23"/>
  <c r="A6073" i="23"/>
  <c r="B6072" i="23"/>
  <c r="A6072" i="23"/>
  <c r="B6071" i="23"/>
  <c r="A6071" i="23"/>
  <c r="B6070" i="23"/>
  <c r="A6070" i="23"/>
  <c r="B6069" i="23"/>
  <c r="A6069" i="23"/>
  <c r="B6068" i="23"/>
  <c r="A6068" i="23"/>
  <c r="B6067" i="23"/>
  <c r="A6067" i="23"/>
  <c r="B6066" i="23"/>
  <c r="A6066" i="23"/>
  <c r="B6065" i="23"/>
  <c r="A6065" i="23"/>
  <c r="B6064" i="23"/>
  <c r="A6064" i="23"/>
  <c r="B6063" i="23"/>
  <c r="A6063" i="23"/>
  <c r="B6062" i="23"/>
  <c r="A6062" i="23"/>
  <c r="B6061" i="23"/>
  <c r="A6061" i="23"/>
  <c r="B6060" i="23"/>
  <c r="A6060" i="23"/>
  <c r="B6059" i="23"/>
  <c r="A6059" i="23"/>
  <c r="B6058" i="23"/>
  <c r="A6058" i="23"/>
  <c r="B6057" i="23"/>
  <c r="A6057" i="23"/>
  <c r="B6056" i="23"/>
  <c r="A6056" i="23"/>
  <c r="B6055" i="23"/>
  <c r="A6055" i="23"/>
  <c r="B6054" i="23"/>
  <c r="A6054" i="23"/>
  <c r="B6053" i="23"/>
  <c r="A6053" i="23"/>
  <c r="B6052" i="23"/>
  <c r="A6052" i="23"/>
  <c r="B6051" i="23"/>
  <c r="A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A5213" i="23"/>
  <c r="B5212" i="23"/>
  <c r="A5212" i="23"/>
  <c r="B5211" i="23"/>
  <c r="A5211" i="23"/>
  <c r="B5210" i="23"/>
  <c r="A5210" i="23"/>
  <c r="B5209" i="23"/>
  <c r="A5209" i="23"/>
  <c r="B5208" i="23"/>
  <c r="A5208" i="23"/>
  <c r="B5207" i="23"/>
  <c r="A5207" i="23"/>
  <c r="B5206" i="23"/>
  <c r="A5206" i="23"/>
  <c r="B5205" i="23"/>
  <c r="A5205" i="23"/>
  <c r="B5204" i="23"/>
  <c r="A5204" i="23"/>
  <c r="B5203" i="23"/>
  <c r="A5203" i="23"/>
  <c r="B5202" i="23"/>
  <c r="A5202" i="23"/>
  <c r="B5201" i="23"/>
  <c r="A5201" i="23"/>
  <c r="B5200" i="23"/>
  <c r="A5200" i="23"/>
  <c r="B5199" i="23"/>
  <c r="A5199" i="23"/>
  <c r="B5198" i="23"/>
  <c r="A5198" i="23"/>
  <c r="B5197" i="23"/>
  <c r="A5197" i="23"/>
  <c r="B5196" i="23"/>
  <c r="A5196" i="23"/>
  <c r="B5195" i="23"/>
  <c r="A5195" i="23"/>
  <c r="B5194" i="23"/>
  <c r="A5194" i="23"/>
  <c r="B5193" i="23"/>
  <c r="A5193" i="23"/>
  <c r="B5192" i="23"/>
  <c r="A5192" i="23"/>
  <c r="B5191" i="23"/>
  <c r="A5191" i="23"/>
  <c r="B5190" i="23"/>
  <c r="A5190" i="23"/>
  <c r="B5189" i="23"/>
  <c r="A5189" i="23"/>
  <c r="B5188" i="23"/>
  <c r="A5188" i="23"/>
  <c r="B5187" i="23"/>
  <c r="A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A5915" i="23"/>
  <c r="A5914" i="23"/>
  <c r="A5913" i="23"/>
  <c r="A5912" i="23"/>
  <c r="A5911" i="23"/>
  <c r="A5910" i="23"/>
  <c r="A5909" i="23"/>
  <c r="A5908" i="23"/>
  <c r="A5907" i="23"/>
  <c r="A5906" i="23"/>
  <c r="A5905" i="23"/>
  <c r="A5904" i="23"/>
  <c r="A5903" i="23"/>
  <c r="A5902" i="23"/>
  <c r="A5901" i="23"/>
  <c r="A5900" i="23"/>
  <c r="A5899" i="23"/>
  <c r="A5898" i="23"/>
  <c r="A5897" i="23"/>
  <c r="A5896" i="23"/>
  <c r="A5895" i="23"/>
  <c r="A5894" i="23"/>
  <c r="A5893" i="23"/>
  <c r="A5892" i="23"/>
  <c r="A5891" i="23"/>
  <c r="A5890" i="23"/>
  <c r="A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D7" i="1" s="1"/>
  <c r="BC2" i="1"/>
  <c r="BC7" i="1" s="1"/>
  <c r="BB2" i="1"/>
  <c r="BB6" i="1" s="1"/>
  <c r="BA2" i="1"/>
  <c r="BA6" i="1" s="1"/>
  <c r="AZ2" i="1"/>
  <c r="AZ5" i="1" s="1"/>
  <c r="AY2" i="1"/>
  <c r="AY5" i="1" s="1"/>
  <c r="AX2" i="1"/>
  <c r="AX11" i="1" s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G7" i="8" s="1"/>
  <c r="C10" i="19"/>
  <c r="G6" i="8" s="1"/>
  <c r="C9" i="19"/>
  <c r="G5" i="8" s="1"/>
  <c r="C8" i="19"/>
  <c r="G4" i="8" s="1"/>
  <c r="C7" i="19"/>
  <c r="C6" i="19"/>
  <c r="N2" i="4" s="1"/>
  <c r="C5" i="19"/>
  <c r="BB28" i="1" l="1"/>
  <c r="BB23" i="1"/>
  <c r="AZ23" i="1"/>
  <c r="BD17" i="1"/>
  <c r="BD12" i="1"/>
  <c r="AX18" i="1"/>
  <c r="BB12" i="1"/>
  <c r="AX16" i="1"/>
  <c r="BB7" i="1"/>
  <c r="BD28" i="1"/>
  <c r="AZ7" i="1"/>
  <c r="BB4" i="1"/>
  <c r="AZ26" i="1"/>
  <c r="BD20" i="1"/>
  <c r="BB15" i="1"/>
  <c r="AZ10" i="1"/>
  <c r="BD4" i="1"/>
  <c r="BD25" i="1"/>
  <c r="BB20" i="1"/>
  <c r="AZ15" i="1"/>
  <c r="BD9" i="1"/>
  <c r="AX26" i="1"/>
  <c r="AZ30" i="1"/>
  <c r="BD24" i="1"/>
  <c r="BB19" i="1"/>
  <c r="AZ14" i="1"/>
  <c r="BD8" i="1"/>
  <c r="AX24" i="1"/>
  <c r="BD29" i="1"/>
  <c r="BB24" i="1"/>
  <c r="AZ19" i="1"/>
  <c r="BD13" i="1"/>
  <c r="BB8" i="1"/>
  <c r="AZ18" i="1"/>
  <c r="AX10" i="1"/>
  <c r="BB27" i="1"/>
  <c r="AZ22" i="1"/>
  <c r="BD16" i="1"/>
  <c r="BB11" i="1"/>
  <c r="AZ6" i="1"/>
  <c r="AX8" i="1"/>
  <c r="AZ27" i="1"/>
  <c r="BD21" i="1"/>
  <c r="BB16" i="1"/>
  <c r="AZ11" i="1"/>
  <c r="BD5" i="1"/>
  <c r="AX25" i="1"/>
  <c r="AX17" i="1"/>
  <c r="AX9" i="1"/>
  <c r="BC4" i="1"/>
  <c r="AY30" i="1"/>
  <c r="BC28" i="1"/>
  <c r="BA27" i="1"/>
  <c r="AY26" i="1"/>
  <c r="BC24" i="1"/>
  <c r="BA23" i="1"/>
  <c r="AY22" i="1"/>
  <c r="BC20" i="1"/>
  <c r="BA19" i="1"/>
  <c r="AY18" i="1"/>
  <c r="BC16" i="1"/>
  <c r="BA15" i="1"/>
  <c r="AY14" i="1"/>
  <c r="BC12" i="1"/>
  <c r="BA11" i="1"/>
  <c r="AY10" i="1"/>
  <c r="BC8" i="1"/>
  <c r="BA7" i="1"/>
  <c r="AY6" i="1"/>
  <c r="AX4" i="1"/>
  <c r="AX23" i="1"/>
  <c r="AX15" i="1"/>
  <c r="AX7" i="1"/>
  <c r="AZ4" i="1"/>
  <c r="BC29" i="1"/>
  <c r="BA28" i="1"/>
  <c r="AY27" i="1"/>
  <c r="BC25" i="1"/>
  <c r="BA24" i="1"/>
  <c r="AY23" i="1"/>
  <c r="BC21" i="1"/>
  <c r="BA20" i="1"/>
  <c r="AY19" i="1"/>
  <c r="BC17" i="1"/>
  <c r="BA16" i="1"/>
  <c r="AY15" i="1"/>
  <c r="BC13" i="1"/>
  <c r="BA12" i="1"/>
  <c r="AY11" i="1"/>
  <c r="BC9" i="1"/>
  <c r="BA8" i="1"/>
  <c r="AY7" i="1"/>
  <c r="BC5" i="1"/>
  <c r="AX30" i="1"/>
  <c r="AX22" i="1"/>
  <c r="AX14" i="1"/>
  <c r="AX6" i="1"/>
  <c r="BD30" i="1"/>
  <c r="BB29" i="1"/>
  <c r="AZ28" i="1"/>
  <c r="BD26" i="1"/>
  <c r="BB25" i="1"/>
  <c r="AZ24" i="1"/>
  <c r="BD22" i="1"/>
  <c r="BB21" i="1"/>
  <c r="AZ20" i="1"/>
  <c r="BD18" i="1"/>
  <c r="BB17" i="1"/>
  <c r="AZ16" i="1"/>
  <c r="BD14" i="1"/>
  <c r="BB13" i="1"/>
  <c r="AZ12" i="1"/>
  <c r="BD10" i="1"/>
  <c r="BB9" i="1"/>
  <c r="AZ8" i="1"/>
  <c r="BD6" i="1"/>
  <c r="BB5" i="1"/>
  <c r="AX29" i="1"/>
  <c r="AX21" i="1"/>
  <c r="AX13" i="1"/>
  <c r="AX5" i="1"/>
  <c r="BC30" i="1"/>
  <c r="BA29" i="1"/>
  <c r="AY28" i="1"/>
  <c r="BC26" i="1"/>
  <c r="BA25" i="1"/>
  <c r="AY24" i="1"/>
  <c r="BC22" i="1"/>
  <c r="BA21" i="1"/>
  <c r="AY20" i="1"/>
  <c r="BC18" i="1"/>
  <c r="BA17" i="1"/>
  <c r="AY16" i="1"/>
  <c r="BC14" i="1"/>
  <c r="BA13" i="1"/>
  <c r="AY12" i="1"/>
  <c r="BC10" i="1"/>
  <c r="BA9" i="1"/>
  <c r="AY8" i="1"/>
  <c r="BC6" i="1"/>
  <c r="BA5" i="1"/>
  <c r="AX28" i="1"/>
  <c r="AX20" i="1"/>
  <c r="AX12" i="1"/>
  <c r="AY4" i="1"/>
  <c r="BB30" i="1"/>
  <c r="AZ29" i="1"/>
  <c r="BD27" i="1"/>
  <c r="BB26" i="1"/>
  <c r="AZ25" i="1"/>
  <c r="BD23" i="1"/>
  <c r="BB22" i="1"/>
  <c r="AZ21" i="1"/>
  <c r="BD19" i="1"/>
  <c r="BB18" i="1"/>
  <c r="AZ17" i="1"/>
  <c r="BD15" i="1"/>
  <c r="BB14" i="1"/>
  <c r="AZ13" i="1"/>
  <c r="BD11" i="1"/>
  <c r="BB10" i="1"/>
  <c r="AZ9" i="1"/>
  <c r="AX27" i="1"/>
  <c r="AX19" i="1"/>
  <c r="BA4" i="1"/>
  <c r="BA30" i="1"/>
  <c r="AY29" i="1"/>
  <c r="BC27" i="1"/>
  <c r="BA26" i="1"/>
  <c r="AY25" i="1"/>
  <c r="BC23" i="1"/>
  <c r="BA22" i="1"/>
  <c r="AY21" i="1"/>
  <c r="BC19" i="1"/>
  <c r="BA18" i="1"/>
  <c r="AY17" i="1"/>
  <c r="BC15" i="1"/>
  <c r="BA14" i="1"/>
  <c r="AY13" i="1"/>
  <c r="BC11" i="1"/>
  <c r="BA10" i="1"/>
  <c r="AY9" i="1"/>
  <c r="N3" i="4"/>
  <c r="M4" i="15"/>
  <c r="M5" i="15"/>
  <c r="M6" i="15"/>
  <c r="M7" i="15"/>
  <c r="M8" i="15"/>
  <c r="M9" i="15"/>
  <c r="M10" i="15"/>
  <c r="M11" i="15"/>
  <c r="M12" i="15"/>
  <c r="M3" i="15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M15" i="5"/>
  <c r="C12" i="19"/>
  <c r="C13" i="19"/>
  <c r="M34" i="5" s="1"/>
  <c r="C14" i="19"/>
  <c r="C15" i="19"/>
  <c r="C16" i="19"/>
  <c r="C17" i="19"/>
  <c r="C18" i="19"/>
  <c r="AQ9" i="9" s="1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W5" i="1" s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S3" i="14"/>
  <c r="S4" i="14"/>
  <c r="S5" i="14"/>
  <c r="S6" i="14"/>
  <c r="S7" i="14"/>
  <c r="S8" i="14"/>
  <c r="S9" i="14"/>
  <c r="S10" i="14"/>
  <c r="S11" i="14"/>
  <c r="S12" i="14"/>
  <c r="R9" i="14"/>
  <c r="R8" i="14"/>
  <c r="R7" i="14"/>
  <c r="R6" i="14"/>
  <c r="R5" i="14"/>
  <c r="R4" i="14"/>
  <c r="R3" i="14"/>
  <c r="R10" i="14"/>
  <c r="R11" i="14"/>
  <c r="R12" i="14"/>
  <c r="P13" i="13"/>
  <c r="M30" i="5"/>
  <c r="P4" i="17"/>
  <c r="P5" i="17"/>
  <c r="P6" i="17"/>
  <c r="P7" i="17"/>
  <c r="P8" i="17"/>
  <c r="P9" i="17"/>
  <c r="P10" i="17"/>
  <c r="P11" i="17"/>
  <c r="P12" i="17"/>
  <c r="P13" i="17"/>
  <c r="O3" i="14"/>
  <c r="O4" i="14"/>
  <c r="O5" i="14"/>
  <c r="O6" i="14"/>
  <c r="O7" i="14"/>
  <c r="O8" i="14"/>
  <c r="O9" i="14"/>
  <c r="O10" i="14"/>
  <c r="O11" i="14"/>
  <c r="O12" i="14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I4" i="11"/>
  <c r="I5" i="11"/>
  <c r="I6" i="11"/>
  <c r="I7" i="11"/>
  <c r="I8" i="11"/>
  <c r="I9" i="11"/>
  <c r="I10" i="11"/>
  <c r="I11" i="11"/>
  <c r="I12" i="11"/>
  <c r="I13" i="1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2" i="6"/>
  <c r="Z2" i="6" s="1"/>
  <c r="Z2" i="5"/>
  <c r="AA2" i="5" s="1"/>
  <c r="Q43" i="9" l="1"/>
  <c r="AO8" i="1"/>
  <c r="AL19" i="1"/>
  <c r="AL8" i="1"/>
  <c r="W9" i="1"/>
  <c r="Y9" i="1" s="1"/>
  <c r="Z8" i="1"/>
  <c r="AB8" i="1" s="1"/>
  <c r="AO16" i="1"/>
  <c r="AQ16" i="1" s="1"/>
  <c r="AL4" i="1"/>
  <c r="AN4" i="1" s="1"/>
  <c r="AL24" i="1"/>
  <c r="AN24" i="1" s="1"/>
  <c r="Z13" i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N19" i="1"/>
  <c r="AK27" i="1"/>
  <c r="AB13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AQ8" i="1"/>
  <c r="AN8" i="1"/>
  <c r="Z28" i="1"/>
  <c r="AI28" i="1"/>
  <c r="AB15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T4" i="1"/>
  <c r="W4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AH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4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M101" i="5"/>
  <c r="O38" i="12"/>
  <c r="O39" i="12"/>
  <c r="O22" i="12"/>
  <c r="G18" i="8"/>
  <c r="O23" i="12"/>
  <c r="O6" i="12"/>
  <c r="G10" i="8"/>
  <c r="O7" i="12"/>
  <c r="O21" i="12"/>
  <c r="N8" i="4"/>
  <c r="O20" i="12"/>
  <c r="G17" i="8"/>
  <c r="G8" i="8"/>
  <c r="N4" i="4"/>
  <c r="L19" i="6"/>
  <c r="O33" i="12"/>
  <c r="N14" i="4"/>
  <c r="O32" i="12"/>
  <c r="G23" i="8"/>
  <c r="M57" i="5"/>
  <c r="G15" i="8"/>
  <c r="O17" i="12"/>
  <c r="O16" i="12"/>
  <c r="N7" i="4"/>
  <c r="O35" i="12"/>
  <c r="O34" i="12"/>
  <c r="N15" i="4"/>
  <c r="O30" i="12"/>
  <c r="N13" i="4"/>
  <c r="O31" i="12"/>
  <c r="G22" i="8"/>
  <c r="O15" i="12"/>
  <c r="G14" i="8"/>
  <c r="O14" i="12"/>
  <c r="O37" i="12"/>
  <c r="O36" i="12"/>
  <c r="M82" i="5"/>
  <c r="O29" i="12"/>
  <c r="O28" i="12"/>
  <c r="N12" i="4"/>
  <c r="G21" i="8"/>
  <c r="O13" i="12"/>
  <c r="G13" i="8"/>
  <c r="O12" i="12"/>
  <c r="N6" i="4"/>
  <c r="O5" i="12"/>
  <c r="O4" i="12"/>
  <c r="G9" i="8"/>
  <c r="G16" i="8"/>
  <c r="O19" i="12"/>
  <c r="O18" i="12"/>
  <c r="M37" i="5"/>
  <c r="N11" i="4"/>
  <c r="O27" i="12"/>
  <c r="O26" i="12"/>
  <c r="G20" i="8"/>
  <c r="O11" i="12"/>
  <c r="O10" i="12"/>
  <c r="G12" i="8"/>
  <c r="M38" i="5"/>
  <c r="N10" i="4"/>
  <c r="G19" i="8"/>
  <c r="O25" i="12"/>
  <c r="O24" i="12"/>
  <c r="G11" i="8"/>
  <c r="O9" i="12"/>
  <c r="N5" i="4"/>
  <c r="O8" i="12"/>
  <c r="M68" i="5"/>
  <c r="N9" i="4"/>
  <c r="M85" i="5"/>
  <c r="M90" i="5"/>
  <c r="M36" i="5"/>
  <c r="L12" i="6"/>
  <c r="M39" i="5"/>
  <c r="M40" i="5"/>
  <c r="M33" i="5"/>
  <c r="M41" i="5"/>
  <c r="M35" i="5"/>
  <c r="L21" i="6"/>
  <c r="J11" i="15"/>
  <c r="M95" i="5"/>
  <c r="M71" i="5"/>
  <c r="M89" i="5"/>
  <c r="P43" i="13"/>
  <c r="Q93" i="9"/>
  <c r="M87" i="5"/>
  <c r="M91" i="5"/>
  <c r="AQ6" i="9"/>
  <c r="M93" i="5"/>
  <c r="AQ10" i="9"/>
  <c r="M92" i="5"/>
  <c r="L20" i="6"/>
  <c r="J10" i="15"/>
  <c r="M88" i="5"/>
  <c r="L11" i="6"/>
  <c r="M86" i="5"/>
  <c r="M81" i="5"/>
  <c r="M6" i="5"/>
  <c r="M5" i="5"/>
  <c r="P8" i="13"/>
  <c r="P9" i="13" s="1"/>
  <c r="L22" i="6"/>
  <c r="M96" i="5"/>
  <c r="M100" i="5"/>
  <c r="AQ7" i="9"/>
  <c r="M14" i="5"/>
  <c r="Q103" i="9"/>
  <c r="L3" i="6"/>
  <c r="M16" i="5"/>
  <c r="M8" i="5"/>
  <c r="M17" i="5"/>
  <c r="L4" i="6"/>
  <c r="M7" i="5"/>
  <c r="M9" i="5"/>
  <c r="M18" i="5"/>
  <c r="L15" i="6"/>
  <c r="M10" i="5"/>
  <c r="M19" i="5"/>
  <c r="M3" i="5"/>
  <c r="M11" i="5"/>
  <c r="M20" i="5"/>
  <c r="M4" i="5"/>
  <c r="M13" i="5"/>
  <c r="M21" i="5"/>
  <c r="Q13" i="9"/>
  <c r="P4" i="13"/>
  <c r="J5" i="15"/>
  <c r="L5" i="6"/>
  <c r="J3" i="15"/>
  <c r="N16" i="4"/>
  <c r="L6" i="6"/>
  <c r="L7" i="6"/>
  <c r="P18" i="13"/>
  <c r="L2" i="6"/>
  <c r="Q23" i="9"/>
  <c r="M67" i="5"/>
  <c r="M50" i="5"/>
  <c r="M80" i="5"/>
  <c r="M79" i="5"/>
  <c r="L8" i="6"/>
  <c r="Q83" i="9"/>
  <c r="P28" i="13"/>
  <c r="M55" i="5"/>
  <c r="J9" i="15"/>
  <c r="J7" i="15"/>
  <c r="M51" i="5"/>
  <c r="Q53" i="9"/>
  <c r="J6" i="15"/>
  <c r="M49" i="5"/>
  <c r="M78" i="5"/>
  <c r="AQ12" i="9"/>
  <c r="P23" i="13"/>
  <c r="J12" i="15"/>
  <c r="J4" i="15"/>
  <c r="M48" i="5"/>
  <c r="M77" i="5"/>
  <c r="AQ4" i="9"/>
  <c r="AQ13" i="9"/>
  <c r="M29" i="5"/>
  <c r="M47" i="5"/>
  <c r="M75" i="5"/>
  <c r="M76" i="5"/>
  <c r="L17" i="6"/>
  <c r="AQ5" i="9"/>
  <c r="P33" i="13"/>
  <c r="M25" i="5"/>
  <c r="M46" i="5"/>
  <c r="M83" i="5"/>
  <c r="L16" i="6"/>
  <c r="P38" i="13"/>
  <c r="M45" i="5"/>
  <c r="AQ8" i="9"/>
  <c r="Q33" i="9"/>
  <c r="J8" i="15"/>
  <c r="M43" i="5"/>
  <c r="M44" i="5"/>
  <c r="M31" i="5"/>
  <c r="M56" i="5"/>
  <c r="M69" i="5"/>
  <c r="M102" i="5"/>
  <c r="M53" i="5"/>
  <c r="M54" i="5"/>
  <c r="L10" i="6"/>
  <c r="M28" i="5"/>
  <c r="M61" i="5"/>
  <c r="M65" i="5"/>
  <c r="M66" i="5"/>
  <c r="M99" i="5"/>
  <c r="L18" i="6"/>
  <c r="L9" i="6"/>
  <c r="M27" i="5"/>
  <c r="M60" i="5"/>
  <c r="M73" i="5"/>
  <c r="M98" i="5"/>
  <c r="AQ11" i="9"/>
  <c r="Q63" i="9"/>
  <c r="M26" i="5"/>
  <c r="M59" i="5"/>
  <c r="M72" i="5"/>
  <c r="M97" i="5"/>
  <c r="Q73" i="9"/>
  <c r="P48" i="13"/>
  <c r="M58" i="5"/>
  <c r="M23" i="5"/>
  <c r="M24" i="5"/>
  <c r="M70" i="5"/>
  <c r="M103" i="5"/>
  <c r="L14" i="6"/>
  <c r="AB2" i="6"/>
  <c r="AA2" i="6"/>
  <c r="AB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V4" i="1"/>
  <c r="AE17" i="1"/>
  <c r="AQ28" i="1"/>
  <c r="AQ9" i="1"/>
  <c r="AB22" i="1"/>
  <c r="Y17" i="1"/>
  <c r="AK18" i="1"/>
  <c r="AH25" i="1"/>
  <c r="AK4" i="1"/>
  <c r="AH28" i="1"/>
  <c r="P29" i="13"/>
  <c r="P7" i="13"/>
  <c r="P5" i="13"/>
  <c r="P45" i="13"/>
  <c r="P31" i="13"/>
  <c r="P10" i="13"/>
  <c r="P6" i="13"/>
  <c r="P11" i="13"/>
  <c r="P12" i="13"/>
  <c r="P24" i="13"/>
  <c r="P17" i="13"/>
  <c r="P15" i="13"/>
  <c r="P21" i="13"/>
  <c r="P16" i="13"/>
  <c r="P14" i="13"/>
  <c r="P26" i="13"/>
  <c r="P27" i="13"/>
  <c r="P25" i="13"/>
  <c r="P37" i="13"/>
  <c r="P41" i="13"/>
  <c r="P36" i="13"/>
  <c r="P39" i="13"/>
  <c r="P35" i="13"/>
  <c r="P40" i="13"/>
  <c r="P34" i="13"/>
  <c r="P42" i="13"/>
  <c r="P20" i="13"/>
  <c r="P19" i="13"/>
  <c r="P22" i="13"/>
  <c r="P30" i="13"/>
  <c r="P32" i="13"/>
  <c r="P44" i="13"/>
  <c r="P47" i="13"/>
  <c r="P46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D7" i="2" s="1"/>
  <c r="E8" i="2"/>
  <c r="E9" i="2"/>
  <c r="E10" i="2"/>
  <c r="E11" i="2"/>
  <c r="E12" i="2"/>
  <c r="E13" i="2"/>
  <c r="E14" i="2"/>
  <c r="C14" i="2" s="1"/>
  <c r="E15" i="2"/>
  <c r="E16" i="2"/>
  <c r="E17" i="2"/>
  <c r="E18" i="2"/>
  <c r="E19" i="2"/>
  <c r="E20" i="2"/>
  <c r="F20" i="2" s="1"/>
  <c r="E21" i="2"/>
  <c r="C21" i="2" s="1"/>
  <c r="E22" i="2"/>
  <c r="E23" i="2"/>
  <c r="D23" i="2" s="1"/>
  <c r="E24" i="2"/>
  <c r="E25" i="2"/>
  <c r="E26" i="2"/>
  <c r="E27" i="2"/>
  <c r="F27" i="2" s="1"/>
  <c r="E28" i="2"/>
  <c r="D28" i="2" s="1"/>
  <c r="E29" i="2"/>
  <c r="F29" i="2" s="1"/>
  <c r="E30" i="2"/>
  <c r="E31" i="2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4" i="1"/>
  <c r="S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4" i="1"/>
  <c r="P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4" i="1"/>
  <c r="M4" i="1" s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BZ23" i="7"/>
  <c r="BZ22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D26" i="2"/>
  <c r="C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F18" i="2"/>
  <c r="D18" i="2"/>
  <c r="C18" i="2"/>
  <c r="C17" i="2"/>
  <c r="C16" i="2"/>
  <c r="F10" i="2"/>
  <c r="D10" i="2"/>
  <c r="C10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K142" i="18" l="1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T103" i="9"/>
  <c r="T15" i="9" s="1"/>
  <c r="F7" i="2"/>
  <c r="C8" i="2"/>
  <c r="D8" i="2"/>
  <c r="C23" i="2"/>
  <c r="D16" i="2"/>
  <c r="F16" i="2"/>
  <c r="F8" i="2"/>
  <c r="C24" i="2"/>
  <c r="F24" i="2"/>
  <c r="K13" i="10"/>
  <c r="D24" i="2"/>
  <c r="D15" i="2"/>
  <c r="F23" i="2"/>
  <c r="F28" i="2"/>
  <c r="L12" i="14"/>
  <c r="F13" i="11"/>
  <c r="M13" i="17"/>
  <c r="C31" i="2"/>
  <c r="L29" i="7" s="1"/>
  <c r="L28" i="7" s="1"/>
  <c r="P39" i="12"/>
  <c r="T39" i="12" s="1"/>
  <c r="F15" i="2"/>
  <c r="D31" i="2"/>
  <c r="S103" i="9" s="1"/>
  <c r="R48" i="13"/>
  <c r="C15" i="2"/>
  <c r="D30" i="2"/>
  <c r="K12" i="15"/>
  <c r="C7" i="2"/>
  <c r="F31" i="2"/>
  <c r="I53" i="8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31" i="18"/>
  <c r="K171" i="18" s="1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K164" i="18" s="1"/>
  <c r="K30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K148" i="18" s="1"/>
  <c r="K28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K147" i="18" s="1"/>
  <c r="K287" i="18" s="1"/>
  <c r="BX14" i="1"/>
  <c r="K15" i="18" s="1"/>
  <c r="BX22" i="1"/>
  <c r="K23" i="18" s="1"/>
  <c r="K163" i="18" s="1"/>
  <c r="K30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K149" i="18" s="1"/>
  <c r="K289" i="18" s="1"/>
  <c r="BX16" i="1"/>
  <c r="K17" i="18" s="1"/>
  <c r="K157" i="18" s="1"/>
  <c r="K297" i="18" s="1"/>
  <c r="BX24" i="1"/>
  <c r="K25" i="18" s="1"/>
  <c r="K165" i="18" s="1"/>
  <c r="K30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K150" i="18" s="1"/>
  <c r="K290" i="18" s="1"/>
  <c r="BX17" i="1"/>
  <c r="K18" i="18" s="1"/>
  <c r="K158" i="18" s="1"/>
  <c r="K298" i="18" s="1"/>
  <c r="BX25" i="1"/>
  <c r="K26" i="18" s="1"/>
  <c r="K166" i="18" s="1"/>
  <c r="K30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K151" i="18" s="1"/>
  <c r="K291" i="18" s="1"/>
  <c r="BX18" i="1"/>
  <c r="K19" i="18" s="1"/>
  <c r="K159" i="18" s="1"/>
  <c r="K299" i="18" s="1"/>
  <c r="BX26" i="1"/>
  <c r="K27" i="18" s="1"/>
  <c r="K167" i="18" s="1"/>
  <c r="K30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K160" i="18" s="1"/>
  <c r="K300" i="18" s="1"/>
  <c r="BX27" i="1"/>
  <c r="K28" i="18" s="1"/>
  <c r="K168" i="18" s="1"/>
  <c r="K30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K145" i="18" s="1"/>
  <c r="K285" i="18" s="1"/>
  <c r="BX12" i="1"/>
  <c r="K13" i="18" s="1"/>
  <c r="BX20" i="1"/>
  <c r="K21" i="18" s="1"/>
  <c r="K161" i="18" s="1"/>
  <c r="K301" i="18" s="1"/>
  <c r="BX28" i="1"/>
  <c r="K29" i="18" s="1"/>
  <c r="K169" i="18" s="1"/>
  <c r="K30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K146" i="18" s="1"/>
  <c r="K286" i="18" s="1"/>
  <c r="BX13" i="1"/>
  <c r="K14" i="18" s="1"/>
  <c r="BX21" i="1"/>
  <c r="K22" i="18" s="1"/>
  <c r="K162" i="18" s="1"/>
  <c r="K30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K97" i="18" l="1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J339" i="18" s="1"/>
  <c r="BM30" i="1"/>
  <c r="J255" i="18" s="1"/>
  <c r="BJ30" i="1"/>
  <c r="BL30" i="1"/>
  <c r="V39" i="12"/>
  <c r="W39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D4251" i="23" s="1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T95" i="9"/>
  <c r="AB95" i="9" s="1"/>
  <c r="T63" i="9"/>
  <c r="AB63" i="9" s="1"/>
  <c r="T79" i="9"/>
  <c r="AB79" i="9" s="1"/>
  <c r="T78" i="9"/>
  <c r="AB78" i="9" s="1"/>
  <c r="Y105" i="5"/>
  <c r="T74" i="9"/>
  <c r="AB74" i="9" s="1"/>
  <c r="T62" i="9"/>
  <c r="AB62" i="9" s="1"/>
  <c r="T58" i="9"/>
  <c r="AB58" i="9" s="1"/>
  <c r="T45" i="9"/>
  <c r="AB45" i="9" s="1"/>
  <c r="T46" i="9"/>
  <c r="AB46" i="9" s="1"/>
  <c r="T19" i="9"/>
  <c r="AB19" i="9" s="1"/>
  <c r="T42" i="9"/>
  <c r="AB42" i="9" s="1"/>
  <c r="T94" i="9"/>
  <c r="AD94" i="9" s="1"/>
  <c r="T26" i="9"/>
  <c r="AB26" i="9" s="1"/>
  <c r="T90" i="9"/>
  <c r="AD90" i="9" s="1"/>
  <c r="T10" i="9"/>
  <c r="AB10" i="9" s="1"/>
  <c r="T99" i="9"/>
  <c r="AB99" i="9" s="1"/>
  <c r="T67" i="9"/>
  <c r="AB67" i="9" s="1"/>
  <c r="T27" i="9"/>
  <c r="AB27" i="9" s="1"/>
  <c r="T30" i="9"/>
  <c r="AB30" i="9" s="1"/>
  <c r="T14" i="9"/>
  <c r="AD14" i="9" s="1"/>
  <c r="T83" i="9"/>
  <c r="AB83" i="9" s="1"/>
  <c r="T51" i="9"/>
  <c r="AD51" i="9" s="1"/>
  <c r="T92" i="9"/>
  <c r="AB92" i="9" s="1"/>
  <c r="T76" i="9"/>
  <c r="AB76" i="9" s="1"/>
  <c r="T60" i="9"/>
  <c r="AB60" i="9" s="1"/>
  <c r="T44" i="9"/>
  <c r="AB44" i="9" s="1"/>
  <c r="T28" i="9"/>
  <c r="AD28" i="9" s="1"/>
  <c r="T12" i="9"/>
  <c r="AB12" i="9" s="1"/>
  <c r="T97" i="9"/>
  <c r="AD97" i="9" s="1"/>
  <c r="T81" i="9"/>
  <c r="AD81" i="9" s="1"/>
  <c r="T65" i="9"/>
  <c r="AD65" i="9" s="1"/>
  <c r="T49" i="9"/>
  <c r="AB49" i="9" s="1"/>
  <c r="T25" i="9"/>
  <c r="AD25" i="9" s="1"/>
  <c r="AB103" i="9"/>
  <c r="T86" i="9"/>
  <c r="AB86" i="9" s="1"/>
  <c r="T70" i="9"/>
  <c r="AD70" i="9" s="1"/>
  <c r="T54" i="9"/>
  <c r="AD54" i="9" s="1"/>
  <c r="T38" i="9"/>
  <c r="AD38" i="9" s="1"/>
  <c r="T22" i="9"/>
  <c r="AB22" i="9" s="1"/>
  <c r="T6" i="9"/>
  <c r="AD6" i="9" s="1"/>
  <c r="T91" i="9"/>
  <c r="AD91" i="9" s="1"/>
  <c r="T75" i="9"/>
  <c r="AB75" i="9" s="1"/>
  <c r="T59" i="9"/>
  <c r="AD59" i="9" s="1"/>
  <c r="T41" i="9"/>
  <c r="AD41" i="9" s="1"/>
  <c r="T11" i="9"/>
  <c r="AB11" i="9" s="1"/>
  <c r="AD103" i="9"/>
  <c r="T72" i="9"/>
  <c r="AB72" i="9" s="1"/>
  <c r="T40" i="9"/>
  <c r="AD40" i="9" s="1"/>
  <c r="T8" i="9"/>
  <c r="AB8" i="9" s="1"/>
  <c r="T93" i="9"/>
  <c r="AD93" i="9" s="1"/>
  <c r="T77" i="9"/>
  <c r="AD77" i="9" s="1"/>
  <c r="T43" i="9"/>
  <c r="AD43" i="9" s="1"/>
  <c r="T13" i="9"/>
  <c r="AB13" i="9" s="1"/>
  <c r="T100" i="9"/>
  <c r="AB100" i="9" s="1"/>
  <c r="T84" i="9"/>
  <c r="AB84" i="9" s="1"/>
  <c r="T68" i="9"/>
  <c r="AD68" i="9" s="1"/>
  <c r="T52" i="9"/>
  <c r="AB52" i="9" s="1"/>
  <c r="T36" i="9"/>
  <c r="AB36" i="9" s="1"/>
  <c r="T20" i="9"/>
  <c r="AB20" i="9" s="1"/>
  <c r="T4" i="9"/>
  <c r="AB4" i="9" s="1"/>
  <c r="T89" i="9"/>
  <c r="AD89" i="9" s="1"/>
  <c r="T73" i="9"/>
  <c r="AD73" i="9" s="1"/>
  <c r="T57" i="9"/>
  <c r="AD57" i="9" s="1"/>
  <c r="T35" i="9"/>
  <c r="AB35" i="9" s="1"/>
  <c r="T9" i="9"/>
  <c r="AB9" i="9" s="1"/>
  <c r="T98" i="9"/>
  <c r="AB98" i="9" s="1"/>
  <c r="T82" i="9"/>
  <c r="AD82" i="9" s="1"/>
  <c r="T66" i="9"/>
  <c r="AB66" i="9" s="1"/>
  <c r="T50" i="9"/>
  <c r="AB50" i="9" s="1"/>
  <c r="T34" i="9"/>
  <c r="AD34" i="9" s="1"/>
  <c r="T18" i="9"/>
  <c r="AB18" i="9" s="1"/>
  <c r="T102" i="9"/>
  <c r="AD102" i="9" s="1"/>
  <c r="T87" i="9"/>
  <c r="AB87" i="9" s="1"/>
  <c r="T71" i="9"/>
  <c r="AB71" i="9" s="1"/>
  <c r="T55" i="9"/>
  <c r="AD55" i="9" s="1"/>
  <c r="T33" i="9"/>
  <c r="AB33" i="9" s="1"/>
  <c r="T88" i="9"/>
  <c r="AB88" i="9" s="1"/>
  <c r="T56" i="9"/>
  <c r="AB56" i="9" s="1"/>
  <c r="T24" i="9"/>
  <c r="AD24" i="9" s="1"/>
  <c r="T61" i="9"/>
  <c r="AD61" i="9" s="1"/>
  <c r="T96" i="9"/>
  <c r="AB96" i="9" s="1"/>
  <c r="T80" i="9"/>
  <c r="AB80" i="9" s="1"/>
  <c r="T64" i="9"/>
  <c r="AD64" i="9" s="1"/>
  <c r="T48" i="9"/>
  <c r="AD48" i="9" s="1"/>
  <c r="T32" i="9"/>
  <c r="AB32" i="9" s="1"/>
  <c r="T16" i="9"/>
  <c r="AB16" i="9" s="1"/>
  <c r="T101" i="9"/>
  <c r="AB101" i="9" s="1"/>
  <c r="T85" i="9"/>
  <c r="AD85" i="9" s="1"/>
  <c r="T69" i="9"/>
  <c r="AD69" i="9" s="1"/>
  <c r="T53" i="9"/>
  <c r="AD53" i="9" s="1"/>
  <c r="T29" i="9"/>
  <c r="AB29" i="9" s="1"/>
  <c r="T39" i="9"/>
  <c r="AB39" i="9" s="1"/>
  <c r="T23" i="9"/>
  <c r="AB23" i="9" s="1"/>
  <c r="T7" i="9"/>
  <c r="AB7" i="9" s="1"/>
  <c r="T37" i="9"/>
  <c r="AB37" i="9" s="1"/>
  <c r="T21" i="9"/>
  <c r="AB21" i="9" s="1"/>
  <c r="T5" i="9"/>
  <c r="AB5" i="9" s="1"/>
  <c r="M23" i="6"/>
  <c r="M3" i="6" s="1"/>
  <c r="T17" i="9"/>
  <c r="AB17" i="9" s="1"/>
  <c r="R103" i="9"/>
  <c r="R14" i="9" s="1"/>
  <c r="T47" i="9"/>
  <c r="AB47" i="9" s="1"/>
  <c r="T31" i="9"/>
  <c r="AB31" i="9" s="1"/>
  <c r="N23" i="6"/>
  <c r="N8" i="6" s="1"/>
  <c r="U29" i="7"/>
  <c r="L13" i="10"/>
  <c r="L5" i="10" s="1"/>
  <c r="M12" i="14"/>
  <c r="V102" i="14" s="1"/>
  <c r="K12" i="14"/>
  <c r="K8" i="14" s="1"/>
  <c r="U103" i="9"/>
  <c r="U15" i="9" s="1"/>
  <c r="M29" i="7"/>
  <c r="M7" i="7" s="1"/>
  <c r="L251" i="3"/>
  <c r="L275" i="3" s="1"/>
  <c r="Q48" i="13"/>
  <c r="U48" i="13" s="1"/>
  <c r="G13" i="11"/>
  <c r="G7" i="11" s="1"/>
  <c r="S48" i="13"/>
  <c r="AC48" i="13" s="1"/>
  <c r="J53" i="8"/>
  <c r="J18" i="8" s="1"/>
  <c r="T18" i="8" s="1"/>
  <c r="N13" i="17"/>
  <c r="N7" i="17" s="1"/>
  <c r="C7" i="17" s="1"/>
  <c r="L12" i="15"/>
  <c r="T12" i="15" s="1"/>
  <c r="K10" i="15"/>
  <c r="K3" i="15"/>
  <c r="K11" i="15"/>
  <c r="K4" i="15"/>
  <c r="K5" i="15"/>
  <c r="K6" i="15"/>
  <c r="K7" i="15"/>
  <c r="K8" i="15"/>
  <c r="N12" i="15"/>
  <c r="P12" i="15" s="1"/>
  <c r="R12" i="15" s="1"/>
  <c r="K9" i="15"/>
  <c r="N9" i="15" s="1"/>
  <c r="P9" i="15" s="1"/>
  <c r="R9" i="15" s="1"/>
  <c r="M11" i="17"/>
  <c r="M6" i="17"/>
  <c r="M10" i="17"/>
  <c r="M5" i="17"/>
  <c r="B13" i="17"/>
  <c r="M12" i="17"/>
  <c r="M9" i="17"/>
  <c r="M4" i="17"/>
  <c r="M7" i="17"/>
  <c r="M8" i="17"/>
  <c r="W48" i="13"/>
  <c r="AB48" i="13"/>
  <c r="L24" i="14"/>
  <c r="L6" i="14"/>
  <c r="L7" i="14"/>
  <c r="L8" i="14"/>
  <c r="U102" i="14"/>
  <c r="L9" i="14"/>
  <c r="L10" i="14"/>
  <c r="L3" i="14"/>
  <c r="L11" i="14"/>
  <c r="L4" i="14"/>
  <c r="L5" i="14"/>
  <c r="P6" i="12"/>
  <c r="P14" i="12"/>
  <c r="P22" i="12"/>
  <c r="P30" i="12"/>
  <c r="P7" i="12"/>
  <c r="P15" i="12"/>
  <c r="P23" i="12"/>
  <c r="P31" i="12"/>
  <c r="P38" i="12"/>
  <c r="P8" i="12"/>
  <c r="P16" i="12"/>
  <c r="P24" i="12"/>
  <c r="P32" i="12"/>
  <c r="P9" i="12"/>
  <c r="P17" i="12"/>
  <c r="P25" i="12"/>
  <c r="P33" i="12"/>
  <c r="P10" i="12"/>
  <c r="P18" i="12"/>
  <c r="P26" i="12"/>
  <c r="P34" i="12"/>
  <c r="P11" i="12"/>
  <c r="P19" i="12"/>
  <c r="P27" i="12"/>
  <c r="P35" i="12"/>
  <c r="P20" i="12"/>
  <c r="P21" i="12"/>
  <c r="P28" i="12"/>
  <c r="P29" i="12"/>
  <c r="P4" i="12"/>
  <c r="P36" i="12"/>
  <c r="P5" i="12"/>
  <c r="P37" i="12"/>
  <c r="P12" i="12"/>
  <c r="P13" i="12"/>
  <c r="Q39" i="12"/>
  <c r="S39" i="12" s="1"/>
  <c r="L3" i="7"/>
  <c r="L4" i="7"/>
  <c r="L6" i="7"/>
  <c r="L8" i="7"/>
  <c r="L10" i="7"/>
  <c r="L12" i="7"/>
  <c r="L14" i="7"/>
  <c r="L16" i="7"/>
  <c r="L18" i="7"/>
  <c r="L20" i="7"/>
  <c r="L22" i="7"/>
  <c r="L24" i="7"/>
  <c r="L26" i="7"/>
  <c r="L5" i="7"/>
  <c r="L7" i="7"/>
  <c r="L9" i="7"/>
  <c r="L11" i="7"/>
  <c r="L13" i="7"/>
  <c r="L15" i="7"/>
  <c r="L17" i="7"/>
  <c r="L19" i="7"/>
  <c r="L21" i="7"/>
  <c r="L23" i="7"/>
  <c r="L25" i="7"/>
  <c r="L27" i="7"/>
  <c r="AX29" i="7"/>
  <c r="AL29" i="7"/>
  <c r="AS29" i="7"/>
  <c r="I6" i="8"/>
  <c r="W6" i="8" s="1"/>
  <c r="I10" i="8"/>
  <c r="W10" i="8" s="1"/>
  <c r="I14" i="8"/>
  <c r="W14" i="8" s="1"/>
  <c r="I18" i="8"/>
  <c r="W18" i="8" s="1"/>
  <c r="I22" i="8"/>
  <c r="W22" i="8" s="1"/>
  <c r="I26" i="8"/>
  <c r="W26" i="8" s="1"/>
  <c r="I30" i="8"/>
  <c r="W30" i="8" s="1"/>
  <c r="I34" i="8"/>
  <c r="W34" i="8" s="1"/>
  <c r="I38" i="8"/>
  <c r="W38" i="8" s="1"/>
  <c r="I42" i="8"/>
  <c r="W42" i="8" s="1"/>
  <c r="I46" i="8"/>
  <c r="W46" i="8" s="1"/>
  <c r="I50" i="8"/>
  <c r="W50" i="8" s="1"/>
  <c r="I7" i="8"/>
  <c r="I11" i="8"/>
  <c r="I15" i="8"/>
  <c r="I19" i="8"/>
  <c r="I23" i="8"/>
  <c r="I27" i="8"/>
  <c r="I31" i="8"/>
  <c r="I35" i="8"/>
  <c r="I39" i="8"/>
  <c r="I43" i="8"/>
  <c r="I47" i="8"/>
  <c r="I51" i="8"/>
  <c r="I4" i="8"/>
  <c r="W4" i="8" s="1"/>
  <c r="I8" i="8"/>
  <c r="W8" i="8" s="1"/>
  <c r="I12" i="8"/>
  <c r="W12" i="8" s="1"/>
  <c r="I16" i="8"/>
  <c r="W16" i="8" s="1"/>
  <c r="I20" i="8"/>
  <c r="W20" i="8" s="1"/>
  <c r="I24" i="8"/>
  <c r="W24" i="8" s="1"/>
  <c r="I28" i="8"/>
  <c r="W28" i="8" s="1"/>
  <c r="I32" i="8"/>
  <c r="W32" i="8" s="1"/>
  <c r="I36" i="8"/>
  <c r="W36" i="8" s="1"/>
  <c r="I40" i="8"/>
  <c r="W40" i="8" s="1"/>
  <c r="I44" i="8"/>
  <c r="W44" i="8" s="1"/>
  <c r="I48" i="8"/>
  <c r="W48" i="8" s="1"/>
  <c r="I52" i="8"/>
  <c r="W52" i="8" s="1"/>
  <c r="I13" i="8"/>
  <c r="W13" i="8" s="1"/>
  <c r="I29" i="8"/>
  <c r="W29" i="8" s="1"/>
  <c r="I45" i="8"/>
  <c r="W45" i="8" s="1"/>
  <c r="I17" i="8"/>
  <c r="W17" i="8" s="1"/>
  <c r="I33" i="8"/>
  <c r="W33" i="8" s="1"/>
  <c r="I49" i="8"/>
  <c r="W49" i="8" s="1"/>
  <c r="I5" i="8"/>
  <c r="W5" i="8" s="1"/>
  <c r="I21" i="8"/>
  <c r="W21" i="8" s="1"/>
  <c r="I37" i="8"/>
  <c r="W37" i="8" s="1"/>
  <c r="I9" i="8"/>
  <c r="W9" i="8" s="1"/>
  <c r="I25" i="8"/>
  <c r="W25" i="8" s="1"/>
  <c r="I41" i="8"/>
  <c r="W41" i="8" s="1"/>
  <c r="W53" i="8"/>
  <c r="AB15" i="9"/>
  <c r="AD15" i="9"/>
  <c r="S5" i="9"/>
  <c r="AK5" i="9" s="1"/>
  <c r="S7" i="9"/>
  <c r="AK7" i="9" s="1"/>
  <c r="S9" i="9"/>
  <c r="AK9" i="9" s="1"/>
  <c r="S11" i="9"/>
  <c r="AK11" i="9" s="1"/>
  <c r="S13" i="9"/>
  <c r="AK13" i="9" s="1"/>
  <c r="S15" i="9"/>
  <c r="AK15" i="9" s="1"/>
  <c r="S17" i="9"/>
  <c r="AK17" i="9" s="1"/>
  <c r="S19" i="9"/>
  <c r="S21" i="9"/>
  <c r="AK21" i="9" s="1"/>
  <c r="S23" i="9"/>
  <c r="AK23" i="9" s="1"/>
  <c r="S25" i="9"/>
  <c r="AK25" i="9" s="1"/>
  <c r="S27" i="9"/>
  <c r="AK27" i="9" s="1"/>
  <c r="S29" i="9"/>
  <c r="S31" i="9"/>
  <c r="AK31" i="9" s="1"/>
  <c r="S33" i="9"/>
  <c r="AK33" i="9" s="1"/>
  <c r="S35" i="9"/>
  <c r="AK35" i="9" s="1"/>
  <c r="S37" i="9"/>
  <c r="AK37" i="9" s="1"/>
  <c r="S39" i="9"/>
  <c r="AK39" i="9" s="1"/>
  <c r="S41" i="9"/>
  <c r="AK41" i="9" s="1"/>
  <c r="S43" i="9"/>
  <c r="AK43" i="9" s="1"/>
  <c r="S45" i="9"/>
  <c r="AK45" i="9" s="1"/>
  <c r="S47" i="9"/>
  <c r="S49" i="9"/>
  <c r="AK49" i="9" s="1"/>
  <c r="S51" i="9"/>
  <c r="AK51" i="9" s="1"/>
  <c r="S53" i="9"/>
  <c r="AK53" i="9" s="1"/>
  <c r="S55" i="9"/>
  <c r="AK55" i="9" s="1"/>
  <c r="S57" i="9"/>
  <c r="AK57" i="9" s="1"/>
  <c r="S59" i="9"/>
  <c r="AK59" i="9" s="1"/>
  <c r="S61" i="9"/>
  <c r="AK61" i="9" s="1"/>
  <c r="S63" i="9"/>
  <c r="AK63" i="9" s="1"/>
  <c r="S65" i="9"/>
  <c r="S67" i="9"/>
  <c r="AK67" i="9" s="1"/>
  <c r="S69" i="9"/>
  <c r="AK69" i="9" s="1"/>
  <c r="S71" i="9"/>
  <c r="AK71" i="9" s="1"/>
  <c r="S73" i="9"/>
  <c r="AK73" i="9" s="1"/>
  <c r="S75" i="9"/>
  <c r="AK75" i="9" s="1"/>
  <c r="S77" i="9"/>
  <c r="AK77" i="9" s="1"/>
  <c r="S79" i="9"/>
  <c r="AK79" i="9" s="1"/>
  <c r="S81" i="9"/>
  <c r="AK81" i="9" s="1"/>
  <c r="S83" i="9"/>
  <c r="S85" i="9"/>
  <c r="AK85" i="9" s="1"/>
  <c r="S87" i="9"/>
  <c r="AK87" i="9" s="1"/>
  <c r="S89" i="9"/>
  <c r="AK89" i="9" s="1"/>
  <c r="S91" i="9"/>
  <c r="AK91" i="9" s="1"/>
  <c r="S93" i="9"/>
  <c r="S95" i="9"/>
  <c r="AK95" i="9" s="1"/>
  <c r="S97" i="9"/>
  <c r="AK97" i="9" s="1"/>
  <c r="S99" i="9"/>
  <c r="AK99" i="9" s="1"/>
  <c r="S101" i="9"/>
  <c r="AK101" i="9" s="1"/>
  <c r="S4" i="9"/>
  <c r="AK4" i="9" s="1"/>
  <c r="S6" i="9"/>
  <c r="AK6" i="9" s="1"/>
  <c r="S8" i="9"/>
  <c r="AK8" i="9" s="1"/>
  <c r="S10" i="9"/>
  <c r="AK10" i="9" s="1"/>
  <c r="S12" i="9"/>
  <c r="AK12" i="9" s="1"/>
  <c r="S14" i="9"/>
  <c r="AK14" i="9" s="1"/>
  <c r="S16" i="9"/>
  <c r="AK16" i="9" s="1"/>
  <c r="S18" i="9"/>
  <c r="AK18" i="9" s="1"/>
  <c r="S20" i="9"/>
  <c r="AK20" i="9" s="1"/>
  <c r="S22" i="9"/>
  <c r="AK22" i="9" s="1"/>
  <c r="S24" i="9"/>
  <c r="AK24" i="9" s="1"/>
  <c r="S26" i="9"/>
  <c r="AK26" i="9" s="1"/>
  <c r="S28" i="9"/>
  <c r="AK28" i="9" s="1"/>
  <c r="S30" i="9"/>
  <c r="AK30" i="9" s="1"/>
  <c r="S32" i="9"/>
  <c r="AK32" i="9" s="1"/>
  <c r="S34" i="9"/>
  <c r="AK34" i="9" s="1"/>
  <c r="S36" i="9"/>
  <c r="AK36" i="9" s="1"/>
  <c r="S38" i="9"/>
  <c r="AK38" i="9" s="1"/>
  <c r="S40" i="9"/>
  <c r="AK40" i="9" s="1"/>
  <c r="S42" i="9"/>
  <c r="AK42" i="9" s="1"/>
  <c r="S44" i="9"/>
  <c r="AK44" i="9" s="1"/>
  <c r="S46" i="9"/>
  <c r="AK46" i="9" s="1"/>
  <c r="S48" i="9"/>
  <c r="AK48" i="9" s="1"/>
  <c r="S50" i="9"/>
  <c r="AK50" i="9" s="1"/>
  <c r="S52" i="9"/>
  <c r="AK52" i="9" s="1"/>
  <c r="S54" i="9"/>
  <c r="AK54" i="9" s="1"/>
  <c r="S56" i="9"/>
  <c r="AK56" i="9" s="1"/>
  <c r="S58" i="9"/>
  <c r="AK58" i="9" s="1"/>
  <c r="S60" i="9"/>
  <c r="AK60" i="9" s="1"/>
  <c r="S62" i="9"/>
  <c r="AK62" i="9" s="1"/>
  <c r="S64" i="9"/>
  <c r="AK64" i="9" s="1"/>
  <c r="S66" i="9"/>
  <c r="AK66" i="9" s="1"/>
  <c r="S68" i="9"/>
  <c r="AK68" i="9" s="1"/>
  <c r="S70" i="9"/>
  <c r="AK70" i="9" s="1"/>
  <c r="S72" i="9"/>
  <c r="AK72" i="9" s="1"/>
  <c r="S74" i="9"/>
  <c r="AK74" i="9" s="1"/>
  <c r="S76" i="9"/>
  <c r="AK76" i="9" s="1"/>
  <c r="S78" i="9"/>
  <c r="AK78" i="9" s="1"/>
  <c r="S80" i="9"/>
  <c r="AK80" i="9" s="1"/>
  <c r="S82" i="9"/>
  <c r="AK82" i="9" s="1"/>
  <c r="S84" i="9"/>
  <c r="AK84" i="9" s="1"/>
  <c r="S86" i="9"/>
  <c r="AK86" i="9" s="1"/>
  <c r="S88" i="9"/>
  <c r="AK88" i="9" s="1"/>
  <c r="S90" i="9"/>
  <c r="AK90" i="9" s="1"/>
  <c r="S92" i="9"/>
  <c r="AK92" i="9" s="1"/>
  <c r="S94" i="9"/>
  <c r="AK94" i="9" s="1"/>
  <c r="S96" i="9"/>
  <c r="AK96" i="9" s="1"/>
  <c r="S98" i="9"/>
  <c r="AK98" i="9" s="1"/>
  <c r="S100" i="9"/>
  <c r="AK100" i="9" s="1"/>
  <c r="S102" i="9"/>
  <c r="AK102" i="9" s="1"/>
  <c r="AK103" i="9"/>
  <c r="K4" i="10"/>
  <c r="K12" i="10"/>
  <c r="K5" i="10"/>
  <c r="K6" i="10"/>
  <c r="K7" i="10"/>
  <c r="K8" i="10"/>
  <c r="K9" i="10"/>
  <c r="K10" i="10"/>
  <c r="K11" i="10"/>
  <c r="H12" i="10"/>
  <c r="T23" i="6"/>
  <c r="R23" i="6"/>
  <c r="P23" i="6"/>
  <c r="F7" i="11"/>
  <c r="F11" i="11"/>
  <c r="F4" i="11"/>
  <c r="F8" i="11"/>
  <c r="F12" i="11"/>
  <c r="F5" i="11"/>
  <c r="F9" i="11"/>
  <c r="F10" i="11"/>
  <c r="F6" i="11"/>
  <c r="D242" i="11"/>
  <c r="D202" i="11"/>
  <c r="D162" i="11"/>
  <c r="D232" i="11"/>
  <c r="D192" i="11"/>
  <c r="D152" i="11"/>
  <c r="D212" i="11"/>
  <c r="D172" i="11"/>
  <c r="D222" i="11"/>
  <c r="D182" i="11"/>
  <c r="D142" i="11"/>
  <c r="D132" i="11"/>
  <c r="Q29" i="7"/>
  <c r="O29" i="7"/>
  <c r="S29" i="7"/>
  <c r="H53" i="8"/>
  <c r="N105" i="5"/>
  <c r="N16" i="5" s="1"/>
  <c r="J12" i="14"/>
  <c r="V251" i="3"/>
  <c r="T251" i="3"/>
  <c r="S105" i="5"/>
  <c r="Q105" i="5"/>
  <c r="U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J87" i="18" s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J59" i="18" s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J199" i="18" l="1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D42" i="9"/>
  <c r="N12" i="14"/>
  <c r="Q12" i="14" s="1"/>
  <c r="AD95" i="9"/>
  <c r="AD79" i="9"/>
  <c r="L35" i="3"/>
  <c r="AD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U77" i="9"/>
  <c r="AE77" i="9" s="1"/>
  <c r="AD20" i="9"/>
  <c r="U93" i="9"/>
  <c r="AE103" i="9"/>
  <c r="U11" i="9"/>
  <c r="AH11" i="9" s="1"/>
  <c r="H32" i="10"/>
  <c r="L4" i="10"/>
  <c r="M4" i="10" s="1"/>
  <c r="AD101" i="9"/>
  <c r="U13" i="9"/>
  <c r="AE13" i="9" s="1"/>
  <c r="U42" i="9"/>
  <c r="AH42" i="9" s="1"/>
  <c r="L10" i="10"/>
  <c r="M10" i="10" s="1"/>
  <c r="U38" i="9"/>
  <c r="AE38" i="9" s="1"/>
  <c r="U76" i="9"/>
  <c r="AE76" i="9" s="1"/>
  <c r="U4" i="9"/>
  <c r="AE4" i="9" s="1"/>
  <c r="AB25" i="9"/>
  <c r="U34" i="9"/>
  <c r="AE34" i="9" s="1"/>
  <c r="U59" i="9"/>
  <c r="AE59" i="9" s="1"/>
  <c r="U64" i="9"/>
  <c r="AH64" i="9" s="1"/>
  <c r="U57" i="9"/>
  <c r="AE57" i="9" s="1"/>
  <c r="AB73" i="9"/>
  <c r="AD47" i="9"/>
  <c r="U46" i="9"/>
  <c r="AE46" i="9" s="1"/>
  <c r="U41" i="9"/>
  <c r="AE41" i="9" s="1"/>
  <c r="AD63" i="9"/>
  <c r="J10" i="8"/>
  <c r="T10" i="8" s="1"/>
  <c r="AB91" i="9"/>
  <c r="AD62" i="9"/>
  <c r="AH103" i="9"/>
  <c r="U75" i="9"/>
  <c r="AH75" i="9" s="1"/>
  <c r="AD67" i="9"/>
  <c r="U98" i="9"/>
  <c r="AH98" i="9" s="1"/>
  <c r="U8" i="9"/>
  <c r="AE8" i="9" s="1"/>
  <c r="U20" i="9"/>
  <c r="AH20" i="9" s="1"/>
  <c r="U73" i="9"/>
  <c r="AE73" i="9" s="1"/>
  <c r="U27" i="9"/>
  <c r="AE27" i="9" s="1"/>
  <c r="AD45" i="9"/>
  <c r="AD83" i="9"/>
  <c r="U16" i="9"/>
  <c r="AE16" i="9" s="1"/>
  <c r="U68" i="9"/>
  <c r="AE68" i="9" s="1"/>
  <c r="U29" i="9"/>
  <c r="AE29" i="9" s="1"/>
  <c r="AB53" i="9"/>
  <c r="U50" i="9"/>
  <c r="AH50" i="9" s="1"/>
  <c r="U94" i="9"/>
  <c r="AH94" i="9" s="1"/>
  <c r="U12" i="9"/>
  <c r="AE12" i="9" s="1"/>
  <c r="U61" i="9"/>
  <c r="AE61" i="9" s="1"/>
  <c r="U25" i="9"/>
  <c r="AE25" i="9" s="1"/>
  <c r="L11" i="10"/>
  <c r="M11" i="10" s="1"/>
  <c r="J31" i="8"/>
  <c r="T31" i="8" s="1"/>
  <c r="AB64" i="9"/>
  <c r="U80" i="9"/>
  <c r="AE80" i="9" s="1"/>
  <c r="U30" i="9"/>
  <c r="AE30" i="9" s="1"/>
  <c r="U91" i="9"/>
  <c r="AH91" i="9" s="1"/>
  <c r="U45" i="9"/>
  <c r="AE45" i="9" s="1"/>
  <c r="U9" i="9"/>
  <c r="AH9" i="9" s="1"/>
  <c r="AB38" i="9"/>
  <c r="AD80" i="9"/>
  <c r="U72" i="9"/>
  <c r="AH72" i="9" s="1"/>
  <c r="U84" i="9"/>
  <c r="AE84" i="9" s="1"/>
  <c r="U89" i="9"/>
  <c r="AE89" i="9" s="1"/>
  <c r="U43" i="9"/>
  <c r="AE43" i="9" s="1"/>
  <c r="AB102" i="9"/>
  <c r="AD100" i="9"/>
  <c r="H22" i="10"/>
  <c r="AD87" i="9"/>
  <c r="AB97" i="9"/>
  <c r="AB68" i="9"/>
  <c r="AD27" i="9"/>
  <c r="AB40" i="9"/>
  <c r="AB41" i="9"/>
  <c r="AD84" i="9"/>
  <c r="AD56" i="9"/>
  <c r="AD30" i="9"/>
  <c r="L189" i="3"/>
  <c r="AD78" i="9"/>
  <c r="L451" i="3"/>
  <c r="L97" i="3"/>
  <c r="R8" i="9"/>
  <c r="L456" i="3"/>
  <c r="AB57" i="9"/>
  <c r="AB59" i="9"/>
  <c r="AD29" i="9"/>
  <c r="AD72" i="9"/>
  <c r="L116" i="3"/>
  <c r="AB93" i="9"/>
  <c r="AD33" i="9"/>
  <c r="R39" i="9"/>
  <c r="AJ39" i="9" s="1"/>
  <c r="L186" i="3"/>
  <c r="L364" i="3"/>
  <c r="AD98" i="9"/>
  <c r="AD75" i="9"/>
  <c r="AD10" i="9"/>
  <c r="L180" i="3"/>
  <c r="L331" i="3"/>
  <c r="AB14" i="9"/>
  <c r="N16" i="6"/>
  <c r="AB90" i="9"/>
  <c r="AB48" i="9"/>
  <c r="AD52" i="9"/>
  <c r="AB24" i="9"/>
  <c r="AB94" i="9"/>
  <c r="D112" i="11"/>
  <c r="AD26" i="9"/>
  <c r="AB81" i="9"/>
  <c r="AB82" i="9"/>
  <c r="AB55" i="9"/>
  <c r="AD71" i="9"/>
  <c r="AD86" i="9"/>
  <c r="AD35" i="9"/>
  <c r="AD74" i="9"/>
  <c r="AD92" i="9"/>
  <c r="AB70" i="9"/>
  <c r="AD32" i="9"/>
  <c r="AB61" i="9"/>
  <c r="M21" i="7"/>
  <c r="AM21" i="7" s="1"/>
  <c r="AD9" i="9"/>
  <c r="D42" i="11"/>
  <c r="AB65" i="9"/>
  <c r="K4" i="14"/>
  <c r="W105" i="5"/>
  <c r="W50" i="5" s="1"/>
  <c r="V50" i="5" s="1"/>
  <c r="AD5" i="9"/>
  <c r="U90" i="9"/>
  <c r="AE90" i="9" s="1"/>
  <c r="U26" i="9"/>
  <c r="AE26" i="9" s="1"/>
  <c r="U56" i="9"/>
  <c r="AE56" i="9" s="1"/>
  <c r="U86" i="9"/>
  <c r="AE86" i="9" s="1"/>
  <c r="U22" i="9"/>
  <c r="U60" i="9"/>
  <c r="AE60" i="9" s="1"/>
  <c r="U102" i="9"/>
  <c r="U87" i="9"/>
  <c r="AH87" i="9" s="1"/>
  <c r="U71" i="9"/>
  <c r="U55" i="9"/>
  <c r="AE55" i="9" s="1"/>
  <c r="U39" i="9"/>
  <c r="U23" i="9"/>
  <c r="AE23" i="9" s="1"/>
  <c r="U7" i="9"/>
  <c r="AE7" i="9" s="1"/>
  <c r="M13" i="10"/>
  <c r="L9" i="10"/>
  <c r="H28" i="10" s="1"/>
  <c r="AD17" i="9"/>
  <c r="AB28" i="9"/>
  <c r="K6" i="14"/>
  <c r="AD21" i="9"/>
  <c r="U82" i="9"/>
  <c r="AE82" i="9" s="1"/>
  <c r="U18" i="9"/>
  <c r="U48" i="9"/>
  <c r="AH48" i="9" s="1"/>
  <c r="U78" i="9"/>
  <c r="AH78" i="9" s="1"/>
  <c r="U14" i="9"/>
  <c r="AH14" i="9" s="1"/>
  <c r="U52" i="9"/>
  <c r="AH52" i="9" s="1"/>
  <c r="U101" i="9"/>
  <c r="AE101" i="9" s="1"/>
  <c r="U85" i="9"/>
  <c r="AE85" i="9" s="1"/>
  <c r="U69" i="9"/>
  <c r="AH69" i="9" s="1"/>
  <c r="U53" i="9"/>
  <c r="U37" i="9"/>
  <c r="AE37" i="9" s="1"/>
  <c r="U21" i="9"/>
  <c r="AH21" i="9" s="1"/>
  <c r="U5" i="9"/>
  <c r="AH5" i="9" s="1"/>
  <c r="AB77" i="9"/>
  <c r="AD46" i="9"/>
  <c r="M17" i="6"/>
  <c r="L8" i="10"/>
  <c r="M8" i="10" s="1"/>
  <c r="AD44" i="9"/>
  <c r="J33" i="8"/>
  <c r="T33" i="8" s="1"/>
  <c r="U74" i="9"/>
  <c r="AH74" i="9" s="1"/>
  <c r="U10" i="9"/>
  <c r="U40" i="9"/>
  <c r="AH40" i="9" s="1"/>
  <c r="U70" i="9"/>
  <c r="AE70" i="9" s="1"/>
  <c r="U6" i="9"/>
  <c r="U44" i="9"/>
  <c r="AE44" i="9" s="1"/>
  <c r="U99" i="9"/>
  <c r="AH99" i="9" s="1"/>
  <c r="U83" i="9"/>
  <c r="AE83" i="9" s="1"/>
  <c r="U67" i="9"/>
  <c r="U51" i="9"/>
  <c r="AH51" i="9" s="1"/>
  <c r="U35" i="9"/>
  <c r="AE35" i="9" s="1"/>
  <c r="U19" i="9"/>
  <c r="AE19" i="9" s="1"/>
  <c r="AD7" i="9"/>
  <c r="AB6" i="9"/>
  <c r="M16" i="6"/>
  <c r="L7" i="10"/>
  <c r="H16" i="10" s="1"/>
  <c r="AD60" i="9"/>
  <c r="J36" i="8"/>
  <c r="T36" i="8" s="1"/>
  <c r="U66" i="9"/>
  <c r="AH66" i="9" s="1"/>
  <c r="U96" i="9"/>
  <c r="AE96" i="9" s="1"/>
  <c r="U32" i="9"/>
  <c r="U62" i="9"/>
  <c r="AE62" i="9" s="1"/>
  <c r="U100" i="9"/>
  <c r="AE100" i="9" s="1"/>
  <c r="U36" i="9"/>
  <c r="AE36" i="9" s="1"/>
  <c r="U97" i="9"/>
  <c r="AE97" i="9" s="1"/>
  <c r="U81" i="9"/>
  <c r="AE81" i="9" s="1"/>
  <c r="U65" i="9"/>
  <c r="AE65" i="9" s="1"/>
  <c r="U49" i="9"/>
  <c r="AE49" i="9" s="1"/>
  <c r="U33" i="9"/>
  <c r="AE33" i="9" s="1"/>
  <c r="U17" i="9"/>
  <c r="AD39" i="9"/>
  <c r="AD50" i="9"/>
  <c r="AD4" i="9"/>
  <c r="AD22" i="9"/>
  <c r="L6" i="10"/>
  <c r="H25" i="10" s="1"/>
  <c r="J8" i="8"/>
  <c r="T8" i="8" s="1"/>
  <c r="M6" i="14"/>
  <c r="U58" i="9"/>
  <c r="U88" i="9"/>
  <c r="AH88" i="9" s="1"/>
  <c r="U24" i="9"/>
  <c r="AE24" i="9" s="1"/>
  <c r="U54" i="9"/>
  <c r="AH54" i="9" s="1"/>
  <c r="U92" i="9"/>
  <c r="AH92" i="9" s="1"/>
  <c r="U28" i="9"/>
  <c r="AH28" i="9" s="1"/>
  <c r="U95" i="9"/>
  <c r="AH95" i="9" s="1"/>
  <c r="U79" i="9"/>
  <c r="AH79" i="9" s="1"/>
  <c r="U63" i="9"/>
  <c r="AH63" i="9" s="1"/>
  <c r="U47" i="9"/>
  <c r="AE47" i="9" s="1"/>
  <c r="U31" i="9"/>
  <c r="AB43" i="9"/>
  <c r="L12" i="10"/>
  <c r="H21" i="10" s="1"/>
  <c r="J4" i="8"/>
  <c r="T4" i="8" s="1"/>
  <c r="R67" i="9"/>
  <c r="AJ67" i="9" s="1"/>
  <c r="R72" i="9"/>
  <c r="R83" i="9"/>
  <c r="AJ83" i="9" s="1"/>
  <c r="R56" i="9"/>
  <c r="AJ56" i="9" s="1"/>
  <c r="R65" i="9"/>
  <c r="AJ65" i="9" s="1"/>
  <c r="R40" i="9"/>
  <c r="R102" i="9"/>
  <c r="AJ102" i="9" s="1"/>
  <c r="R24" i="9"/>
  <c r="AJ24" i="9" s="1"/>
  <c r="R77" i="9"/>
  <c r="AJ77" i="9" s="1"/>
  <c r="J42" i="8"/>
  <c r="T42" i="8" s="1"/>
  <c r="R13" i="9"/>
  <c r="AJ13" i="9" s="1"/>
  <c r="R88" i="9"/>
  <c r="V88" i="9" s="1"/>
  <c r="K5" i="14"/>
  <c r="AB69" i="9"/>
  <c r="AB89" i="9"/>
  <c r="AB51" i="9"/>
  <c r="M22" i="6"/>
  <c r="M4" i="6"/>
  <c r="N5" i="17"/>
  <c r="C5" i="17" s="1"/>
  <c r="I5" i="17" s="1"/>
  <c r="K7" i="14"/>
  <c r="C13" i="17"/>
  <c r="I13" i="17" s="1"/>
  <c r="AD96" i="9"/>
  <c r="N8" i="17"/>
  <c r="C8" i="17" s="1"/>
  <c r="F8" i="17" s="1"/>
  <c r="M19" i="6"/>
  <c r="N11" i="17"/>
  <c r="C11" i="17" s="1"/>
  <c r="F11" i="17" s="1"/>
  <c r="K24" i="14"/>
  <c r="K22" i="14" s="1"/>
  <c r="AD23" i="9"/>
  <c r="AD13" i="9"/>
  <c r="AD19" i="9"/>
  <c r="AD99" i="9"/>
  <c r="M12" i="6"/>
  <c r="AD58" i="9"/>
  <c r="N6" i="17"/>
  <c r="C6" i="17" s="1"/>
  <c r="I6" i="17" s="1"/>
  <c r="M11" i="14"/>
  <c r="K3" i="14"/>
  <c r="X102" i="14"/>
  <c r="X4" i="14" s="1"/>
  <c r="K11" i="14"/>
  <c r="AD18" i="9"/>
  <c r="M10" i="6"/>
  <c r="AD31" i="9"/>
  <c r="N4" i="17"/>
  <c r="C4" i="17" s="1"/>
  <c r="I4" i="17" s="1"/>
  <c r="M9" i="14"/>
  <c r="K10" i="14"/>
  <c r="M8" i="6"/>
  <c r="N9" i="17"/>
  <c r="C9" i="17" s="1"/>
  <c r="I9" i="17" s="1"/>
  <c r="M8" i="14"/>
  <c r="K9" i="14"/>
  <c r="M4" i="14"/>
  <c r="AB34" i="9"/>
  <c r="M7" i="6"/>
  <c r="O13" i="17"/>
  <c r="N10" i="17"/>
  <c r="C10" i="17" s="1"/>
  <c r="F10" i="17" s="1"/>
  <c r="M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D16" i="9"/>
  <c r="AB54" i="9"/>
  <c r="R91" i="9"/>
  <c r="AJ91" i="9" s="1"/>
  <c r="R81" i="9"/>
  <c r="R17" i="9"/>
  <c r="AJ17" i="9" s="1"/>
  <c r="R55" i="9"/>
  <c r="AJ55" i="9" s="1"/>
  <c r="R93" i="9"/>
  <c r="AJ93" i="9" s="1"/>
  <c r="R29" i="9"/>
  <c r="AJ29" i="9" s="1"/>
  <c r="R92" i="9"/>
  <c r="AJ92" i="9" s="1"/>
  <c r="R76" i="9"/>
  <c r="R60" i="9"/>
  <c r="R44" i="9"/>
  <c r="R28" i="9"/>
  <c r="AJ28" i="9" s="1"/>
  <c r="R12" i="9"/>
  <c r="L17" i="3"/>
  <c r="L196" i="3"/>
  <c r="L43" i="3"/>
  <c r="L118" i="3"/>
  <c r="L105" i="3"/>
  <c r="L205" i="3"/>
  <c r="L423" i="3"/>
  <c r="L472" i="3"/>
  <c r="L281" i="3"/>
  <c r="L347" i="3"/>
  <c r="M18" i="6"/>
  <c r="M9" i="6"/>
  <c r="N7" i="6"/>
  <c r="AJ103" i="9"/>
  <c r="R27" i="9"/>
  <c r="AJ27" i="9" s="1"/>
  <c r="R73" i="9"/>
  <c r="R9" i="9"/>
  <c r="AJ9" i="9" s="1"/>
  <c r="R47" i="9"/>
  <c r="AJ47" i="9" s="1"/>
  <c r="R85" i="9"/>
  <c r="AJ85" i="9" s="1"/>
  <c r="R21" i="9"/>
  <c r="AJ21" i="9" s="1"/>
  <c r="R90" i="9"/>
  <c r="R74" i="9"/>
  <c r="R58" i="9"/>
  <c r="AJ58" i="9" s="1"/>
  <c r="R42" i="9"/>
  <c r="R26" i="9"/>
  <c r="AJ26" i="9" s="1"/>
  <c r="R10" i="9"/>
  <c r="AJ10" i="9" s="1"/>
  <c r="M5" i="14"/>
  <c r="M24" i="14"/>
  <c r="M19" i="14" s="1"/>
  <c r="V103" i="9"/>
  <c r="Y103" i="9" s="1"/>
  <c r="L98" i="3"/>
  <c r="L166" i="3"/>
  <c r="L42" i="3"/>
  <c r="L173" i="3"/>
  <c r="L440" i="3"/>
  <c r="L315" i="3"/>
  <c r="R57" i="9"/>
  <c r="AJ57" i="9" s="1"/>
  <c r="R69" i="9"/>
  <c r="R38" i="9"/>
  <c r="L222" i="3"/>
  <c r="L232" i="3"/>
  <c r="L91" i="3"/>
  <c r="L164" i="3"/>
  <c r="L69" i="3"/>
  <c r="L34" i="3"/>
  <c r="L157" i="3"/>
  <c r="L406" i="3"/>
  <c r="L424" i="3"/>
  <c r="L332" i="3"/>
  <c r="L299" i="3"/>
  <c r="AB85" i="9"/>
  <c r="AD8" i="9"/>
  <c r="M15" i="6"/>
  <c r="M6" i="6"/>
  <c r="M28" i="7"/>
  <c r="AY28" i="7" s="1"/>
  <c r="G10" i="11"/>
  <c r="D89" i="11" s="1"/>
  <c r="AD49" i="9"/>
  <c r="AD12" i="9"/>
  <c r="AD76" i="9"/>
  <c r="T53" i="8"/>
  <c r="J27" i="8"/>
  <c r="T27" i="8" s="1"/>
  <c r="R51" i="9"/>
  <c r="R75" i="9"/>
  <c r="R49" i="9"/>
  <c r="AJ49" i="9" s="1"/>
  <c r="R87" i="9"/>
  <c r="V87" i="9" s="1"/>
  <c r="R23" i="9"/>
  <c r="AJ23" i="9" s="1"/>
  <c r="R61" i="9"/>
  <c r="AJ61" i="9" s="1"/>
  <c r="R100" i="9"/>
  <c r="R84" i="9"/>
  <c r="R68" i="9"/>
  <c r="R52" i="9"/>
  <c r="R36" i="9"/>
  <c r="AJ36" i="9" s="1"/>
  <c r="R20" i="9"/>
  <c r="R4" i="9"/>
  <c r="M3" i="14"/>
  <c r="L178" i="3"/>
  <c r="L76" i="3"/>
  <c r="L493" i="3"/>
  <c r="L348" i="3"/>
  <c r="R59" i="9"/>
  <c r="R19" i="9"/>
  <c r="AJ19" i="9" s="1"/>
  <c r="R95" i="9"/>
  <c r="AJ95" i="9" s="1"/>
  <c r="R31" i="9"/>
  <c r="AJ31" i="9" s="1"/>
  <c r="R5" i="9"/>
  <c r="AJ5" i="9" s="1"/>
  <c r="R86" i="9"/>
  <c r="V86" i="9" s="1"/>
  <c r="R70" i="9"/>
  <c r="R54" i="9"/>
  <c r="R22" i="9"/>
  <c r="AJ22" i="9" s="1"/>
  <c r="R6" i="9"/>
  <c r="AJ6" i="9" s="1"/>
  <c r="L206" i="3"/>
  <c r="L82" i="3"/>
  <c r="L64" i="3"/>
  <c r="L150" i="3"/>
  <c r="L16" i="3"/>
  <c r="L86" i="3"/>
  <c r="L141" i="3"/>
  <c r="L463" i="3"/>
  <c r="L404" i="3"/>
  <c r="L316" i="3"/>
  <c r="L283" i="3"/>
  <c r="AD66" i="9"/>
  <c r="AD11" i="9"/>
  <c r="M20" i="6"/>
  <c r="M14" i="6"/>
  <c r="M5" i="6"/>
  <c r="M12" i="7"/>
  <c r="AM12" i="7" s="1"/>
  <c r="W29" i="7"/>
  <c r="W11" i="7" s="1"/>
  <c r="J49" i="8"/>
  <c r="T49" i="8" s="1"/>
  <c r="J46" i="8"/>
  <c r="T46" i="8" s="1"/>
  <c r="R43" i="9"/>
  <c r="AJ43" i="9" s="1"/>
  <c r="R11" i="9"/>
  <c r="R41" i="9"/>
  <c r="V41" i="9" s="1"/>
  <c r="R79" i="9"/>
  <c r="AJ79" i="9" s="1"/>
  <c r="R15" i="9"/>
  <c r="V15" i="9" s="1"/>
  <c r="R53" i="9"/>
  <c r="AJ53" i="9" s="1"/>
  <c r="R98" i="9"/>
  <c r="AJ98" i="9" s="1"/>
  <c r="R82" i="9"/>
  <c r="AJ82" i="9" s="1"/>
  <c r="R66" i="9"/>
  <c r="AJ66" i="9" s="1"/>
  <c r="R50" i="9"/>
  <c r="R34" i="9"/>
  <c r="AJ34" i="9" s="1"/>
  <c r="R18" i="9"/>
  <c r="AJ18" i="9" s="1"/>
  <c r="M10" i="14"/>
  <c r="Y48" i="13"/>
  <c r="Y11" i="13" s="1"/>
  <c r="Z11" i="13" s="1"/>
  <c r="L59" i="3"/>
  <c r="L33" i="3"/>
  <c r="L57" i="3"/>
  <c r="L148" i="3"/>
  <c r="L23" i="3"/>
  <c r="L125" i="3"/>
  <c r="L6" i="3"/>
  <c r="L388" i="3"/>
  <c r="L300" i="3"/>
  <c r="L268" i="3"/>
  <c r="AD37" i="9"/>
  <c r="AD36" i="9"/>
  <c r="R99" i="9"/>
  <c r="AJ99" i="9" s="1"/>
  <c r="R97" i="9"/>
  <c r="AJ97" i="9" s="1"/>
  <c r="R33" i="9"/>
  <c r="R71" i="9"/>
  <c r="AJ71" i="9" s="1"/>
  <c r="R7" i="9"/>
  <c r="R45" i="9"/>
  <c r="AJ45" i="9" s="1"/>
  <c r="R96" i="9"/>
  <c r="AJ96" i="9" s="1"/>
  <c r="R80" i="9"/>
  <c r="R64" i="9"/>
  <c r="AJ64" i="9" s="1"/>
  <c r="R48" i="9"/>
  <c r="AJ48" i="9" s="1"/>
  <c r="R32" i="9"/>
  <c r="AJ32" i="9" s="1"/>
  <c r="R16" i="9"/>
  <c r="AJ16" i="9" s="1"/>
  <c r="L220" i="3"/>
  <c r="L230" i="3"/>
  <c r="L103" i="3"/>
  <c r="L134" i="3"/>
  <c r="L74" i="3"/>
  <c r="L237" i="3"/>
  <c r="L109" i="3"/>
  <c r="L255" i="3"/>
  <c r="L409" i="3"/>
  <c r="L284" i="3"/>
  <c r="M21" i="6"/>
  <c r="M11" i="6"/>
  <c r="M5" i="7"/>
  <c r="AM5" i="7" s="1"/>
  <c r="J40" i="8"/>
  <c r="T40" i="8" s="1"/>
  <c r="J14" i="8"/>
  <c r="T14" i="8" s="1"/>
  <c r="R35" i="9"/>
  <c r="AJ35" i="9" s="1"/>
  <c r="R89" i="9"/>
  <c r="V89" i="9" s="1"/>
  <c r="R25" i="9"/>
  <c r="R63" i="9"/>
  <c r="R101" i="9"/>
  <c r="R37" i="9"/>
  <c r="AJ37" i="9" s="1"/>
  <c r="R94" i="9"/>
  <c r="AJ94" i="9" s="1"/>
  <c r="R78" i="9"/>
  <c r="R62" i="9"/>
  <c r="AJ62" i="9" s="1"/>
  <c r="R46" i="9"/>
  <c r="R30" i="9"/>
  <c r="AJ30" i="9" s="1"/>
  <c r="M26" i="7"/>
  <c r="AM26" i="7" s="1"/>
  <c r="N6" i="6"/>
  <c r="M24" i="7"/>
  <c r="AT24" i="7" s="1"/>
  <c r="M8" i="7"/>
  <c r="AM8" i="7" s="1"/>
  <c r="M17" i="7"/>
  <c r="AT17" i="7" s="1"/>
  <c r="N21" i="6"/>
  <c r="N14" i="6"/>
  <c r="N5" i="6"/>
  <c r="D122" i="11"/>
  <c r="G9" i="11"/>
  <c r="D98" i="11" s="1"/>
  <c r="D82" i="11"/>
  <c r="M22" i="7"/>
  <c r="AM22" i="7" s="1"/>
  <c r="M6" i="7"/>
  <c r="AM6" i="7" s="1"/>
  <c r="M15" i="7"/>
  <c r="AT15" i="7" s="1"/>
  <c r="N22" i="6"/>
  <c r="N12" i="6"/>
  <c r="N4" i="6"/>
  <c r="D22" i="11"/>
  <c r="G8" i="11"/>
  <c r="D117" i="11" s="1"/>
  <c r="M3" i="7"/>
  <c r="AY3" i="7" s="1"/>
  <c r="G5" i="11"/>
  <c r="H5" i="11" s="1"/>
  <c r="M20" i="7"/>
  <c r="AM20" i="7" s="1"/>
  <c r="M4" i="7"/>
  <c r="AM4" i="7" s="1"/>
  <c r="M13" i="7"/>
  <c r="AY13" i="7" s="1"/>
  <c r="N20" i="6"/>
  <c r="N11" i="6"/>
  <c r="N3" i="6"/>
  <c r="D62" i="11"/>
  <c r="G4" i="11"/>
  <c r="D113" i="11" s="1"/>
  <c r="M19" i="7"/>
  <c r="AT19" i="7" s="1"/>
  <c r="G6" i="11"/>
  <c r="D65" i="11" s="1"/>
  <c r="H13" i="11"/>
  <c r="AT29" i="7"/>
  <c r="M18" i="7"/>
  <c r="AM18" i="7" s="1"/>
  <c r="M27" i="7"/>
  <c r="AY27" i="7" s="1"/>
  <c r="M11" i="7"/>
  <c r="AM11" i="7" s="1"/>
  <c r="N19" i="6"/>
  <c r="N10" i="6"/>
  <c r="D92" i="11"/>
  <c r="D102" i="11"/>
  <c r="G12" i="11"/>
  <c r="D91" i="11" s="1"/>
  <c r="AM29" i="7"/>
  <c r="M16" i="7"/>
  <c r="AT16" i="7" s="1"/>
  <c r="M25" i="7"/>
  <c r="AT25" i="7" s="1"/>
  <c r="M9" i="7"/>
  <c r="AM9" i="7" s="1"/>
  <c r="N18" i="6"/>
  <c r="N9" i="6"/>
  <c r="D52" i="11"/>
  <c r="D32" i="11"/>
  <c r="G11" i="11"/>
  <c r="D50" i="11" s="1"/>
  <c r="M10" i="7"/>
  <c r="AM10" i="7" s="1"/>
  <c r="N15" i="6"/>
  <c r="AY29" i="7"/>
  <c r="M14" i="7"/>
  <c r="AM14" i="7" s="1"/>
  <c r="M23" i="7"/>
  <c r="AM23" i="7" s="1"/>
  <c r="N17" i="6"/>
  <c r="D12" i="11"/>
  <c r="D72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L11" i="15"/>
  <c r="O11" i="15" s="1"/>
  <c r="Q11" i="15" s="1"/>
  <c r="S11" i="15" s="1"/>
  <c r="W12" i="15"/>
  <c r="L3" i="15"/>
  <c r="O3" i="15" s="1"/>
  <c r="Q3" i="15" s="1"/>
  <c r="S3" i="15" s="1"/>
  <c r="L4" i="15"/>
  <c r="O4" i="15" s="1"/>
  <c r="Q4" i="15" s="1"/>
  <c r="S4" i="15" s="1"/>
  <c r="L5" i="15"/>
  <c r="O5" i="15" s="1"/>
  <c r="Q5" i="15" s="1"/>
  <c r="S5" i="15" s="1"/>
  <c r="O12" i="15"/>
  <c r="Q12" i="15" s="1"/>
  <c r="S12" i="15" s="1"/>
  <c r="G80" i="15" s="1"/>
  <c r="L6" i="15"/>
  <c r="O6" i="15" s="1"/>
  <c r="Q6" i="15" s="1"/>
  <c r="S6" i="15" s="1"/>
  <c r="L10" i="15"/>
  <c r="O10" i="15" s="1"/>
  <c r="Q10" i="15" s="1"/>
  <c r="S10" i="15" s="1"/>
  <c r="L7" i="15"/>
  <c r="O7" i="15" s="1"/>
  <c r="Q7" i="15" s="1"/>
  <c r="S7" i="15" s="1"/>
  <c r="L8" i="15"/>
  <c r="O8" i="15" s="1"/>
  <c r="Q8" i="15" s="1"/>
  <c r="S8" i="15" s="1"/>
  <c r="L9" i="15"/>
  <c r="T9" i="15" s="1"/>
  <c r="J41" i="8"/>
  <c r="T41" i="8" s="1"/>
  <c r="J17" i="8"/>
  <c r="T17" i="8" s="1"/>
  <c r="J32" i="8"/>
  <c r="T32" i="8" s="1"/>
  <c r="J52" i="8"/>
  <c r="T52" i="8" s="1"/>
  <c r="J23" i="8"/>
  <c r="T23" i="8" s="1"/>
  <c r="J38" i="8"/>
  <c r="T38" i="8" s="1"/>
  <c r="J6" i="8"/>
  <c r="T6" i="8" s="1"/>
  <c r="J25" i="8"/>
  <c r="T25" i="8" s="1"/>
  <c r="J45" i="8"/>
  <c r="T45" i="8" s="1"/>
  <c r="J28" i="8"/>
  <c r="T28" i="8" s="1"/>
  <c r="J51" i="8"/>
  <c r="T51" i="8" s="1"/>
  <c r="J19" i="8"/>
  <c r="T19" i="8" s="1"/>
  <c r="J34" i="8"/>
  <c r="T34" i="8" s="1"/>
  <c r="N12" i="17"/>
  <c r="C12" i="17" s="1"/>
  <c r="I12" i="17" s="1"/>
  <c r="J9" i="8"/>
  <c r="T9" i="8" s="1"/>
  <c r="J29" i="8"/>
  <c r="T29" i="8" s="1"/>
  <c r="J24" i="8"/>
  <c r="T24" i="8" s="1"/>
  <c r="J47" i="8"/>
  <c r="T47" i="8" s="1"/>
  <c r="J15" i="8"/>
  <c r="T15" i="8" s="1"/>
  <c r="J30" i="8"/>
  <c r="T30" i="8" s="1"/>
  <c r="J37" i="8"/>
  <c r="T37" i="8" s="1"/>
  <c r="J13" i="8"/>
  <c r="T13" i="8" s="1"/>
  <c r="J20" i="8"/>
  <c r="T20" i="8" s="1"/>
  <c r="J43" i="8"/>
  <c r="T43" i="8" s="1"/>
  <c r="J11" i="8"/>
  <c r="T11" i="8" s="1"/>
  <c r="J26" i="8"/>
  <c r="T26" i="8" s="1"/>
  <c r="AD48" i="13"/>
  <c r="AE48" i="13" s="1"/>
  <c r="J21" i="8"/>
  <c r="T21" i="8" s="1"/>
  <c r="J48" i="8"/>
  <c r="T48" i="8" s="1"/>
  <c r="J16" i="8"/>
  <c r="T16" i="8" s="1"/>
  <c r="J39" i="8"/>
  <c r="T39" i="8" s="1"/>
  <c r="J7" i="8"/>
  <c r="T7" i="8" s="1"/>
  <c r="J22" i="8"/>
  <c r="T22" i="8" s="1"/>
  <c r="AA48" i="13"/>
  <c r="AA28" i="13" s="1"/>
  <c r="J5" i="8"/>
  <c r="T5" i="8" s="1"/>
  <c r="J44" i="8"/>
  <c r="T44" i="8" s="1"/>
  <c r="J12" i="8"/>
  <c r="T12" i="8" s="1"/>
  <c r="J35" i="8"/>
  <c r="T35" i="8" s="1"/>
  <c r="J50" i="8"/>
  <c r="T50" i="8" s="1"/>
  <c r="K251" i="3"/>
  <c r="N63" i="5"/>
  <c r="L16" i="14"/>
  <c r="L18" i="14"/>
  <c r="L20" i="14"/>
  <c r="L22" i="14"/>
  <c r="L23" i="14"/>
  <c r="L15" i="14"/>
  <c r="L17" i="14"/>
  <c r="L19" i="14"/>
  <c r="L21" i="14"/>
  <c r="G13" i="17"/>
  <c r="E13" i="17"/>
  <c r="N11" i="15"/>
  <c r="P11" i="15" s="1"/>
  <c r="R11" i="15" s="1"/>
  <c r="AB13" i="13"/>
  <c r="AB18" i="13"/>
  <c r="AB28" i="13"/>
  <c r="AB43" i="13"/>
  <c r="AB33" i="13"/>
  <c r="AB8" i="13"/>
  <c r="AB23" i="13"/>
  <c r="AB38" i="13"/>
  <c r="B5" i="17"/>
  <c r="N3" i="15"/>
  <c r="P3" i="15" s="1"/>
  <c r="R3" i="15" s="1"/>
  <c r="W9" i="13"/>
  <c r="W17" i="13"/>
  <c r="W25" i="13"/>
  <c r="W33" i="13"/>
  <c r="W41" i="13"/>
  <c r="X41" i="13" s="1"/>
  <c r="E409" i="13" s="1"/>
  <c r="W10" i="13"/>
  <c r="X10" i="13" s="1"/>
  <c r="W18" i="13"/>
  <c r="X18" i="13" s="1"/>
  <c r="W26" i="13"/>
  <c r="X26" i="13" s="1"/>
  <c r="W34" i="13"/>
  <c r="X34" i="13" s="1"/>
  <c r="W42" i="13"/>
  <c r="X42" i="13" s="1"/>
  <c r="W11" i="13"/>
  <c r="W19" i="13"/>
  <c r="W27" i="13"/>
  <c r="W35" i="13"/>
  <c r="W43" i="13"/>
  <c r="X43" i="13" s="1"/>
  <c r="W4" i="13"/>
  <c r="X4" i="13" s="1"/>
  <c r="W12" i="13"/>
  <c r="X12" i="13" s="1"/>
  <c r="W20" i="13"/>
  <c r="X20" i="13" s="1"/>
  <c r="W28" i="13"/>
  <c r="X28" i="13" s="1"/>
  <c r="W36" i="13"/>
  <c r="X36" i="13" s="1"/>
  <c r="W44" i="13"/>
  <c r="X44" i="13" s="1"/>
  <c r="W5" i="13"/>
  <c r="W13" i="13"/>
  <c r="W21" i="13"/>
  <c r="W29" i="13"/>
  <c r="W37" i="13"/>
  <c r="W45" i="13"/>
  <c r="X45" i="13" s="1"/>
  <c r="W6" i="13"/>
  <c r="X6" i="13" s="1"/>
  <c r="W14" i="13"/>
  <c r="X14" i="13" s="1"/>
  <c r="W22" i="13"/>
  <c r="X22" i="13" s="1"/>
  <c r="W30" i="13"/>
  <c r="X30" i="13" s="1"/>
  <c r="W38" i="13"/>
  <c r="X38" i="13" s="1"/>
  <c r="W46" i="13"/>
  <c r="X46" i="13" s="1"/>
  <c r="W7" i="13"/>
  <c r="W15" i="13"/>
  <c r="W23" i="13"/>
  <c r="W31" i="13"/>
  <c r="W39" i="13"/>
  <c r="X39" i="13" s="1"/>
  <c r="W47" i="13"/>
  <c r="X47" i="13" s="1"/>
  <c r="W8" i="13"/>
  <c r="X8" i="13" s="1"/>
  <c r="W16" i="13"/>
  <c r="X16" i="13" s="1"/>
  <c r="W24" i="13"/>
  <c r="X24" i="13" s="1"/>
  <c r="W32" i="13"/>
  <c r="X32" i="13" s="1"/>
  <c r="W40" i="13"/>
  <c r="X40" i="13" s="1"/>
  <c r="X48" i="13"/>
  <c r="B10" i="17"/>
  <c r="U5" i="13"/>
  <c r="V5" i="13" s="1"/>
  <c r="U13" i="13"/>
  <c r="V13" i="13" s="1"/>
  <c r="U21" i="13"/>
  <c r="V21" i="13" s="1"/>
  <c r="U29" i="13"/>
  <c r="V29" i="13" s="1"/>
  <c r="U37" i="13"/>
  <c r="V37" i="13" s="1"/>
  <c r="U45" i="13"/>
  <c r="V45" i="13" s="1"/>
  <c r="U6" i="13"/>
  <c r="V6" i="13" s="1"/>
  <c r="U14" i="13"/>
  <c r="V14" i="13" s="1"/>
  <c r="U22" i="13"/>
  <c r="V22" i="13" s="1"/>
  <c r="U30" i="13"/>
  <c r="V30" i="13" s="1"/>
  <c r="U38" i="13"/>
  <c r="V38" i="13" s="1"/>
  <c r="U46" i="13"/>
  <c r="V46" i="13" s="1"/>
  <c r="U7" i="13"/>
  <c r="V7" i="13" s="1"/>
  <c r="U15" i="13"/>
  <c r="V15" i="13" s="1"/>
  <c r="U23" i="13"/>
  <c r="V23" i="13" s="1"/>
  <c r="U31" i="13"/>
  <c r="V31" i="13" s="1"/>
  <c r="U39" i="13"/>
  <c r="V39" i="13" s="1"/>
  <c r="U47" i="13"/>
  <c r="V47" i="13" s="1"/>
  <c r="U8" i="13"/>
  <c r="V8" i="13" s="1"/>
  <c r="U16" i="13"/>
  <c r="V16" i="13" s="1"/>
  <c r="U24" i="13"/>
  <c r="V24" i="13" s="1"/>
  <c r="U32" i="13"/>
  <c r="V32" i="13" s="1"/>
  <c r="U40" i="13"/>
  <c r="V40" i="13" s="1"/>
  <c r="U9" i="13"/>
  <c r="V9" i="13" s="1"/>
  <c r="U17" i="13"/>
  <c r="V17" i="13" s="1"/>
  <c r="U25" i="13"/>
  <c r="V25" i="13" s="1"/>
  <c r="U33" i="13"/>
  <c r="V33" i="13" s="1"/>
  <c r="U41" i="13"/>
  <c r="V41" i="13" s="1"/>
  <c r="U10" i="13"/>
  <c r="V10" i="13" s="1"/>
  <c r="U18" i="13"/>
  <c r="V18" i="13" s="1"/>
  <c r="U26" i="13"/>
  <c r="V26" i="13" s="1"/>
  <c r="U34" i="13"/>
  <c r="V34" i="13" s="1"/>
  <c r="U42" i="13"/>
  <c r="V42" i="13" s="1"/>
  <c r="U11" i="13"/>
  <c r="V11" i="13" s="1"/>
  <c r="U19" i="13"/>
  <c r="V19" i="13" s="1"/>
  <c r="U27" i="13"/>
  <c r="V27" i="13" s="1"/>
  <c r="U35" i="13"/>
  <c r="V35" i="13" s="1"/>
  <c r="U43" i="13"/>
  <c r="V43" i="13" s="1"/>
  <c r="U28" i="13"/>
  <c r="V28" i="13" s="1"/>
  <c r="U36" i="13"/>
  <c r="V36" i="13" s="1"/>
  <c r="U44" i="13"/>
  <c r="V44" i="13" s="1"/>
  <c r="U4" i="13"/>
  <c r="V4" i="13" s="1"/>
  <c r="U12" i="13"/>
  <c r="V12" i="13" s="1"/>
  <c r="U20" i="13"/>
  <c r="V20" i="13" s="1"/>
  <c r="V48" i="13"/>
  <c r="N10" i="15"/>
  <c r="P10" i="15" s="1"/>
  <c r="R10" i="15" s="1"/>
  <c r="B8" i="17"/>
  <c r="N8" i="15"/>
  <c r="P8" i="15" s="1"/>
  <c r="R8" i="15" s="1"/>
  <c r="U4" i="14"/>
  <c r="U6" i="14"/>
  <c r="U8" i="14"/>
  <c r="U10" i="14"/>
  <c r="U12" i="14"/>
  <c r="U14" i="14"/>
  <c r="U16" i="14"/>
  <c r="U18" i="14"/>
  <c r="U20" i="14"/>
  <c r="U22" i="14"/>
  <c r="U24" i="14"/>
  <c r="U26" i="14"/>
  <c r="U28" i="14"/>
  <c r="U30" i="14"/>
  <c r="U32" i="14"/>
  <c r="U34" i="14"/>
  <c r="U36" i="14"/>
  <c r="U38" i="14"/>
  <c r="U40" i="14"/>
  <c r="U42" i="14"/>
  <c r="U44" i="14"/>
  <c r="U46" i="14"/>
  <c r="U48" i="14"/>
  <c r="U50" i="14"/>
  <c r="U52" i="14"/>
  <c r="U54" i="14"/>
  <c r="U56" i="14"/>
  <c r="U58" i="14"/>
  <c r="U60" i="14"/>
  <c r="U62" i="14"/>
  <c r="U64" i="14"/>
  <c r="U66" i="14"/>
  <c r="U68" i="14"/>
  <c r="U70" i="14"/>
  <c r="U72" i="14"/>
  <c r="U74" i="14"/>
  <c r="U76" i="14"/>
  <c r="U78" i="14"/>
  <c r="U80" i="14"/>
  <c r="U82" i="14"/>
  <c r="U84" i="14"/>
  <c r="U86" i="14"/>
  <c r="U88" i="14"/>
  <c r="U90" i="14"/>
  <c r="U92" i="14"/>
  <c r="U94" i="14"/>
  <c r="U96" i="14"/>
  <c r="U98" i="14"/>
  <c r="U100" i="14"/>
  <c r="U3" i="14"/>
  <c r="U5" i="14"/>
  <c r="U7" i="14"/>
  <c r="U9" i="14"/>
  <c r="U11" i="14"/>
  <c r="U13" i="14"/>
  <c r="U15" i="14"/>
  <c r="U17" i="14"/>
  <c r="U19" i="14"/>
  <c r="U21" i="14"/>
  <c r="U23" i="14"/>
  <c r="U25" i="14"/>
  <c r="U27" i="14"/>
  <c r="U29" i="14"/>
  <c r="U31" i="14"/>
  <c r="U33" i="14"/>
  <c r="U35" i="14"/>
  <c r="U37" i="14"/>
  <c r="U39" i="14"/>
  <c r="U41" i="14"/>
  <c r="U43" i="14"/>
  <c r="U45" i="14"/>
  <c r="U47" i="14"/>
  <c r="U49" i="14"/>
  <c r="U51" i="14"/>
  <c r="U53" i="14"/>
  <c r="U55" i="14"/>
  <c r="U57" i="14"/>
  <c r="U59" i="14"/>
  <c r="U61" i="14"/>
  <c r="U63" i="14"/>
  <c r="U65" i="14"/>
  <c r="U67" i="14"/>
  <c r="U69" i="14"/>
  <c r="U71" i="14"/>
  <c r="U73" i="14"/>
  <c r="U75" i="14"/>
  <c r="U77" i="14"/>
  <c r="U79" i="14"/>
  <c r="U81" i="14"/>
  <c r="U83" i="14"/>
  <c r="U85" i="14"/>
  <c r="U87" i="14"/>
  <c r="U89" i="14"/>
  <c r="U91" i="14"/>
  <c r="U93" i="14"/>
  <c r="U95" i="14"/>
  <c r="U97" i="14"/>
  <c r="U99" i="14"/>
  <c r="U101" i="14"/>
  <c r="B7" i="17"/>
  <c r="O7" i="17"/>
  <c r="B6" i="17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N7" i="15"/>
  <c r="P7" i="15" s="1"/>
  <c r="R7" i="15" s="1"/>
  <c r="AC28" i="13"/>
  <c r="AC43" i="13"/>
  <c r="AC18" i="13"/>
  <c r="AC33" i="13"/>
  <c r="AC8" i="13"/>
  <c r="AC23" i="13"/>
  <c r="AC38" i="13"/>
  <c r="AC13" i="13"/>
  <c r="B4" i="17"/>
  <c r="B11" i="17"/>
  <c r="N6" i="15"/>
  <c r="P6" i="15" s="1"/>
  <c r="R6" i="15" s="1"/>
  <c r="J4" i="14"/>
  <c r="W102" i="14"/>
  <c r="J5" i="14"/>
  <c r="J6" i="14"/>
  <c r="J24" i="14"/>
  <c r="J7" i="14"/>
  <c r="J8" i="14"/>
  <c r="J9" i="14"/>
  <c r="J10" i="14"/>
  <c r="J3" i="14"/>
  <c r="J11" i="14"/>
  <c r="B9" i="17"/>
  <c r="F7" i="17"/>
  <c r="I7" i="17"/>
  <c r="N5" i="15"/>
  <c r="P5" i="15" s="1"/>
  <c r="R5" i="15" s="1"/>
  <c r="B12" i="17"/>
  <c r="N4" i="15"/>
  <c r="P4" i="15" s="1"/>
  <c r="R4" i="15" s="1"/>
  <c r="P21" i="6"/>
  <c r="P6" i="6"/>
  <c r="P10" i="6"/>
  <c r="P15" i="6"/>
  <c r="P19" i="6"/>
  <c r="O23" i="6"/>
  <c r="P3" i="6"/>
  <c r="P7" i="6"/>
  <c r="P11" i="6"/>
  <c r="P16" i="6"/>
  <c r="P20" i="6"/>
  <c r="P4" i="6"/>
  <c r="P8" i="6"/>
  <c r="P12" i="6"/>
  <c r="P17" i="6"/>
  <c r="P5" i="6"/>
  <c r="P9" i="6"/>
  <c r="P14" i="6"/>
  <c r="P18" i="6"/>
  <c r="P22" i="6"/>
  <c r="H9" i="10"/>
  <c r="W39" i="8"/>
  <c r="W7" i="8"/>
  <c r="AS13" i="7"/>
  <c r="AX13" i="7"/>
  <c r="AL13" i="7"/>
  <c r="AS22" i="7"/>
  <c r="AL22" i="7"/>
  <c r="AX22" i="7"/>
  <c r="AS6" i="7"/>
  <c r="AL6" i="7"/>
  <c r="AX6" i="7"/>
  <c r="Q5" i="12"/>
  <c r="S5" i="12" s="1"/>
  <c r="T5" i="12"/>
  <c r="Q27" i="12"/>
  <c r="S27" i="12" s="1"/>
  <c r="T27" i="12"/>
  <c r="Q25" i="12"/>
  <c r="S25" i="12" s="1"/>
  <c r="T25" i="12"/>
  <c r="Q31" i="12"/>
  <c r="S31" i="12" s="1"/>
  <c r="T31" i="12"/>
  <c r="AE15" i="9"/>
  <c r="AH15" i="9"/>
  <c r="D161" i="11"/>
  <c r="D231" i="11"/>
  <c r="D191" i="11"/>
  <c r="D221" i="11"/>
  <c r="D181" i="11"/>
  <c r="D141" i="11"/>
  <c r="D211" i="11"/>
  <c r="D171" i="11"/>
  <c r="D241" i="11"/>
  <c r="D131" i="11"/>
  <c r="D201" i="11"/>
  <c r="D151" i="11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Q23" i="6"/>
  <c r="H8" i="10"/>
  <c r="W35" i="8"/>
  <c r="AS27" i="7"/>
  <c r="AL27" i="7"/>
  <c r="AX27" i="7"/>
  <c r="AS11" i="7"/>
  <c r="AL11" i="7"/>
  <c r="AX11" i="7"/>
  <c r="AL20" i="7"/>
  <c r="AX20" i="7"/>
  <c r="AS20" i="7"/>
  <c r="AL4" i="7"/>
  <c r="AX4" i="7"/>
  <c r="AS4" i="7"/>
  <c r="T36" i="12"/>
  <c r="Q36" i="12"/>
  <c r="S36" i="12" s="1"/>
  <c r="Q19" i="12"/>
  <c r="S19" i="12" s="1"/>
  <c r="T19" i="12"/>
  <c r="Q17" i="12"/>
  <c r="S17" i="12" s="1"/>
  <c r="T17" i="12"/>
  <c r="Q23" i="12"/>
  <c r="S23" i="12" s="1"/>
  <c r="T23" i="12"/>
  <c r="AJ14" i="9"/>
  <c r="H6" i="10"/>
  <c r="AK65" i="9"/>
  <c r="D234" i="11"/>
  <c r="D194" i="11"/>
  <c r="D144" i="11"/>
  <c r="D154" i="11"/>
  <c r="D224" i="11"/>
  <c r="D184" i="11"/>
  <c r="D204" i="11"/>
  <c r="D164" i="11"/>
  <c r="D174" i="11"/>
  <c r="D124" i="11"/>
  <c r="D134" i="11"/>
  <c r="D214" i="11"/>
  <c r="U5" i="7"/>
  <c r="U7" i="7"/>
  <c r="U9" i="7"/>
  <c r="U11" i="7"/>
  <c r="U13" i="7"/>
  <c r="U15" i="7"/>
  <c r="U17" i="7"/>
  <c r="U19" i="7"/>
  <c r="U21" i="7"/>
  <c r="U23" i="7"/>
  <c r="U25" i="7"/>
  <c r="U27" i="7"/>
  <c r="T29" i="7"/>
  <c r="U3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V29" i="7"/>
  <c r="BA29" i="7"/>
  <c r="AO29" i="7"/>
  <c r="AE93" i="9"/>
  <c r="AH93" i="9"/>
  <c r="S3" i="7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R29" i="7"/>
  <c r="S5" i="7"/>
  <c r="S13" i="7"/>
  <c r="S21" i="7"/>
  <c r="S11" i="7"/>
  <c r="S19" i="7"/>
  <c r="S27" i="7"/>
  <c r="S9" i="7"/>
  <c r="S17" i="7"/>
  <c r="S25" i="7"/>
  <c r="S7" i="7"/>
  <c r="S15" i="7"/>
  <c r="S23" i="7"/>
  <c r="D207" i="11"/>
  <c r="D167" i="11"/>
  <c r="D237" i="11"/>
  <c r="D197" i="11"/>
  <c r="D147" i="11"/>
  <c r="D227" i="11"/>
  <c r="D187" i="11"/>
  <c r="D157" i="11"/>
  <c r="D177" i="11"/>
  <c r="D127" i="11"/>
  <c r="D137" i="11"/>
  <c r="D217" i="11"/>
  <c r="T3" i="6"/>
  <c r="T4" i="6"/>
  <c r="T5" i="6"/>
  <c r="T6" i="6"/>
  <c r="T7" i="6"/>
  <c r="T8" i="6"/>
  <c r="T9" i="6"/>
  <c r="T10" i="6"/>
  <c r="T11" i="6"/>
  <c r="T12" i="6"/>
  <c r="T14" i="6"/>
  <c r="T15" i="6"/>
  <c r="T16" i="6"/>
  <c r="T17" i="6"/>
  <c r="T18" i="6"/>
  <c r="T19" i="6"/>
  <c r="T20" i="6"/>
  <c r="T22" i="6"/>
  <c r="T21" i="6"/>
  <c r="S23" i="6"/>
  <c r="H7" i="10"/>
  <c r="AK83" i="9"/>
  <c r="AK19" i="9"/>
  <c r="W31" i="8"/>
  <c r="AL25" i="7"/>
  <c r="AX25" i="7"/>
  <c r="AS25" i="7"/>
  <c r="AL9" i="7"/>
  <c r="AX9" i="7"/>
  <c r="AS9" i="7"/>
  <c r="AL18" i="7"/>
  <c r="AX18" i="7"/>
  <c r="AS18" i="7"/>
  <c r="AS3" i="7"/>
  <c r="AL3" i="7"/>
  <c r="AX3" i="7"/>
  <c r="T4" i="12"/>
  <c r="V4" i="12" s="1"/>
  <c r="Q4" i="12"/>
  <c r="S4" i="12" s="1"/>
  <c r="Q11" i="12"/>
  <c r="S11" i="12" s="1"/>
  <c r="T11" i="12"/>
  <c r="Q9" i="12"/>
  <c r="S9" i="12" s="1"/>
  <c r="T9" i="12"/>
  <c r="T15" i="12"/>
  <c r="Q15" i="12"/>
  <c r="S15" i="12" s="1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N29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U29" i="7"/>
  <c r="AF29" i="7"/>
  <c r="AN29" i="7"/>
  <c r="AZ29" i="7"/>
  <c r="AS16" i="7"/>
  <c r="AL16" i="7"/>
  <c r="AX16" i="7"/>
  <c r="J39" i="12"/>
  <c r="J279" i="12"/>
  <c r="J199" i="12"/>
  <c r="J319" i="12"/>
  <c r="J119" i="12"/>
  <c r="J239" i="12"/>
  <c r="J359" i="12"/>
  <c r="J79" i="12"/>
  <c r="J159" i="12"/>
  <c r="Q34" i="12"/>
  <c r="S34" i="12" s="1"/>
  <c r="T34" i="12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3" i="7"/>
  <c r="P29" i="7"/>
  <c r="Q5" i="7"/>
  <c r="Q7" i="7"/>
  <c r="Q9" i="7"/>
  <c r="Q11" i="7"/>
  <c r="Q13" i="7"/>
  <c r="Q15" i="7"/>
  <c r="Q17" i="7"/>
  <c r="Q19" i="7"/>
  <c r="Q21" i="7"/>
  <c r="Q23" i="7"/>
  <c r="Q25" i="7"/>
  <c r="Q27" i="7"/>
  <c r="D235" i="11"/>
  <c r="D195" i="11"/>
  <c r="D145" i="11"/>
  <c r="D155" i="11"/>
  <c r="D225" i="11"/>
  <c r="D185" i="11"/>
  <c r="D215" i="11"/>
  <c r="D175" i="11"/>
  <c r="D135" i="11"/>
  <c r="D125" i="11"/>
  <c r="D205" i="11"/>
  <c r="D165" i="11"/>
  <c r="H5" i="10"/>
  <c r="H7" i="11"/>
  <c r="D206" i="11"/>
  <c r="D166" i="11"/>
  <c r="D236" i="11"/>
  <c r="D196" i="11"/>
  <c r="D146" i="11"/>
  <c r="D156" i="11"/>
  <c r="D216" i="11"/>
  <c r="D176" i="11"/>
  <c r="D136" i="11"/>
  <c r="D126" i="11"/>
  <c r="D226" i="11"/>
  <c r="D186" i="11"/>
  <c r="M5" i="10"/>
  <c r="H14" i="10"/>
  <c r="H24" i="10"/>
  <c r="H4" i="10"/>
  <c r="AK93" i="9"/>
  <c r="AK29" i="9"/>
  <c r="W51" i="8"/>
  <c r="W19" i="8"/>
  <c r="AS19" i="7"/>
  <c r="AL19" i="7"/>
  <c r="AX19" i="7"/>
  <c r="AL28" i="7"/>
  <c r="AX28" i="7"/>
  <c r="AS28" i="7"/>
  <c r="AL12" i="7"/>
  <c r="AX12" i="7"/>
  <c r="AS12" i="7"/>
  <c r="Q13" i="12"/>
  <c r="S13" i="12" s="1"/>
  <c r="T13" i="12"/>
  <c r="Q21" i="12"/>
  <c r="S21" i="12" s="1"/>
  <c r="T21" i="12"/>
  <c r="Q18" i="12"/>
  <c r="S18" i="12" s="1"/>
  <c r="T18" i="12"/>
  <c r="Q16" i="12"/>
  <c r="S16" i="12" s="1"/>
  <c r="T16" i="12"/>
  <c r="Q22" i="12"/>
  <c r="S22" i="12" s="1"/>
  <c r="T22" i="12"/>
  <c r="H6" i="8"/>
  <c r="H14" i="8"/>
  <c r="H22" i="8"/>
  <c r="H30" i="8"/>
  <c r="H38" i="8"/>
  <c r="H46" i="8"/>
  <c r="H7" i="8"/>
  <c r="Q7" i="8" s="1"/>
  <c r="H15" i="8"/>
  <c r="Q15" i="8" s="1"/>
  <c r="H23" i="8"/>
  <c r="Q23" i="8" s="1"/>
  <c r="H31" i="8"/>
  <c r="Q31" i="8" s="1"/>
  <c r="H39" i="8"/>
  <c r="Q39" i="8" s="1"/>
  <c r="H47" i="8"/>
  <c r="Q47" i="8" s="1"/>
  <c r="H8" i="8"/>
  <c r="H16" i="8"/>
  <c r="H24" i="8"/>
  <c r="H32" i="8"/>
  <c r="H40" i="8"/>
  <c r="H48" i="8"/>
  <c r="H9" i="8"/>
  <c r="H17" i="8"/>
  <c r="H25" i="8"/>
  <c r="H33" i="8"/>
  <c r="H41" i="8"/>
  <c r="H49" i="8"/>
  <c r="H10" i="8"/>
  <c r="H18" i="8"/>
  <c r="H26" i="8"/>
  <c r="H34" i="8"/>
  <c r="H42" i="8"/>
  <c r="H50" i="8"/>
  <c r="H11" i="8"/>
  <c r="Q11" i="8" s="1"/>
  <c r="H19" i="8"/>
  <c r="Q19" i="8" s="1"/>
  <c r="H27" i="8"/>
  <c r="Q27" i="8" s="1"/>
  <c r="H35" i="8"/>
  <c r="Q35" i="8" s="1"/>
  <c r="H43" i="8"/>
  <c r="Q43" i="8" s="1"/>
  <c r="H51" i="8"/>
  <c r="Q51" i="8" s="1"/>
  <c r="H20" i="8"/>
  <c r="H52" i="8"/>
  <c r="H21" i="8"/>
  <c r="H28" i="8"/>
  <c r="H29" i="8"/>
  <c r="H4" i="8"/>
  <c r="H36" i="8"/>
  <c r="H5" i="8"/>
  <c r="H37" i="8"/>
  <c r="H12" i="8"/>
  <c r="H13" i="8"/>
  <c r="H44" i="8"/>
  <c r="H45" i="8"/>
  <c r="K53" i="8"/>
  <c r="Q53" i="8"/>
  <c r="W27" i="8"/>
  <c r="AL7" i="7"/>
  <c r="AS7" i="7"/>
  <c r="AX7" i="7"/>
  <c r="Q29" i="12"/>
  <c r="S29" i="12" s="1"/>
  <c r="T29" i="12"/>
  <c r="T7" i="12"/>
  <c r="Q7" i="12"/>
  <c r="S7" i="12" s="1"/>
  <c r="D230" i="11"/>
  <c r="D190" i="11"/>
  <c r="D220" i="11"/>
  <c r="D180" i="11"/>
  <c r="D140" i="11"/>
  <c r="D130" i="11"/>
  <c r="D240" i="11"/>
  <c r="D200" i="11"/>
  <c r="D150" i="11"/>
  <c r="D160" i="11"/>
  <c r="D210" i="11"/>
  <c r="D170" i="11"/>
  <c r="W23" i="8"/>
  <c r="AS5" i="7"/>
  <c r="AL5" i="7"/>
  <c r="AX5" i="7"/>
  <c r="T28" i="12"/>
  <c r="Q28" i="12"/>
  <c r="S28" i="12" s="1"/>
  <c r="Q26" i="12"/>
  <c r="S26" i="12" s="1"/>
  <c r="T26" i="12"/>
  <c r="Q30" i="12"/>
  <c r="S30" i="12" s="1"/>
  <c r="T30" i="12"/>
  <c r="D219" i="11"/>
  <c r="D179" i="11"/>
  <c r="D139" i="11"/>
  <c r="D129" i="11"/>
  <c r="D209" i="11"/>
  <c r="D169" i="11"/>
  <c r="D239" i="11"/>
  <c r="D199" i="11"/>
  <c r="D149" i="11"/>
  <c r="D159" i="11"/>
  <c r="D229" i="11"/>
  <c r="D189" i="11"/>
  <c r="H11" i="10"/>
  <c r="W47" i="8"/>
  <c r="W15" i="8"/>
  <c r="AA29" i="7"/>
  <c r="AL17" i="7"/>
  <c r="AX17" i="7"/>
  <c r="AS17" i="7"/>
  <c r="AL26" i="7"/>
  <c r="AX26" i="7"/>
  <c r="AS26" i="7"/>
  <c r="AL10" i="7"/>
  <c r="AX10" i="7"/>
  <c r="AS10" i="7"/>
  <c r="T12" i="12"/>
  <c r="Q12" i="12"/>
  <c r="S12" i="12" s="1"/>
  <c r="T20" i="12"/>
  <c r="Q20" i="12"/>
  <c r="S20" i="12" s="1"/>
  <c r="Q10" i="12"/>
  <c r="S10" i="12" s="1"/>
  <c r="T10" i="12"/>
  <c r="Q8" i="12"/>
  <c r="S8" i="12" s="1"/>
  <c r="T8" i="12"/>
  <c r="Q14" i="12"/>
  <c r="S14" i="12" s="1"/>
  <c r="T14" i="12"/>
  <c r="D153" i="11"/>
  <c r="D223" i="11"/>
  <c r="D183" i="11"/>
  <c r="D213" i="11"/>
  <c r="D173" i="11"/>
  <c r="D133" i="11"/>
  <c r="D123" i="11"/>
  <c r="D203" i="11"/>
  <c r="D163" i="11"/>
  <c r="D233" i="11"/>
  <c r="D193" i="11"/>
  <c r="D143" i="11"/>
  <c r="AL23" i="7"/>
  <c r="AX23" i="7"/>
  <c r="AS23" i="7"/>
  <c r="Q32" i="12"/>
  <c r="S32" i="12" s="1"/>
  <c r="T32" i="12"/>
  <c r="AK47" i="9"/>
  <c r="AT7" i="7"/>
  <c r="AY7" i="7"/>
  <c r="AM7" i="7"/>
  <c r="D116" i="11"/>
  <c r="D76" i="11"/>
  <c r="D36" i="11"/>
  <c r="D106" i="11"/>
  <c r="D66" i="11"/>
  <c r="D26" i="11"/>
  <c r="D86" i="11"/>
  <c r="D46" i="11"/>
  <c r="D96" i="11"/>
  <c r="D56" i="11"/>
  <c r="D16" i="11"/>
  <c r="D6" i="11"/>
  <c r="AS21" i="7"/>
  <c r="AL21" i="7"/>
  <c r="AX21" i="7"/>
  <c r="AS14" i="7"/>
  <c r="AL14" i="7"/>
  <c r="AX14" i="7"/>
  <c r="Q24" i="12"/>
  <c r="S24" i="12" s="1"/>
  <c r="T24" i="12"/>
  <c r="D218" i="11"/>
  <c r="D178" i="11"/>
  <c r="D138" i="11"/>
  <c r="D208" i="11"/>
  <c r="D168" i="11"/>
  <c r="D158" i="11"/>
  <c r="D228" i="11"/>
  <c r="D188" i="11"/>
  <c r="D238" i="11"/>
  <c r="D128" i="11"/>
  <c r="D198" i="11"/>
  <c r="D148" i="11"/>
  <c r="H10" i="10"/>
  <c r="H3" i="10"/>
  <c r="W43" i="8"/>
  <c r="W11" i="8"/>
  <c r="AL15" i="7"/>
  <c r="AX15" i="7"/>
  <c r="AS15" i="7"/>
  <c r="AS24" i="7"/>
  <c r="AL24" i="7"/>
  <c r="AX24" i="7"/>
  <c r="AS8" i="7"/>
  <c r="AX8" i="7"/>
  <c r="AL8" i="7"/>
  <c r="Q37" i="12"/>
  <c r="S37" i="12" s="1"/>
  <c r="T37" i="12"/>
  <c r="Q35" i="12"/>
  <c r="S35" i="12" s="1"/>
  <c r="T35" i="12"/>
  <c r="Q33" i="12"/>
  <c r="S33" i="12" s="1"/>
  <c r="T33" i="12"/>
  <c r="Q38" i="12"/>
  <c r="S38" i="12" s="1"/>
  <c r="T38" i="12"/>
  <c r="T6" i="12"/>
  <c r="Q6" i="12"/>
  <c r="S6" i="12" s="1"/>
  <c r="N42" i="5"/>
  <c r="N104" i="5"/>
  <c r="N97" i="5"/>
  <c r="N41" i="5"/>
  <c r="N102" i="5"/>
  <c r="N75" i="5"/>
  <c r="N43" i="5"/>
  <c r="N11" i="5"/>
  <c r="N52" i="5"/>
  <c r="N20" i="5"/>
  <c r="N65" i="5"/>
  <c r="N79" i="5"/>
  <c r="N9" i="5"/>
  <c r="N88" i="5"/>
  <c r="N70" i="5"/>
  <c r="N93" i="5"/>
  <c r="N69" i="5"/>
  <c r="N61" i="5"/>
  <c r="N29" i="5"/>
  <c r="N55" i="5"/>
  <c r="N38" i="5"/>
  <c r="N66" i="5"/>
  <c r="N49" i="5"/>
  <c r="N47" i="5"/>
  <c r="N24" i="5"/>
  <c r="N96" i="5"/>
  <c r="N90" i="5"/>
  <c r="N30" i="5"/>
  <c r="N51" i="5"/>
  <c r="N86" i="5"/>
  <c r="N99" i="5"/>
  <c r="N58" i="5"/>
  <c r="N26" i="5"/>
  <c r="N92" i="5"/>
  <c r="N40" i="5"/>
  <c r="N60" i="5"/>
  <c r="N28" i="5"/>
  <c r="N39" i="5"/>
  <c r="N37" i="5"/>
  <c r="N50" i="5"/>
  <c r="N48" i="5"/>
  <c r="N31" i="5"/>
  <c r="N89" i="5"/>
  <c r="N94" i="5"/>
  <c r="N62" i="5"/>
  <c r="N71" i="5"/>
  <c r="N19" i="5"/>
  <c r="N73" i="5"/>
  <c r="N84" i="5"/>
  <c r="N98" i="5"/>
  <c r="N95" i="5"/>
  <c r="N91" i="5"/>
  <c r="N25" i="5"/>
  <c r="N59" i="5"/>
  <c r="N27" i="5"/>
  <c r="N23" i="5"/>
  <c r="N36" i="5"/>
  <c r="N34" i="5"/>
  <c r="N33" i="5"/>
  <c r="N15" i="5"/>
  <c r="N101" i="5"/>
  <c r="N68" i="5"/>
  <c r="N82" i="5"/>
  <c r="N72" i="5"/>
  <c r="N74" i="5"/>
  <c r="N78" i="5"/>
  <c r="N46" i="5"/>
  <c r="N14" i="5"/>
  <c r="N7" i="5"/>
  <c r="N6" i="5" s="1"/>
  <c r="N35" i="5"/>
  <c r="N18" i="5"/>
  <c r="N32" i="5"/>
  <c r="N100" i="5"/>
  <c r="N87" i="5"/>
  <c r="N57" i="5"/>
  <c r="N67" i="5"/>
  <c r="N10" i="5"/>
  <c r="N77" i="5"/>
  <c r="N45" i="5"/>
  <c r="N13" i="5"/>
  <c r="N54" i="5"/>
  <c r="N22" i="5"/>
  <c r="N81" i="5"/>
  <c r="N17" i="5"/>
  <c r="N64" i="5"/>
  <c r="N85" i="5"/>
  <c r="N83" i="5"/>
  <c r="N8" i="5"/>
  <c r="N56" i="5"/>
  <c r="N103" i="5"/>
  <c r="N76" i="5"/>
  <c r="N44" i="5"/>
  <c r="N12" i="5"/>
  <c r="N53" i="5"/>
  <c r="N21" i="5"/>
  <c r="N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P105" i="5"/>
  <c r="Q10" i="5"/>
  <c r="P10" i="5" s="1"/>
  <c r="Q11" i="5"/>
  <c r="P11" i="5" s="1"/>
  <c r="Q12" i="5"/>
  <c r="P12" i="5" s="1"/>
  <c r="Q13" i="5"/>
  <c r="P13" i="5" s="1"/>
  <c r="Q26" i="5"/>
  <c r="P26" i="5" s="1"/>
  <c r="Q27" i="5"/>
  <c r="P27" i="5" s="1"/>
  <c r="Q28" i="5"/>
  <c r="P28" i="5" s="1"/>
  <c r="Q29" i="5"/>
  <c r="P29" i="5" s="1"/>
  <c r="Q42" i="5"/>
  <c r="P42" i="5" s="1"/>
  <c r="Q43" i="5"/>
  <c r="P43" i="5" s="1"/>
  <c r="Q44" i="5"/>
  <c r="P44" i="5" s="1"/>
  <c r="Q45" i="5"/>
  <c r="P45" i="5" s="1"/>
  <c r="Q58" i="5"/>
  <c r="P58" i="5" s="1"/>
  <c r="Q59" i="5"/>
  <c r="P59" i="5" s="1"/>
  <c r="Q60" i="5"/>
  <c r="P60" i="5" s="1"/>
  <c r="Q61" i="5"/>
  <c r="P61" i="5" s="1"/>
  <c r="Q74" i="5"/>
  <c r="P74" i="5" s="1"/>
  <c r="Q75" i="5"/>
  <c r="P75" i="5" s="1"/>
  <c r="Q76" i="5"/>
  <c r="P76" i="5" s="1"/>
  <c r="Q77" i="5"/>
  <c r="P77" i="5" s="1"/>
  <c r="Q14" i="5"/>
  <c r="P14" i="5" s="1"/>
  <c r="Q30" i="5"/>
  <c r="P30" i="5" s="1"/>
  <c r="Q46" i="5"/>
  <c r="P46" i="5" s="1"/>
  <c r="Q62" i="5"/>
  <c r="P62" i="5" s="1"/>
  <c r="Q78" i="5"/>
  <c r="P78" i="5" s="1"/>
  <c r="Q15" i="5"/>
  <c r="P15" i="5" s="1"/>
  <c r="Q16" i="5"/>
  <c r="P16" i="5" s="1"/>
  <c r="Q31" i="5"/>
  <c r="P31" i="5" s="1"/>
  <c r="Q32" i="5"/>
  <c r="P32" i="5" s="1"/>
  <c r="Q47" i="5"/>
  <c r="P47" i="5" s="1"/>
  <c r="Q48" i="5"/>
  <c r="P48" i="5" s="1"/>
  <c r="Q63" i="5"/>
  <c r="P63" i="5" s="1"/>
  <c r="Q64" i="5"/>
  <c r="P64" i="5" s="1"/>
  <c r="Q79" i="5"/>
  <c r="P79" i="5" s="1"/>
  <c r="Q80" i="5"/>
  <c r="P80" i="5" s="1"/>
  <c r="Q17" i="5"/>
  <c r="P17" i="5" s="1"/>
  <c r="Q33" i="5"/>
  <c r="P33" i="5" s="1"/>
  <c r="Q49" i="5"/>
  <c r="P49" i="5" s="1"/>
  <c r="Q65" i="5"/>
  <c r="P65" i="5" s="1"/>
  <c r="Q18" i="5"/>
  <c r="P18" i="5" s="1"/>
  <c r="Q19" i="5"/>
  <c r="P19" i="5" s="1"/>
  <c r="Q20" i="5"/>
  <c r="P20" i="5" s="1"/>
  <c r="Q21" i="5"/>
  <c r="P21" i="5" s="1"/>
  <c r="Q34" i="5"/>
  <c r="P34" i="5" s="1"/>
  <c r="Q35" i="5"/>
  <c r="P35" i="5" s="1"/>
  <c r="Q36" i="5"/>
  <c r="P36" i="5" s="1"/>
  <c r="Q37" i="5"/>
  <c r="P37" i="5" s="1"/>
  <c r="Q50" i="5"/>
  <c r="P50" i="5" s="1"/>
  <c r="Q51" i="5"/>
  <c r="P51" i="5" s="1"/>
  <c r="Q52" i="5"/>
  <c r="P52" i="5" s="1"/>
  <c r="Q53" i="5"/>
  <c r="P53" i="5" s="1"/>
  <c r="Q66" i="5"/>
  <c r="P66" i="5" s="1"/>
  <c r="Q67" i="5"/>
  <c r="P67" i="5" s="1"/>
  <c r="Q68" i="5"/>
  <c r="P68" i="5" s="1"/>
  <c r="Q69" i="5"/>
  <c r="P69" i="5" s="1"/>
  <c r="Q9" i="5"/>
  <c r="P9" i="5" s="1"/>
  <c r="Q25" i="5"/>
  <c r="P25" i="5" s="1"/>
  <c r="Q41" i="5"/>
  <c r="P41" i="5" s="1"/>
  <c r="Q57" i="5"/>
  <c r="P57" i="5" s="1"/>
  <c r="Q73" i="5"/>
  <c r="P73" i="5" s="1"/>
  <c r="Q71" i="5"/>
  <c r="P71" i="5" s="1"/>
  <c r="Q87" i="5"/>
  <c r="P87" i="5" s="1"/>
  <c r="Q88" i="5"/>
  <c r="P88" i="5" s="1"/>
  <c r="Q104" i="5"/>
  <c r="P104" i="5" s="1"/>
  <c r="Q40" i="5"/>
  <c r="P40" i="5" s="1"/>
  <c r="Q55" i="5"/>
  <c r="P55" i="5" s="1"/>
  <c r="Q89" i="5"/>
  <c r="P89" i="5" s="1"/>
  <c r="Q102" i="5"/>
  <c r="P102" i="5" s="1"/>
  <c r="Q103" i="5"/>
  <c r="P103" i="5" s="1"/>
  <c r="Q22" i="5"/>
  <c r="P22" i="5" s="1"/>
  <c r="Q90" i="5"/>
  <c r="P90" i="5" s="1"/>
  <c r="Q91" i="5"/>
  <c r="P91" i="5" s="1"/>
  <c r="Q92" i="5"/>
  <c r="P92" i="5" s="1"/>
  <c r="Q93" i="5"/>
  <c r="P93" i="5" s="1"/>
  <c r="Q7" i="5"/>
  <c r="Q56" i="5"/>
  <c r="P56" i="5" s="1"/>
  <c r="Q72" i="5"/>
  <c r="P72" i="5" s="1"/>
  <c r="Q94" i="5"/>
  <c r="P94" i="5" s="1"/>
  <c r="Q38" i="5"/>
  <c r="P38" i="5" s="1"/>
  <c r="Q70" i="5"/>
  <c r="P70" i="5" s="1"/>
  <c r="Q95" i="5"/>
  <c r="P95" i="5" s="1"/>
  <c r="Q96" i="5"/>
  <c r="P96" i="5" s="1"/>
  <c r="Q24" i="5"/>
  <c r="P24" i="5" s="1"/>
  <c r="Q39" i="5"/>
  <c r="P39" i="5" s="1"/>
  <c r="Q81" i="5"/>
  <c r="P81" i="5" s="1"/>
  <c r="Q86" i="5"/>
  <c r="P86" i="5" s="1"/>
  <c r="Q83" i="5"/>
  <c r="P83" i="5" s="1"/>
  <c r="Q98" i="5"/>
  <c r="P98" i="5" s="1"/>
  <c r="Q8" i="5"/>
  <c r="P8" i="5" s="1"/>
  <c r="Q23" i="5"/>
  <c r="P23" i="5" s="1"/>
  <c r="Q54" i="5"/>
  <c r="P54" i="5" s="1"/>
  <c r="Q84" i="5"/>
  <c r="P84" i="5" s="1"/>
  <c r="Q99" i="5"/>
  <c r="P99" i="5" s="1"/>
  <c r="Q85" i="5"/>
  <c r="P85" i="5" s="1"/>
  <c r="Q100" i="5"/>
  <c r="P100" i="5" s="1"/>
  <c r="Q82" i="5"/>
  <c r="P82" i="5" s="1"/>
  <c r="Q101" i="5"/>
  <c r="P101" i="5" s="1"/>
  <c r="Q97" i="5"/>
  <c r="P97" i="5" s="1"/>
  <c r="T105" i="5"/>
  <c r="U7" i="5"/>
  <c r="U19" i="5"/>
  <c r="T19" i="5" s="1"/>
  <c r="U22" i="5"/>
  <c r="T22" i="5" s="1"/>
  <c r="U23" i="5"/>
  <c r="T23" i="5" s="1"/>
  <c r="U35" i="5"/>
  <c r="T35" i="5" s="1"/>
  <c r="U38" i="5"/>
  <c r="T38" i="5" s="1"/>
  <c r="U39" i="5"/>
  <c r="T39" i="5" s="1"/>
  <c r="U51" i="5"/>
  <c r="T51" i="5" s="1"/>
  <c r="U54" i="5"/>
  <c r="T54" i="5" s="1"/>
  <c r="U55" i="5"/>
  <c r="T55" i="5" s="1"/>
  <c r="U67" i="5"/>
  <c r="T67" i="5" s="1"/>
  <c r="U70" i="5"/>
  <c r="T70" i="5" s="1"/>
  <c r="U71" i="5"/>
  <c r="T71" i="5" s="1"/>
  <c r="U8" i="5"/>
  <c r="T8" i="5" s="1"/>
  <c r="U24" i="5"/>
  <c r="T24" i="5" s="1"/>
  <c r="U40" i="5"/>
  <c r="T40" i="5" s="1"/>
  <c r="U56" i="5"/>
  <c r="T56" i="5" s="1"/>
  <c r="U72" i="5"/>
  <c r="T72" i="5" s="1"/>
  <c r="U9" i="5"/>
  <c r="T9" i="5" s="1"/>
  <c r="U25" i="5"/>
  <c r="T25" i="5" s="1"/>
  <c r="U41" i="5"/>
  <c r="T41" i="5" s="1"/>
  <c r="U57" i="5"/>
  <c r="T57" i="5" s="1"/>
  <c r="U73" i="5"/>
  <c r="T73" i="5" s="1"/>
  <c r="U10" i="5"/>
  <c r="T10" i="5" s="1"/>
  <c r="U12" i="5"/>
  <c r="T12" i="5" s="1"/>
  <c r="U13" i="5"/>
  <c r="T13" i="5" s="1"/>
  <c r="U26" i="5"/>
  <c r="T26" i="5" s="1"/>
  <c r="U28" i="5"/>
  <c r="T28" i="5" s="1"/>
  <c r="U29" i="5"/>
  <c r="T29" i="5" s="1"/>
  <c r="U42" i="5"/>
  <c r="T42" i="5" s="1"/>
  <c r="U44" i="5"/>
  <c r="T44" i="5" s="1"/>
  <c r="U45" i="5"/>
  <c r="T45" i="5" s="1"/>
  <c r="U58" i="5"/>
  <c r="T58" i="5" s="1"/>
  <c r="U60" i="5"/>
  <c r="T60" i="5" s="1"/>
  <c r="U61" i="5"/>
  <c r="T61" i="5" s="1"/>
  <c r="U11" i="5"/>
  <c r="T11" i="5" s="1"/>
  <c r="U14" i="5"/>
  <c r="T14" i="5" s="1"/>
  <c r="U15" i="5"/>
  <c r="T15" i="5" s="1"/>
  <c r="U27" i="5"/>
  <c r="T27" i="5" s="1"/>
  <c r="U30" i="5"/>
  <c r="T30" i="5" s="1"/>
  <c r="U31" i="5"/>
  <c r="T31" i="5" s="1"/>
  <c r="U43" i="5"/>
  <c r="T43" i="5" s="1"/>
  <c r="U46" i="5"/>
  <c r="T46" i="5" s="1"/>
  <c r="U47" i="5"/>
  <c r="T47" i="5" s="1"/>
  <c r="U59" i="5"/>
  <c r="T59" i="5" s="1"/>
  <c r="U62" i="5"/>
  <c r="T62" i="5" s="1"/>
  <c r="U63" i="5"/>
  <c r="T63" i="5" s="1"/>
  <c r="U75" i="5"/>
  <c r="T75" i="5" s="1"/>
  <c r="U78" i="5"/>
  <c r="T78" i="5" s="1"/>
  <c r="U79" i="5"/>
  <c r="T79" i="5" s="1"/>
  <c r="U18" i="5"/>
  <c r="T18" i="5" s="1"/>
  <c r="U20" i="5"/>
  <c r="T20" i="5" s="1"/>
  <c r="U21" i="5"/>
  <c r="T21" i="5" s="1"/>
  <c r="U34" i="5"/>
  <c r="T34" i="5" s="1"/>
  <c r="U36" i="5"/>
  <c r="T36" i="5" s="1"/>
  <c r="U37" i="5"/>
  <c r="T37" i="5" s="1"/>
  <c r="U50" i="5"/>
  <c r="T50" i="5" s="1"/>
  <c r="U52" i="5"/>
  <c r="T52" i="5" s="1"/>
  <c r="U53" i="5"/>
  <c r="T53" i="5" s="1"/>
  <c r="U66" i="5"/>
  <c r="T66" i="5" s="1"/>
  <c r="U68" i="5"/>
  <c r="T68" i="5" s="1"/>
  <c r="U69" i="5"/>
  <c r="T69" i="5" s="1"/>
  <c r="U32" i="5"/>
  <c r="T32" i="5" s="1"/>
  <c r="U76" i="5"/>
  <c r="T76" i="5" s="1"/>
  <c r="U97" i="5"/>
  <c r="T97" i="5" s="1"/>
  <c r="U17" i="5"/>
  <c r="T17" i="5" s="1"/>
  <c r="U81" i="5"/>
  <c r="T81" i="5" s="1"/>
  <c r="U82" i="5"/>
  <c r="T82" i="5" s="1"/>
  <c r="U84" i="5"/>
  <c r="T84" i="5" s="1"/>
  <c r="U85" i="5"/>
  <c r="T85" i="5" s="1"/>
  <c r="U98" i="5"/>
  <c r="T98" i="5" s="1"/>
  <c r="U100" i="5"/>
  <c r="T100" i="5" s="1"/>
  <c r="U101" i="5"/>
  <c r="T101" i="5" s="1"/>
  <c r="U48" i="5"/>
  <c r="T48" i="5" s="1"/>
  <c r="U74" i="5"/>
  <c r="T74" i="5" s="1"/>
  <c r="U83" i="5"/>
  <c r="T83" i="5" s="1"/>
  <c r="U86" i="5"/>
  <c r="T86" i="5" s="1"/>
  <c r="U87" i="5"/>
  <c r="T87" i="5" s="1"/>
  <c r="U99" i="5"/>
  <c r="T99" i="5" s="1"/>
  <c r="U104" i="5"/>
  <c r="T104" i="5" s="1"/>
  <c r="U33" i="5"/>
  <c r="T33" i="5" s="1"/>
  <c r="U77" i="5"/>
  <c r="T77" i="5" s="1"/>
  <c r="U88" i="5"/>
  <c r="T88" i="5" s="1"/>
  <c r="U103" i="5"/>
  <c r="T103" i="5" s="1"/>
  <c r="U64" i="5"/>
  <c r="T64" i="5" s="1"/>
  <c r="U89" i="5"/>
  <c r="T89" i="5" s="1"/>
  <c r="U102" i="5"/>
  <c r="T102" i="5" s="1"/>
  <c r="U65" i="5"/>
  <c r="T65" i="5" s="1"/>
  <c r="U96" i="5"/>
  <c r="T96" i="5" s="1"/>
  <c r="U49" i="5"/>
  <c r="T49" i="5" s="1"/>
  <c r="U90" i="5"/>
  <c r="T90" i="5" s="1"/>
  <c r="U94" i="5"/>
  <c r="T94" i="5" s="1"/>
  <c r="U91" i="5"/>
  <c r="T91" i="5" s="1"/>
  <c r="U95" i="5"/>
  <c r="T95" i="5" s="1"/>
  <c r="U80" i="5"/>
  <c r="T80" i="5" s="1"/>
  <c r="U92" i="5"/>
  <c r="T92" i="5" s="1"/>
  <c r="U16" i="5"/>
  <c r="T16" i="5" s="1"/>
  <c r="U93" i="5"/>
  <c r="T93" i="5" s="1"/>
  <c r="R105" i="5"/>
  <c r="S8" i="5"/>
  <c r="R8" i="5" s="1"/>
  <c r="S24" i="5"/>
  <c r="R24" i="5" s="1"/>
  <c r="S40" i="5"/>
  <c r="R40" i="5" s="1"/>
  <c r="S56" i="5"/>
  <c r="R56" i="5" s="1"/>
  <c r="S72" i="5"/>
  <c r="R72" i="5" s="1"/>
  <c r="S9" i="5"/>
  <c r="R9" i="5" s="1"/>
  <c r="S10" i="5"/>
  <c r="R10" i="5" s="1"/>
  <c r="S13" i="5"/>
  <c r="R13" i="5" s="1"/>
  <c r="S25" i="5"/>
  <c r="R25" i="5" s="1"/>
  <c r="S26" i="5"/>
  <c r="R26" i="5" s="1"/>
  <c r="S29" i="5"/>
  <c r="R29" i="5" s="1"/>
  <c r="S41" i="5"/>
  <c r="R41" i="5" s="1"/>
  <c r="S42" i="5"/>
  <c r="R42" i="5" s="1"/>
  <c r="S45" i="5"/>
  <c r="R45" i="5" s="1"/>
  <c r="S57" i="5"/>
  <c r="R57" i="5" s="1"/>
  <c r="S58" i="5"/>
  <c r="R58" i="5" s="1"/>
  <c r="S61" i="5"/>
  <c r="R61" i="5" s="1"/>
  <c r="S73" i="5"/>
  <c r="R73" i="5" s="1"/>
  <c r="S74" i="5"/>
  <c r="R74" i="5" s="1"/>
  <c r="S77" i="5"/>
  <c r="R77" i="5" s="1"/>
  <c r="S11" i="5"/>
  <c r="R11" i="5" s="1"/>
  <c r="S12" i="5"/>
  <c r="R12" i="5" s="1"/>
  <c r="S14" i="5"/>
  <c r="R14" i="5" s="1"/>
  <c r="S27" i="5"/>
  <c r="R27" i="5" s="1"/>
  <c r="S28" i="5"/>
  <c r="R28" i="5" s="1"/>
  <c r="S30" i="5"/>
  <c r="R30" i="5" s="1"/>
  <c r="S43" i="5"/>
  <c r="R43" i="5" s="1"/>
  <c r="S44" i="5"/>
  <c r="R44" i="5" s="1"/>
  <c r="S46" i="5"/>
  <c r="R46" i="5" s="1"/>
  <c r="S59" i="5"/>
  <c r="R59" i="5" s="1"/>
  <c r="S60" i="5"/>
  <c r="R60" i="5" s="1"/>
  <c r="S62" i="5"/>
  <c r="R62" i="5" s="1"/>
  <c r="S75" i="5"/>
  <c r="R75" i="5" s="1"/>
  <c r="S76" i="5"/>
  <c r="R76" i="5" s="1"/>
  <c r="S78" i="5"/>
  <c r="R78" i="5" s="1"/>
  <c r="S15" i="5"/>
  <c r="R15" i="5" s="1"/>
  <c r="S31" i="5"/>
  <c r="R31" i="5" s="1"/>
  <c r="S47" i="5"/>
  <c r="R47" i="5" s="1"/>
  <c r="S63" i="5"/>
  <c r="R63" i="5" s="1"/>
  <c r="S16" i="5"/>
  <c r="R16" i="5" s="1"/>
  <c r="S32" i="5"/>
  <c r="R32" i="5" s="1"/>
  <c r="S48" i="5"/>
  <c r="R48" i="5" s="1"/>
  <c r="S64" i="5"/>
  <c r="R64" i="5" s="1"/>
  <c r="S80" i="5"/>
  <c r="R80" i="5" s="1"/>
  <c r="S7" i="5"/>
  <c r="S23" i="5"/>
  <c r="R23" i="5" s="1"/>
  <c r="S39" i="5"/>
  <c r="R39" i="5" s="1"/>
  <c r="S55" i="5"/>
  <c r="R55" i="5" s="1"/>
  <c r="S71" i="5"/>
  <c r="R71" i="5" s="1"/>
  <c r="S17" i="5"/>
  <c r="R17" i="5" s="1"/>
  <c r="S21" i="5"/>
  <c r="R21" i="5" s="1"/>
  <c r="S66" i="5"/>
  <c r="R66" i="5" s="1"/>
  <c r="S81" i="5"/>
  <c r="R81" i="5" s="1"/>
  <c r="S83" i="5"/>
  <c r="R83" i="5" s="1"/>
  <c r="S84" i="5"/>
  <c r="R84" i="5" s="1"/>
  <c r="S86" i="5"/>
  <c r="R86" i="5" s="1"/>
  <c r="S99" i="5"/>
  <c r="R99" i="5" s="1"/>
  <c r="S100" i="5"/>
  <c r="R100" i="5" s="1"/>
  <c r="S36" i="5"/>
  <c r="R36" i="5" s="1"/>
  <c r="S51" i="5"/>
  <c r="R51" i="5" s="1"/>
  <c r="S69" i="5"/>
  <c r="R69" i="5" s="1"/>
  <c r="S79" i="5"/>
  <c r="R79" i="5" s="1"/>
  <c r="S87" i="5"/>
  <c r="R87" i="5" s="1"/>
  <c r="S104" i="5"/>
  <c r="R104" i="5" s="1"/>
  <c r="S18" i="5"/>
  <c r="R18" i="5" s="1"/>
  <c r="S33" i="5"/>
  <c r="R33" i="5" s="1"/>
  <c r="S37" i="5"/>
  <c r="R37" i="5" s="1"/>
  <c r="S88" i="5"/>
  <c r="R88" i="5" s="1"/>
  <c r="S103" i="5"/>
  <c r="R103" i="5" s="1"/>
  <c r="S22" i="5"/>
  <c r="R22" i="5" s="1"/>
  <c r="S52" i="5"/>
  <c r="R52" i="5" s="1"/>
  <c r="S89" i="5"/>
  <c r="R89" i="5" s="1"/>
  <c r="S90" i="5"/>
  <c r="R90" i="5" s="1"/>
  <c r="S93" i="5"/>
  <c r="R93" i="5" s="1"/>
  <c r="S102" i="5"/>
  <c r="R102" i="5" s="1"/>
  <c r="S34" i="5"/>
  <c r="R34" i="5" s="1"/>
  <c r="S49" i="5"/>
  <c r="R49" i="5" s="1"/>
  <c r="S53" i="5"/>
  <c r="R53" i="5" s="1"/>
  <c r="S67" i="5"/>
  <c r="R67" i="5" s="1"/>
  <c r="S91" i="5"/>
  <c r="R91" i="5" s="1"/>
  <c r="S92" i="5"/>
  <c r="R92" i="5" s="1"/>
  <c r="S94" i="5"/>
  <c r="R94" i="5" s="1"/>
  <c r="S20" i="5"/>
  <c r="R20" i="5" s="1"/>
  <c r="S35" i="5"/>
  <c r="R35" i="5" s="1"/>
  <c r="S54" i="5"/>
  <c r="R54" i="5" s="1"/>
  <c r="S68" i="5"/>
  <c r="R68" i="5" s="1"/>
  <c r="S82" i="5"/>
  <c r="R82" i="5" s="1"/>
  <c r="S85" i="5"/>
  <c r="R85" i="5" s="1"/>
  <c r="S97" i="5"/>
  <c r="R97" i="5" s="1"/>
  <c r="S98" i="5"/>
  <c r="R98" i="5" s="1"/>
  <c r="S101" i="5"/>
  <c r="R101" i="5" s="1"/>
  <c r="S19" i="5"/>
  <c r="R19" i="5" s="1"/>
  <c r="S50" i="5"/>
  <c r="R50" i="5" s="1"/>
  <c r="S65" i="5"/>
  <c r="R65" i="5" s="1"/>
  <c r="S38" i="5"/>
  <c r="R38" i="5" s="1"/>
  <c r="S95" i="5"/>
  <c r="R95" i="5" s="1"/>
  <c r="S70" i="5"/>
  <c r="R70" i="5" s="1"/>
  <c r="S96" i="5"/>
  <c r="R96" i="5" s="1"/>
  <c r="X105" i="5"/>
  <c r="Y15" i="5"/>
  <c r="X15" i="5" s="1"/>
  <c r="Y16" i="5"/>
  <c r="X16" i="5" s="1"/>
  <c r="Y31" i="5"/>
  <c r="X31" i="5" s="1"/>
  <c r="Y32" i="5"/>
  <c r="X32" i="5" s="1"/>
  <c r="Y47" i="5"/>
  <c r="X47" i="5" s="1"/>
  <c r="Y48" i="5"/>
  <c r="X48" i="5" s="1"/>
  <c r="Y63" i="5"/>
  <c r="X63" i="5" s="1"/>
  <c r="Y64" i="5"/>
  <c r="X64" i="5" s="1"/>
  <c r="Y79" i="5"/>
  <c r="X79" i="5" s="1"/>
  <c r="Y80" i="5"/>
  <c r="X80" i="5" s="1"/>
  <c r="Y17" i="5"/>
  <c r="X17" i="5" s="1"/>
  <c r="Y33" i="5"/>
  <c r="X33" i="5" s="1"/>
  <c r="Y49" i="5"/>
  <c r="X49" i="5" s="1"/>
  <c r="Y65" i="5"/>
  <c r="X65" i="5" s="1"/>
  <c r="Y18" i="5"/>
  <c r="X18" i="5" s="1"/>
  <c r="Y19" i="5"/>
  <c r="X19" i="5" s="1"/>
  <c r="Y20" i="5"/>
  <c r="X20" i="5" s="1"/>
  <c r="Y21" i="5"/>
  <c r="X21" i="5" s="1"/>
  <c r="Y34" i="5"/>
  <c r="X34" i="5" s="1"/>
  <c r="Y35" i="5"/>
  <c r="X35" i="5" s="1"/>
  <c r="Y36" i="5"/>
  <c r="X36" i="5" s="1"/>
  <c r="Y37" i="5"/>
  <c r="X37" i="5" s="1"/>
  <c r="Y50" i="5"/>
  <c r="X50" i="5" s="1"/>
  <c r="Y51" i="5"/>
  <c r="X51" i="5" s="1"/>
  <c r="Y52" i="5"/>
  <c r="X52" i="5" s="1"/>
  <c r="Y53" i="5"/>
  <c r="X53" i="5" s="1"/>
  <c r="Y66" i="5"/>
  <c r="X66" i="5" s="1"/>
  <c r="Y67" i="5"/>
  <c r="X67" i="5" s="1"/>
  <c r="Y68" i="5"/>
  <c r="X68" i="5" s="1"/>
  <c r="Y69" i="5"/>
  <c r="X69" i="5" s="1"/>
  <c r="Y22" i="5"/>
  <c r="X22" i="5" s="1"/>
  <c r="Y38" i="5"/>
  <c r="X38" i="5" s="1"/>
  <c r="Y54" i="5"/>
  <c r="X54" i="5" s="1"/>
  <c r="Y7" i="5"/>
  <c r="Y8" i="5"/>
  <c r="X8" i="5" s="1"/>
  <c r="Y23" i="5"/>
  <c r="X23" i="5" s="1"/>
  <c r="Y24" i="5"/>
  <c r="X24" i="5" s="1"/>
  <c r="Y39" i="5"/>
  <c r="X39" i="5" s="1"/>
  <c r="Y40" i="5"/>
  <c r="X40" i="5" s="1"/>
  <c r="Y55" i="5"/>
  <c r="X55" i="5" s="1"/>
  <c r="Y56" i="5"/>
  <c r="X56" i="5" s="1"/>
  <c r="Y71" i="5"/>
  <c r="X71" i="5" s="1"/>
  <c r="Y72" i="5"/>
  <c r="X72" i="5" s="1"/>
  <c r="Y14" i="5"/>
  <c r="X14" i="5" s="1"/>
  <c r="Y30" i="5"/>
  <c r="X30" i="5" s="1"/>
  <c r="Y46" i="5"/>
  <c r="X46" i="5" s="1"/>
  <c r="Y62" i="5"/>
  <c r="X62" i="5" s="1"/>
  <c r="Y78" i="5"/>
  <c r="X78" i="5" s="1"/>
  <c r="Y9" i="5"/>
  <c r="X9" i="5" s="1"/>
  <c r="Y73" i="5"/>
  <c r="X73" i="5" s="1"/>
  <c r="Y90" i="5"/>
  <c r="X90" i="5" s="1"/>
  <c r="Y91" i="5"/>
  <c r="X91" i="5" s="1"/>
  <c r="Y92" i="5"/>
  <c r="X92" i="5" s="1"/>
  <c r="Y93" i="5"/>
  <c r="X93" i="5" s="1"/>
  <c r="Y13" i="5"/>
  <c r="X13" i="5" s="1"/>
  <c r="Y28" i="5"/>
  <c r="X28" i="5" s="1"/>
  <c r="Y43" i="5"/>
  <c r="X43" i="5" s="1"/>
  <c r="Y58" i="5"/>
  <c r="X58" i="5" s="1"/>
  <c r="Y94" i="5"/>
  <c r="X94" i="5" s="1"/>
  <c r="Y25" i="5"/>
  <c r="X25" i="5" s="1"/>
  <c r="Y76" i="5"/>
  <c r="X76" i="5" s="1"/>
  <c r="Y95" i="5"/>
  <c r="X95" i="5" s="1"/>
  <c r="Y96" i="5"/>
  <c r="X96" i="5" s="1"/>
  <c r="Y10" i="5"/>
  <c r="X10" i="5" s="1"/>
  <c r="Y29" i="5"/>
  <c r="X29" i="5" s="1"/>
  <c r="Y44" i="5"/>
  <c r="X44" i="5" s="1"/>
  <c r="Y59" i="5"/>
  <c r="X59" i="5" s="1"/>
  <c r="Y81" i="5"/>
  <c r="X81" i="5" s="1"/>
  <c r="Y97" i="5"/>
  <c r="X97" i="5" s="1"/>
  <c r="Y104" i="5"/>
  <c r="X104" i="5" s="1"/>
  <c r="Y41" i="5"/>
  <c r="X41" i="5" s="1"/>
  <c r="Y74" i="5"/>
  <c r="X74" i="5" s="1"/>
  <c r="Y82" i="5"/>
  <c r="X82" i="5" s="1"/>
  <c r="Y83" i="5"/>
  <c r="X83" i="5" s="1"/>
  <c r="Y84" i="5"/>
  <c r="X84" i="5" s="1"/>
  <c r="Y85" i="5"/>
  <c r="X85" i="5" s="1"/>
  <c r="Y98" i="5"/>
  <c r="X98" i="5" s="1"/>
  <c r="Y99" i="5"/>
  <c r="X99" i="5" s="1"/>
  <c r="Y100" i="5"/>
  <c r="X100" i="5" s="1"/>
  <c r="Y101" i="5"/>
  <c r="X101" i="5" s="1"/>
  <c r="Y12" i="5"/>
  <c r="X12" i="5" s="1"/>
  <c r="Y27" i="5"/>
  <c r="X27" i="5" s="1"/>
  <c r="Y42" i="5"/>
  <c r="X42" i="5" s="1"/>
  <c r="Y61" i="5"/>
  <c r="X61" i="5" s="1"/>
  <c r="Y75" i="5"/>
  <c r="X75" i="5" s="1"/>
  <c r="Y89" i="5"/>
  <c r="X89" i="5" s="1"/>
  <c r="Y102" i="5"/>
  <c r="X102" i="5" s="1"/>
  <c r="Y86" i="5"/>
  <c r="X86" i="5" s="1"/>
  <c r="Y77" i="5"/>
  <c r="X77" i="5" s="1"/>
  <c r="Y87" i="5"/>
  <c r="X87" i="5" s="1"/>
  <c r="Y11" i="5"/>
  <c r="X11" i="5" s="1"/>
  <c r="Y26" i="5"/>
  <c r="X26" i="5" s="1"/>
  <c r="Y57" i="5"/>
  <c r="X57" i="5" s="1"/>
  <c r="Y70" i="5"/>
  <c r="X70" i="5" s="1"/>
  <c r="Y88" i="5"/>
  <c r="X88" i="5" s="1"/>
  <c r="Y103" i="5"/>
  <c r="X103" i="5" s="1"/>
  <c r="Y45" i="5"/>
  <c r="X45" i="5" s="1"/>
  <c r="Y60" i="5"/>
  <c r="X60" i="5" s="1"/>
  <c r="J115" i="18"/>
  <c r="J31" i="18"/>
  <c r="J138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J93" i="18" s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J35" i="18" s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J101" i="18" s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J79" i="18" s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J137" i="18" l="1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W7" i="7"/>
  <c r="AE95" i="9"/>
  <c r="Y29" i="13"/>
  <c r="Z29" i="13" s="1"/>
  <c r="AH46" i="9"/>
  <c r="AH59" i="9"/>
  <c r="W23" i="7"/>
  <c r="AH70" i="9"/>
  <c r="Y45" i="13"/>
  <c r="Z45" i="13" s="1"/>
  <c r="E183" i="13" s="1"/>
  <c r="AE42" i="9"/>
  <c r="AH49" i="9"/>
  <c r="Y27" i="13"/>
  <c r="Z27" i="13" s="1"/>
  <c r="E73" i="13" s="1"/>
  <c r="Y18" i="13"/>
  <c r="Z18" i="13" s="1"/>
  <c r="AH55" i="9"/>
  <c r="AY15" i="7"/>
  <c r="Y44" i="13"/>
  <c r="Z44" i="13" s="1"/>
  <c r="E182" i="13" s="1"/>
  <c r="Y47" i="13"/>
  <c r="Z47" i="13" s="1"/>
  <c r="E231" i="13" s="1"/>
  <c r="W6" i="7"/>
  <c r="AE64" i="9"/>
  <c r="AM15" i="7"/>
  <c r="Y43" i="13"/>
  <c r="Z43" i="13" s="1"/>
  <c r="F4" i="17"/>
  <c r="W24" i="7"/>
  <c r="O11" i="17"/>
  <c r="Y13" i="13"/>
  <c r="Z13" i="13" s="1"/>
  <c r="E473" i="13" s="1"/>
  <c r="W25" i="7"/>
  <c r="Y12" i="13"/>
  <c r="Z12" i="13" s="1"/>
  <c r="W9" i="7"/>
  <c r="Y28" i="13"/>
  <c r="Z28" i="13" s="1"/>
  <c r="AH13" i="9"/>
  <c r="V59" i="9"/>
  <c r="AE91" i="9"/>
  <c r="J117" i="18"/>
  <c r="AH12" i="9"/>
  <c r="AE87" i="9"/>
  <c r="AJ87" i="9"/>
  <c r="AE11" i="9"/>
  <c r="AE63" i="9"/>
  <c r="F5" i="17"/>
  <c r="V11" i="9"/>
  <c r="X11" i="9" s="1"/>
  <c r="AH43" i="9"/>
  <c r="AH38" i="9"/>
  <c r="AH76" i="9"/>
  <c r="V82" i="9"/>
  <c r="Y82" i="9" s="1"/>
  <c r="N11" i="13"/>
  <c r="AH4" i="9"/>
  <c r="AH16" i="9"/>
  <c r="V76" i="9"/>
  <c r="X76" i="9" s="1"/>
  <c r="AH34" i="9"/>
  <c r="AH61" i="9"/>
  <c r="AH77" i="9"/>
  <c r="AE9" i="9"/>
  <c r="AY22" i="7"/>
  <c r="V38" i="9"/>
  <c r="X38" i="9" s="1"/>
  <c r="H23" i="10"/>
  <c r="H13" i="10"/>
  <c r="V46" i="9"/>
  <c r="Y46" i="9" s="1"/>
  <c r="W28" i="7"/>
  <c r="W16" i="7"/>
  <c r="W21" i="7"/>
  <c r="W5" i="7"/>
  <c r="AY19" i="7"/>
  <c r="AH101" i="9"/>
  <c r="AH89" i="9"/>
  <c r="AE94" i="9"/>
  <c r="V77" i="9"/>
  <c r="X77" i="9" s="1"/>
  <c r="Y14" i="13"/>
  <c r="Z14" i="13" s="1"/>
  <c r="Y30" i="13"/>
  <c r="Z30" i="13" s="1"/>
  <c r="E490" i="13" s="1"/>
  <c r="Y46" i="13"/>
  <c r="Z46" i="13" s="1"/>
  <c r="E230" i="13" s="1"/>
  <c r="Y16" i="13"/>
  <c r="Z16" i="13" s="1"/>
  <c r="E108" i="13" s="1"/>
  <c r="Y15" i="13"/>
  <c r="Z15" i="13" s="1"/>
  <c r="E61" i="13" s="1"/>
  <c r="AA13" i="13"/>
  <c r="N4" i="13" s="1"/>
  <c r="V33" i="9"/>
  <c r="X33" i="9" s="1"/>
  <c r="V4" i="9"/>
  <c r="X4" i="9" s="1"/>
  <c r="W20" i="7"/>
  <c r="W8" i="7"/>
  <c r="W19" i="7"/>
  <c r="V29" i="7"/>
  <c r="V13" i="7" s="1"/>
  <c r="AM19" i="7"/>
  <c r="AT21" i="7"/>
  <c r="AH27" i="9"/>
  <c r="AH80" i="9"/>
  <c r="AH96" i="9"/>
  <c r="AJ46" i="9"/>
  <c r="H19" i="10"/>
  <c r="O4" i="17"/>
  <c r="Z48" i="13"/>
  <c r="E232" i="13" s="1"/>
  <c r="Y32" i="13"/>
  <c r="Z32" i="13" s="1"/>
  <c r="E492" i="13" s="1"/>
  <c r="Y9" i="13"/>
  <c r="Z9" i="13" s="1"/>
  <c r="E193" i="13" s="1"/>
  <c r="Y25" i="13"/>
  <c r="Z25" i="13" s="1"/>
  <c r="E209" i="13" s="1"/>
  <c r="Y41" i="13"/>
  <c r="Z41" i="13" s="1"/>
  <c r="Y42" i="13"/>
  <c r="Z42" i="13" s="1"/>
  <c r="E180" i="13" s="1"/>
  <c r="F6" i="17"/>
  <c r="V42" i="9"/>
  <c r="X42" i="9" s="1"/>
  <c r="V73" i="9"/>
  <c r="Y73" i="9" s="1"/>
  <c r="V55" i="9"/>
  <c r="X55" i="9" s="1"/>
  <c r="W12" i="7"/>
  <c r="W26" i="7"/>
  <c r="W17" i="7"/>
  <c r="W3" i="7"/>
  <c r="AH30" i="9"/>
  <c r="AY21" i="7"/>
  <c r="AH26" i="9"/>
  <c r="H29" i="10"/>
  <c r="I11" i="17"/>
  <c r="O6" i="17"/>
  <c r="Y19" i="13"/>
  <c r="Z19" i="13" s="1"/>
  <c r="Y35" i="13"/>
  <c r="Z35" i="13" s="1"/>
  <c r="E449" i="13" s="1"/>
  <c r="Y4" i="13"/>
  <c r="Z4" i="13" s="1"/>
  <c r="E50" i="13" s="1"/>
  <c r="Y20" i="13"/>
  <c r="Z20" i="13" s="1"/>
  <c r="E434" i="13" s="1"/>
  <c r="Y34" i="13"/>
  <c r="Z34" i="13" s="1"/>
  <c r="E80" i="13" s="1"/>
  <c r="Y10" i="13"/>
  <c r="Z10" i="13" s="1"/>
  <c r="E102" i="13" s="1"/>
  <c r="V67" i="9"/>
  <c r="X67" i="9" s="1"/>
  <c r="W4" i="7"/>
  <c r="W18" i="7"/>
  <c r="W15" i="7"/>
  <c r="AH73" i="9"/>
  <c r="AH84" i="9"/>
  <c r="AE50" i="9"/>
  <c r="K21" i="14"/>
  <c r="Y36" i="13"/>
  <c r="Z36" i="13" s="1"/>
  <c r="E174" i="13" s="1"/>
  <c r="Y5" i="13"/>
  <c r="Z5" i="13" s="1"/>
  <c r="E143" i="13" s="1"/>
  <c r="Y21" i="13"/>
  <c r="Z21" i="13" s="1"/>
  <c r="Y37" i="13"/>
  <c r="Z37" i="13" s="1"/>
  <c r="E221" i="13" s="1"/>
  <c r="Y31" i="13"/>
  <c r="Z31" i="13" s="1"/>
  <c r="E215" i="13" s="1"/>
  <c r="Y39" i="13"/>
  <c r="Z39" i="13" s="1"/>
  <c r="E177" i="13" s="1"/>
  <c r="V101" i="9"/>
  <c r="X101" i="9" s="1"/>
  <c r="V80" i="9"/>
  <c r="Y80" i="9" s="1"/>
  <c r="V50" i="9"/>
  <c r="X50" i="9" s="1"/>
  <c r="W22" i="7"/>
  <c r="W10" i="7"/>
  <c r="W13" i="7"/>
  <c r="AH19" i="9"/>
  <c r="AH57" i="9"/>
  <c r="K20" i="14"/>
  <c r="Y6" i="13"/>
  <c r="Z6" i="13" s="1"/>
  <c r="E98" i="13" s="1"/>
  <c r="Y22" i="13"/>
  <c r="Z22" i="13" s="1"/>
  <c r="E68" i="13" s="1"/>
  <c r="Y38" i="13"/>
  <c r="Z38" i="13" s="1"/>
  <c r="E84" i="13" s="1"/>
  <c r="Y8" i="13"/>
  <c r="Z8" i="13" s="1"/>
  <c r="Y26" i="13"/>
  <c r="Z26" i="13" s="1"/>
  <c r="E486" i="13" s="1"/>
  <c r="Y7" i="13"/>
  <c r="Z7" i="13" s="1"/>
  <c r="E145" i="13" s="1"/>
  <c r="V70" i="9"/>
  <c r="Y70" i="9" s="1"/>
  <c r="W14" i="7"/>
  <c r="W27" i="7"/>
  <c r="K18" i="14"/>
  <c r="Y24" i="13"/>
  <c r="Z24" i="13" s="1"/>
  <c r="E116" i="13" s="1"/>
  <c r="Y40" i="13"/>
  <c r="Z40" i="13" s="1"/>
  <c r="Y17" i="13"/>
  <c r="Z17" i="13" s="1"/>
  <c r="E201" i="13" s="1"/>
  <c r="Y33" i="13"/>
  <c r="Z33" i="13" s="1"/>
  <c r="E217" i="13" s="1"/>
  <c r="Y23" i="13"/>
  <c r="Z23" i="13" s="1"/>
  <c r="E161" i="13" s="1"/>
  <c r="V30" i="9"/>
  <c r="Y30" i="9" s="1"/>
  <c r="V84" i="9"/>
  <c r="X84" i="9" s="1"/>
  <c r="W33" i="5"/>
  <c r="V33" i="5" s="1"/>
  <c r="Z33" i="5" s="1"/>
  <c r="AH41" i="9"/>
  <c r="V71" i="9"/>
  <c r="AE75" i="9"/>
  <c r="V16" i="9"/>
  <c r="X16" i="9" s="1"/>
  <c r="AT6" i="7"/>
  <c r="W10" i="5"/>
  <c r="V10" i="5" s="1"/>
  <c r="Z10" i="5" s="1"/>
  <c r="AA10" i="5" s="1"/>
  <c r="W34" i="5"/>
  <c r="V34" i="5" s="1"/>
  <c r="H34" i="5" s="1"/>
  <c r="AH68" i="9"/>
  <c r="W14" i="5"/>
  <c r="V14" i="5" s="1"/>
  <c r="Z14" i="5" s="1"/>
  <c r="AB14" i="5" s="1"/>
  <c r="AA38" i="13"/>
  <c r="V78" i="9"/>
  <c r="X78" i="9" s="1"/>
  <c r="W83" i="5"/>
  <c r="V83" i="5" s="1"/>
  <c r="Z83" i="5" s="1"/>
  <c r="AA83" i="5" s="1"/>
  <c r="W28" i="5"/>
  <c r="V28" i="5" s="1"/>
  <c r="Z28" i="5" s="1"/>
  <c r="V12" i="9"/>
  <c r="X12" i="9" s="1"/>
  <c r="W89" i="5"/>
  <c r="V89" i="5" s="1"/>
  <c r="Z89" i="5" s="1"/>
  <c r="AA89" i="5" s="1"/>
  <c r="AE98" i="9"/>
  <c r="V63" i="9"/>
  <c r="Y63" i="9" s="1"/>
  <c r="V69" i="9"/>
  <c r="W102" i="5"/>
  <c r="V102" i="5" s="1"/>
  <c r="H102" i="5" s="1"/>
  <c r="V34" i="9"/>
  <c r="X34" i="9" s="1"/>
  <c r="H10" i="11"/>
  <c r="J18" i="18"/>
  <c r="W73" i="5"/>
  <c r="V73" i="5" s="1"/>
  <c r="H73" i="5" s="1"/>
  <c r="W68" i="5"/>
  <c r="V68" i="5" s="1"/>
  <c r="Z68" i="5" s="1"/>
  <c r="AA68" i="5" s="1"/>
  <c r="H30" i="10"/>
  <c r="AH25" i="9"/>
  <c r="AA23" i="13"/>
  <c r="N6" i="13" s="1"/>
  <c r="V25" i="9"/>
  <c r="X25" i="9" s="1"/>
  <c r="W8" i="5"/>
  <c r="V8" i="5" s="1"/>
  <c r="H8" i="5" s="1"/>
  <c r="H20" i="10"/>
  <c r="W30" i="5"/>
  <c r="V30" i="5" s="1"/>
  <c r="H30" i="5" s="1"/>
  <c r="W36" i="5"/>
  <c r="V36" i="5" s="1"/>
  <c r="H36" i="5" s="1"/>
  <c r="AA8" i="13"/>
  <c r="N3" i="13" s="1"/>
  <c r="AE72" i="9"/>
  <c r="AT12" i="7"/>
  <c r="AT13" i="7"/>
  <c r="AT9" i="7"/>
  <c r="O8" i="17"/>
  <c r="H31" i="10"/>
  <c r="AM13" i="7"/>
  <c r="V31" i="9"/>
  <c r="Y31" i="9" s="1"/>
  <c r="V9" i="9"/>
  <c r="Y9" i="9" s="1"/>
  <c r="V29" i="9"/>
  <c r="X29" i="9" s="1"/>
  <c r="AH90" i="9"/>
  <c r="AJ78" i="9"/>
  <c r="D97" i="11"/>
  <c r="I8" i="17"/>
  <c r="V68" i="9"/>
  <c r="X68" i="9" s="1"/>
  <c r="V53" i="9"/>
  <c r="X53" i="9" s="1"/>
  <c r="V8" i="9"/>
  <c r="Y8" i="9" s="1"/>
  <c r="V61" i="9"/>
  <c r="X61" i="9" s="1"/>
  <c r="M12" i="10"/>
  <c r="AJ73" i="9"/>
  <c r="D29" i="11"/>
  <c r="AH8" i="9"/>
  <c r="H18" i="10"/>
  <c r="AT5" i="7"/>
  <c r="AH65" i="9"/>
  <c r="V98" i="9"/>
  <c r="X98" i="9" s="1"/>
  <c r="AE51" i="9"/>
  <c r="D54" i="11"/>
  <c r="AY16" i="7"/>
  <c r="AH29" i="9"/>
  <c r="AE20" i="9"/>
  <c r="AJ4" i="9"/>
  <c r="D104" i="11"/>
  <c r="AJ33" i="9"/>
  <c r="AY8" i="7"/>
  <c r="V35" i="9"/>
  <c r="X35" i="9" s="1"/>
  <c r="D114" i="11"/>
  <c r="AE52" i="9"/>
  <c r="V93" i="9"/>
  <c r="X93" i="9" s="1"/>
  <c r="AH45" i="9"/>
  <c r="V97" i="9"/>
  <c r="AY6" i="7"/>
  <c r="AY9" i="7"/>
  <c r="V72" i="9"/>
  <c r="X72" i="9" s="1"/>
  <c r="AH35" i="9"/>
  <c r="AE40" i="9"/>
  <c r="D34" i="11"/>
  <c r="M6" i="10"/>
  <c r="AE28" i="9"/>
  <c r="D14" i="11"/>
  <c r="AE14" i="9"/>
  <c r="AJ15" i="9"/>
  <c r="D44" i="11"/>
  <c r="AY12" i="7"/>
  <c r="V20" i="9"/>
  <c r="X20" i="9" s="1"/>
  <c r="J69" i="18"/>
  <c r="V26" i="9"/>
  <c r="X26" i="9" s="1"/>
  <c r="D84" i="11"/>
  <c r="D24" i="11"/>
  <c r="AE5" i="9"/>
  <c r="AH71" i="9"/>
  <c r="AJ12" i="9"/>
  <c r="AY11" i="7"/>
  <c r="V94" i="9"/>
  <c r="X94" i="9" s="1"/>
  <c r="V95" i="9"/>
  <c r="Y95" i="9" s="1"/>
  <c r="AT22" i="7"/>
  <c r="V40" i="9"/>
  <c r="Y40" i="9" s="1"/>
  <c r="V102" i="9"/>
  <c r="Y102" i="9" s="1"/>
  <c r="D94" i="11"/>
  <c r="H15" i="10"/>
  <c r="AY17" i="7"/>
  <c r="D4" i="11"/>
  <c r="D64" i="11"/>
  <c r="AE71" i="9"/>
  <c r="V28" i="9"/>
  <c r="X28" i="9" s="1"/>
  <c r="AT11" i="7"/>
  <c r="V14" i="9"/>
  <c r="X14" i="9" s="1"/>
  <c r="AH81" i="9"/>
  <c r="T4" i="15"/>
  <c r="Y4" i="15" s="1"/>
  <c r="V52" i="9"/>
  <c r="Y52" i="9" s="1"/>
  <c r="V75" i="9"/>
  <c r="V81" i="9"/>
  <c r="X81" i="9" s="1"/>
  <c r="AM17" i="7"/>
  <c r="AE66" i="9"/>
  <c r="V90" i="9"/>
  <c r="X90" i="9" s="1"/>
  <c r="D74" i="11"/>
  <c r="AM3" i="7"/>
  <c r="J58" i="18"/>
  <c r="J21" i="18"/>
  <c r="W15" i="5"/>
  <c r="V15" i="5" s="1"/>
  <c r="H15" i="5" s="1"/>
  <c r="W90" i="5"/>
  <c r="V90" i="5" s="1"/>
  <c r="H90" i="5" s="1"/>
  <c r="W31" i="5"/>
  <c r="V31" i="5" s="1"/>
  <c r="H31" i="5" s="1"/>
  <c r="W11" i="5"/>
  <c r="V11" i="5" s="1"/>
  <c r="Z11" i="5" s="1"/>
  <c r="W79" i="5"/>
  <c r="V79" i="5" s="1"/>
  <c r="H79" i="5" s="1"/>
  <c r="W97" i="5"/>
  <c r="V97" i="5" s="1"/>
  <c r="H97" i="5" s="1"/>
  <c r="W13" i="5"/>
  <c r="V13" i="5" s="1"/>
  <c r="H13" i="5" s="1"/>
  <c r="W32" i="5"/>
  <c r="V32" i="5" s="1"/>
  <c r="H32" i="5" s="1"/>
  <c r="W57" i="5"/>
  <c r="V57" i="5" s="1"/>
  <c r="Z57" i="5" s="1"/>
  <c r="W71" i="5"/>
  <c r="V71" i="5" s="1"/>
  <c r="Z71" i="5" s="1"/>
  <c r="W67" i="5"/>
  <c r="V67" i="5" s="1"/>
  <c r="Z67" i="5" s="1"/>
  <c r="AA67" i="5" s="1"/>
  <c r="W35" i="5"/>
  <c r="V35" i="5" s="1"/>
  <c r="Z35" i="5" s="1"/>
  <c r="AB35" i="5" s="1"/>
  <c r="W18" i="5"/>
  <c r="V18" i="5" s="1"/>
  <c r="H18" i="5" s="1"/>
  <c r="AE74" i="9"/>
  <c r="AE78" i="9"/>
  <c r="AM16" i="7"/>
  <c r="D69" i="11"/>
  <c r="AY5" i="7"/>
  <c r="AJ8" i="9"/>
  <c r="H8" i="11"/>
  <c r="M9" i="10"/>
  <c r="D27" i="11"/>
  <c r="V54" i="9"/>
  <c r="X54" i="9" s="1"/>
  <c r="V74" i="9"/>
  <c r="X74" i="9" s="1"/>
  <c r="W46" i="5"/>
  <c r="V46" i="5" s="1"/>
  <c r="H46" i="5" s="1"/>
  <c r="W94" i="5"/>
  <c r="V94" i="5" s="1"/>
  <c r="Z94" i="5" s="1"/>
  <c r="W87" i="5"/>
  <c r="V87" i="5" s="1"/>
  <c r="H87" i="5" s="1"/>
  <c r="W100" i="5"/>
  <c r="V100" i="5" s="1"/>
  <c r="Z100" i="5" s="1"/>
  <c r="W98" i="5"/>
  <c r="V98" i="5" s="1"/>
  <c r="Z98" i="5" s="1"/>
  <c r="W76" i="5"/>
  <c r="V76" i="5" s="1"/>
  <c r="Z76" i="5" s="1"/>
  <c r="AA76" i="5" s="1"/>
  <c r="W80" i="5"/>
  <c r="V80" i="5" s="1"/>
  <c r="Z80" i="5" s="1"/>
  <c r="W16" i="5"/>
  <c r="V16" i="5" s="1"/>
  <c r="H16" i="5" s="1"/>
  <c r="W41" i="5"/>
  <c r="V41" i="5" s="1"/>
  <c r="H41" i="5" s="1"/>
  <c r="W39" i="5"/>
  <c r="V39" i="5" s="1"/>
  <c r="Z39" i="5" s="1"/>
  <c r="W53" i="5"/>
  <c r="V53" i="5" s="1"/>
  <c r="H53" i="5" s="1"/>
  <c r="W21" i="5"/>
  <c r="V21" i="5" s="1"/>
  <c r="H21" i="5" s="1"/>
  <c r="AE67" i="9"/>
  <c r="AE21" i="9"/>
  <c r="D39" i="11"/>
  <c r="AE102" i="9"/>
  <c r="AJ40" i="9"/>
  <c r="AM27" i="7"/>
  <c r="V49" i="9"/>
  <c r="X49" i="9" s="1"/>
  <c r="V37" i="9"/>
  <c r="X37" i="9" s="1"/>
  <c r="AT4" i="7"/>
  <c r="V64" i="9"/>
  <c r="X64" i="9" s="1"/>
  <c r="D107" i="11"/>
  <c r="W75" i="5"/>
  <c r="V75" i="5" s="1"/>
  <c r="Z75" i="5" s="1"/>
  <c r="W96" i="5"/>
  <c r="V96" i="5" s="1"/>
  <c r="H96" i="5" s="1"/>
  <c r="W56" i="5"/>
  <c r="V56" i="5" s="1"/>
  <c r="Z56" i="5" s="1"/>
  <c r="V105" i="5"/>
  <c r="Z105" i="5" s="1"/>
  <c r="V22" i="9"/>
  <c r="X22" i="9" s="1"/>
  <c r="J55" i="18"/>
  <c r="W27" i="5"/>
  <c r="V27" i="5" s="1"/>
  <c r="Z27" i="5" s="1"/>
  <c r="W93" i="5"/>
  <c r="V93" i="5" s="1"/>
  <c r="Z93" i="5" s="1"/>
  <c r="W77" i="5"/>
  <c r="V77" i="5" s="1"/>
  <c r="H77" i="5" s="1"/>
  <c r="W99" i="5"/>
  <c r="V99" i="5" s="1"/>
  <c r="H99" i="5" s="1"/>
  <c r="W82" i="5"/>
  <c r="V82" i="5" s="1"/>
  <c r="Z82" i="5" s="1"/>
  <c r="AA82" i="5" s="1"/>
  <c r="W47" i="5"/>
  <c r="V47" i="5" s="1"/>
  <c r="H47" i="5" s="1"/>
  <c r="W65" i="5"/>
  <c r="V65" i="5" s="1"/>
  <c r="H65" i="5" s="1"/>
  <c r="W74" i="5"/>
  <c r="V74" i="5" s="1"/>
  <c r="Z74" i="5" s="1"/>
  <c r="AB74" i="5" s="1"/>
  <c r="W40" i="5"/>
  <c r="V40" i="5" s="1"/>
  <c r="H40" i="5" s="1"/>
  <c r="W23" i="5"/>
  <c r="V23" i="5" s="1"/>
  <c r="H23" i="5" s="1"/>
  <c r="W52" i="5"/>
  <c r="V52" i="5" s="1"/>
  <c r="W20" i="5"/>
  <c r="V20" i="5" s="1"/>
  <c r="H20" i="5" s="1"/>
  <c r="K11" i="8"/>
  <c r="N11" i="8" s="1"/>
  <c r="AE99" i="9"/>
  <c r="D19" i="11"/>
  <c r="D79" i="11"/>
  <c r="AH102" i="9"/>
  <c r="AT27" i="7"/>
  <c r="V27" i="9"/>
  <c r="M7" i="10"/>
  <c r="AY4" i="7"/>
  <c r="AE54" i="9"/>
  <c r="D47" i="11"/>
  <c r="D7" i="11"/>
  <c r="W101" i="5"/>
  <c r="V101" i="5" s="1"/>
  <c r="Z101" i="5" s="1"/>
  <c r="W81" i="5"/>
  <c r="V81" i="5" s="1"/>
  <c r="Z81" i="5" s="1"/>
  <c r="AB81" i="5" s="1"/>
  <c r="W54" i="5"/>
  <c r="V54" i="5" s="1"/>
  <c r="H54" i="5" s="1"/>
  <c r="AH67" i="9"/>
  <c r="D67" i="11"/>
  <c r="W12" i="5"/>
  <c r="V12" i="5" s="1"/>
  <c r="H12" i="5" s="1"/>
  <c r="W92" i="5"/>
  <c r="V92" i="5" s="1"/>
  <c r="H92" i="5" s="1"/>
  <c r="W72" i="5"/>
  <c r="V72" i="5" s="1"/>
  <c r="Z72" i="5" s="1"/>
  <c r="AB72" i="5" s="1"/>
  <c r="W86" i="5"/>
  <c r="V86" i="5" s="1"/>
  <c r="Z86" i="5" s="1"/>
  <c r="AB86" i="5" s="1"/>
  <c r="W59" i="5"/>
  <c r="V59" i="5" s="1"/>
  <c r="Z59" i="5" s="1"/>
  <c r="W95" i="5"/>
  <c r="V95" i="5" s="1"/>
  <c r="W64" i="5"/>
  <c r="V64" i="5" s="1"/>
  <c r="Z64" i="5" s="1"/>
  <c r="AA64" i="5" s="1"/>
  <c r="W58" i="5"/>
  <c r="V58" i="5" s="1"/>
  <c r="H58" i="5" s="1"/>
  <c r="W25" i="5"/>
  <c r="V25" i="5" s="1"/>
  <c r="H25" i="5" s="1"/>
  <c r="W7" i="5"/>
  <c r="W4" i="5" s="1"/>
  <c r="W51" i="5"/>
  <c r="V51" i="5" s="1"/>
  <c r="H51" i="5" s="1"/>
  <c r="W19" i="5"/>
  <c r="V19" i="5" s="1"/>
  <c r="H19" i="5" s="1"/>
  <c r="AM24" i="7"/>
  <c r="AJ59" i="9"/>
  <c r="D59" i="11"/>
  <c r="D119" i="11"/>
  <c r="D87" i="11"/>
  <c r="D37" i="11"/>
  <c r="W104" i="5"/>
  <c r="V104" i="5" s="1"/>
  <c r="Z104" i="5" s="1"/>
  <c r="AB104" i="5" s="1"/>
  <c r="W22" i="5"/>
  <c r="V22" i="5" s="1"/>
  <c r="Z22" i="5" s="1"/>
  <c r="AB22" i="5" s="1"/>
  <c r="W103" i="5"/>
  <c r="V103" i="5" s="1"/>
  <c r="Z103" i="5" s="1"/>
  <c r="W91" i="5"/>
  <c r="V91" i="5" s="1"/>
  <c r="Z91" i="5" s="1"/>
  <c r="W60" i="5"/>
  <c r="V60" i="5" s="1"/>
  <c r="H60" i="5" s="1"/>
  <c r="W85" i="5"/>
  <c r="V85" i="5" s="1"/>
  <c r="H85" i="5" s="1"/>
  <c r="W44" i="5"/>
  <c r="V44" i="5" s="1"/>
  <c r="Z44" i="5" s="1"/>
  <c r="W62" i="5"/>
  <c r="V62" i="5" s="1"/>
  <c r="Z62" i="5" s="1"/>
  <c r="W49" i="5"/>
  <c r="V49" i="5" s="1"/>
  <c r="H49" i="5" s="1"/>
  <c r="W42" i="5"/>
  <c r="V42" i="5" s="1"/>
  <c r="H42" i="5" s="1"/>
  <c r="W24" i="5"/>
  <c r="V24" i="5" s="1"/>
  <c r="Z24" i="5" s="1"/>
  <c r="AA24" i="5" s="1"/>
  <c r="W70" i="5"/>
  <c r="V70" i="5" s="1"/>
  <c r="H70" i="5" s="1"/>
  <c r="W38" i="5"/>
  <c r="V38" i="5" s="1"/>
  <c r="Z38" i="5" s="1"/>
  <c r="W66" i="5"/>
  <c r="V66" i="5" s="1"/>
  <c r="Z66" i="5" s="1"/>
  <c r="AA66" i="5" s="1"/>
  <c r="AJ41" i="9"/>
  <c r="AY24" i="7"/>
  <c r="D99" i="11"/>
  <c r="D49" i="11"/>
  <c r="AH97" i="9"/>
  <c r="D17" i="11"/>
  <c r="D77" i="11"/>
  <c r="N8" i="14"/>
  <c r="P8" i="14" s="1"/>
  <c r="W61" i="5"/>
  <c r="V61" i="5" s="1"/>
  <c r="Z61" i="5" s="1"/>
  <c r="AA61" i="5" s="1"/>
  <c r="W63" i="5"/>
  <c r="V63" i="5" s="1"/>
  <c r="Z63" i="5" s="1"/>
  <c r="AA63" i="5" s="1"/>
  <c r="W17" i="5"/>
  <c r="V17" i="5" s="1"/>
  <c r="H17" i="5" s="1"/>
  <c r="W55" i="5"/>
  <c r="V55" i="5" s="1"/>
  <c r="Z55" i="5" s="1"/>
  <c r="D109" i="11"/>
  <c r="W88" i="5"/>
  <c r="V88" i="5" s="1"/>
  <c r="W78" i="5"/>
  <c r="V78" i="5" s="1"/>
  <c r="H78" i="5" s="1"/>
  <c r="W45" i="5"/>
  <c r="V45" i="5" s="1"/>
  <c r="H45" i="5" s="1"/>
  <c r="W84" i="5"/>
  <c r="V84" i="5" s="1"/>
  <c r="Z84" i="5" s="1"/>
  <c r="AA84" i="5" s="1"/>
  <c r="W29" i="5"/>
  <c r="V29" i="5" s="1"/>
  <c r="H29" i="5" s="1"/>
  <c r="W43" i="5"/>
  <c r="V43" i="5" s="1"/>
  <c r="H43" i="5" s="1"/>
  <c r="W48" i="5"/>
  <c r="V48" i="5" s="1"/>
  <c r="Z48" i="5" s="1"/>
  <c r="AA48" i="5" s="1"/>
  <c r="W26" i="5"/>
  <c r="V26" i="5" s="1"/>
  <c r="Z26" i="5" s="1"/>
  <c r="AA26" i="5" s="1"/>
  <c r="W9" i="5"/>
  <c r="V9" i="5" s="1"/>
  <c r="H9" i="5" s="1"/>
  <c r="W69" i="5"/>
  <c r="V69" i="5" s="1"/>
  <c r="H69" i="5" s="1"/>
  <c r="W37" i="5"/>
  <c r="V37" i="5" s="1"/>
  <c r="H37" i="5" s="1"/>
  <c r="D9" i="11"/>
  <c r="D57" i="11"/>
  <c r="V92" i="9"/>
  <c r="X92" i="9" s="1"/>
  <c r="V10" i="9"/>
  <c r="Y10" i="9" s="1"/>
  <c r="V99" i="9"/>
  <c r="X99" i="9" s="1"/>
  <c r="AT3" i="7"/>
  <c r="H26" i="10"/>
  <c r="V60" i="9"/>
  <c r="X60" i="9" s="1"/>
  <c r="V18" i="9"/>
  <c r="X18" i="9" s="1"/>
  <c r="AT8" i="7"/>
  <c r="H9" i="11"/>
  <c r="V47" i="9"/>
  <c r="X47" i="9" s="1"/>
  <c r="AJ20" i="9"/>
  <c r="AJ75" i="9"/>
  <c r="AH7" i="9"/>
  <c r="AJ42" i="9"/>
  <c r="AM25" i="7"/>
  <c r="AE92" i="9"/>
  <c r="X19" i="14"/>
  <c r="N9" i="14"/>
  <c r="P9" i="14" s="1"/>
  <c r="V58" i="9"/>
  <c r="Y58" i="9" s="1"/>
  <c r="V17" i="9"/>
  <c r="X17" i="9" s="1"/>
  <c r="D28" i="11"/>
  <c r="AT10" i="7"/>
  <c r="AE48" i="9"/>
  <c r="AY25" i="7"/>
  <c r="X61" i="14"/>
  <c r="V5" i="9"/>
  <c r="X5" i="9" s="1"/>
  <c r="V39" i="9"/>
  <c r="Y39" i="9" s="1"/>
  <c r="V51" i="9"/>
  <c r="X51" i="9" s="1"/>
  <c r="D8" i="11"/>
  <c r="AH83" i="9"/>
  <c r="AH10" i="9"/>
  <c r="AY10" i="7"/>
  <c r="AH18" i="9"/>
  <c r="V24" i="9"/>
  <c r="X24" i="9" s="1"/>
  <c r="O9" i="17"/>
  <c r="O9" i="15"/>
  <c r="Q9" i="15" s="1"/>
  <c r="S9" i="15" s="1"/>
  <c r="G132" i="15" s="1"/>
  <c r="D78" i="11"/>
  <c r="AE10" i="9"/>
  <c r="AE18" i="9"/>
  <c r="V19" i="9"/>
  <c r="Y19" i="9" s="1"/>
  <c r="AH37" i="9"/>
  <c r="AY18" i="7"/>
  <c r="AH24" i="9"/>
  <c r="V48" i="9"/>
  <c r="Y48" i="9" s="1"/>
  <c r="D40" i="11"/>
  <c r="X87" i="14"/>
  <c r="F13" i="17"/>
  <c r="V100" i="9"/>
  <c r="X100" i="9" s="1"/>
  <c r="V79" i="9"/>
  <c r="Y79" i="9" s="1"/>
  <c r="V32" i="9"/>
  <c r="Y32" i="9" s="1"/>
  <c r="V6" i="9"/>
  <c r="X6" i="9" s="1"/>
  <c r="V36" i="9"/>
  <c r="X36" i="9" s="1"/>
  <c r="AT28" i="7"/>
  <c r="AH60" i="9"/>
  <c r="D101" i="11"/>
  <c r="AH31" i="9"/>
  <c r="D90" i="11"/>
  <c r="X94" i="14"/>
  <c r="I10" i="17"/>
  <c r="F9" i="17"/>
  <c r="AH53" i="9"/>
  <c r="AJ38" i="9"/>
  <c r="AE31" i="9"/>
  <c r="AE88" i="9"/>
  <c r="X62" i="14"/>
  <c r="AE53" i="9"/>
  <c r="AJ86" i="9"/>
  <c r="AH22" i="9"/>
  <c r="AJ81" i="9"/>
  <c r="V65" i="9"/>
  <c r="Y65" i="9" s="1"/>
  <c r="AE58" i="9"/>
  <c r="AH36" i="9"/>
  <c r="X30" i="14"/>
  <c r="N4" i="14"/>
  <c r="P4" i="14" s="1"/>
  <c r="AE22" i="9"/>
  <c r="X3" i="14"/>
  <c r="X71" i="14"/>
  <c r="X28" i="14"/>
  <c r="AH44" i="9"/>
  <c r="V23" i="9"/>
  <c r="X23" i="9" s="1"/>
  <c r="AH23" i="9"/>
  <c r="X59" i="14"/>
  <c r="X85" i="14"/>
  <c r="X50" i="14"/>
  <c r="X18" i="14"/>
  <c r="V7" i="9"/>
  <c r="Y7" i="9" s="1"/>
  <c r="AE69" i="9"/>
  <c r="AH82" i="9"/>
  <c r="AH86" i="9"/>
  <c r="V56" i="9"/>
  <c r="X56" i="9" s="1"/>
  <c r="D71" i="11"/>
  <c r="V83" i="9"/>
  <c r="X83" i="9" s="1"/>
  <c r="AE17" i="9"/>
  <c r="AH100" i="9"/>
  <c r="AJ25" i="9"/>
  <c r="D43" i="11"/>
  <c r="AE79" i="9"/>
  <c r="V96" i="9"/>
  <c r="Y96" i="9" s="1"/>
  <c r="AH62" i="9"/>
  <c r="X17" i="14"/>
  <c r="X43" i="14"/>
  <c r="X69" i="14"/>
  <c r="X80" i="14"/>
  <c r="X48" i="14"/>
  <c r="X16" i="14"/>
  <c r="K16" i="14"/>
  <c r="AH17" i="9"/>
  <c r="X33" i="14"/>
  <c r="AH6" i="9"/>
  <c r="AJ84" i="9"/>
  <c r="AH85" i="9"/>
  <c r="AH39" i="9"/>
  <c r="AH56" i="9"/>
  <c r="AJ72" i="9"/>
  <c r="D11" i="11"/>
  <c r="V62" i="9"/>
  <c r="Y62" i="9" s="1"/>
  <c r="AJ89" i="9"/>
  <c r="D83" i="11"/>
  <c r="V45" i="9"/>
  <c r="X45" i="9" s="1"/>
  <c r="AH33" i="9"/>
  <c r="X95" i="14"/>
  <c r="X27" i="14"/>
  <c r="X53" i="14"/>
  <c r="X78" i="14"/>
  <c r="X46" i="14"/>
  <c r="X14" i="14"/>
  <c r="N6" i="14"/>
  <c r="P6" i="14" s="1"/>
  <c r="O5" i="17"/>
  <c r="AE6" i="9"/>
  <c r="AJ100" i="9"/>
  <c r="AE39" i="9"/>
  <c r="D41" i="11"/>
  <c r="H27" i="10"/>
  <c r="AH32" i="9"/>
  <c r="D13" i="11"/>
  <c r="AJ7" i="9"/>
  <c r="X79" i="14"/>
  <c r="X11" i="14"/>
  <c r="X37" i="14"/>
  <c r="X76" i="14"/>
  <c r="X44" i="14"/>
  <c r="X12" i="14"/>
  <c r="N11" i="14"/>
  <c r="P11" i="14" s="1"/>
  <c r="G311" i="15"/>
  <c r="O10" i="17"/>
  <c r="X92" i="14"/>
  <c r="AH58" i="9"/>
  <c r="X82" i="14"/>
  <c r="V57" i="9"/>
  <c r="X57" i="9" s="1"/>
  <c r="AJ88" i="9"/>
  <c r="AJ76" i="9"/>
  <c r="D21" i="11"/>
  <c r="H17" i="10"/>
  <c r="AE32" i="9"/>
  <c r="D53" i="11"/>
  <c r="AH47" i="9"/>
  <c r="X51" i="14"/>
  <c r="X93" i="14"/>
  <c r="X25" i="14"/>
  <c r="X98" i="14"/>
  <c r="X66" i="14"/>
  <c r="X34" i="14"/>
  <c r="M17" i="14"/>
  <c r="N3" i="14"/>
  <c r="Q3" i="14" s="1"/>
  <c r="X45" i="14"/>
  <c r="X60" i="14"/>
  <c r="V43" i="9"/>
  <c r="X43" i="9" s="1"/>
  <c r="V66" i="9"/>
  <c r="X66" i="9" s="1"/>
  <c r="D61" i="11"/>
  <c r="V13" i="9"/>
  <c r="X13" i="9" s="1"/>
  <c r="X35" i="14"/>
  <c r="X77" i="14"/>
  <c r="X9" i="14"/>
  <c r="X96" i="14"/>
  <c r="X64" i="14"/>
  <c r="X32" i="14"/>
  <c r="M23" i="14"/>
  <c r="N10" i="14"/>
  <c r="P10" i="14" s="1"/>
  <c r="K23" i="14"/>
  <c r="V44" i="9"/>
  <c r="T3" i="15"/>
  <c r="Y3" i="15" s="1"/>
  <c r="V91" i="9"/>
  <c r="Y91" i="9" s="1"/>
  <c r="X97" i="14"/>
  <c r="X63" i="14"/>
  <c r="X29" i="14"/>
  <c r="X89" i="14"/>
  <c r="X55" i="14"/>
  <c r="X21" i="14"/>
  <c r="X90" i="14"/>
  <c r="X74" i="14"/>
  <c r="X58" i="14"/>
  <c r="X42" i="14"/>
  <c r="X26" i="14"/>
  <c r="X10" i="14"/>
  <c r="K19" i="14"/>
  <c r="AA33" i="13"/>
  <c r="N8" i="13" s="1"/>
  <c r="D111" i="11"/>
  <c r="D103" i="11"/>
  <c r="X99" i="14"/>
  <c r="X81" i="14"/>
  <c r="X47" i="14"/>
  <c r="X13" i="14"/>
  <c r="X73" i="14"/>
  <c r="X39" i="14"/>
  <c r="X5" i="14"/>
  <c r="X88" i="14"/>
  <c r="X72" i="14"/>
  <c r="X56" i="14"/>
  <c r="X40" i="14"/>
  <c r="X24" i="14"/>
  <c r="X8" i="14"/>
  <c r="N7" i="14"/>
  <c r="Q7" i="14" s="1"/>
  <c r="K17" i="14"/>
  <c r="T10" i="15"/>
  <c r="Y10" i="15" s="1"/>
  <c r="AA18" i="13"/>
  <c r="N5" i="13" s="1"/>
  <c r="D23" i="11"/>
  <c r="H12" i="11"/>
  <c r="X83" i="14"/>
  <c r="X65" i="14"/>
  <c r="X31" i="14"/>
  <c r="X91" i="14"/>
  <c r="X57" i="14"/>
  <c r="X23" i="14"/>
  <c r="X101" i="14"/>
  <c r="X86" i="14"/>
  <c r="X70" i="14"/>
  <c r="X54" i="14"/>
  <c r="X38" i="14"/>
  <c r="X22" i="14"/>
  <c r="X6" i="14"/>
  <c r="K15" i="14"/>
  <c r="G300" i="15"/>
  <c r="AA43" i="13"/>
  <c r="N10" i="13" s="1"/>
  <c r="D63" i="11"/>
  <c r="X67" i="14"/>
  <c r="X49" i="14"/>
  <c r="X15" i="14"/>
  <c r="X75" i="14"/>
  <c r="X41" i="14"/>
  <c r="X7" i="14"/>
  <c r="X100" i="14"/>
  <c r="X84" i="14"/>
  <c r="X68" i="14"/>
  <c r="X52" i="14"/>
  <c r="X36" i="14"/>
  <c r="X20" i="14"/>
  <c r="T5" i="15"/>
  <c r="V5" i="15" s="1"/>
  <c r="G212" i="15"/>
  <c r="AB29" i="7"/>
  <c r="D38" i="11"/>
  <c r="H11" i="11"/>
  <c r="AT18" i="7"/>
  <c r="D10" i="11"/>
  <c r="D60" i="11"/>
  <c r="V85" i="9"/>
  <c r="M15" i="14"/>
  <c r="G36" i="15"/>
  <c r="D20" i="11"/>
  <c r="D118" i="11"/>
  <c r="V21" i="9"/>
  <c r="X21" i="9" s="1"/>
  <c r="AT20" i="7"/>
  <c r="D108" i="11"/>
  <c r="D48" i="11"/>
  <c r="AJ52" i="9"/>
  <c r="AJ51" i="9"/>
  <c r="D35" i="11"/>
  <c r="AT26" i="7"/>
  <c r="AT14" i="7"/>
  <c r="AJ90" i="9"/>
  <c r="AJ54" i="9"/>
  <c r="AJ69" i="9"/>
  <c r="AM28" i="7"/>
  <c r="AJ44" i="9"/>
  <c r="D81" i="11"/>
  <c r="AJ101" i="9"/>
  <c r="D3" i="11"/>
  <c r="D93" i="11"/>
  <c r="AY20" i="7"/>
  <c r="D30" i="11"/>
  <c r="M20" i="14"/>
  <c r="N5" i="14"/>
  <c r="P5" i="14" s="1"/>
  <c r="G69" i="15"/>
  <c r="D100" i="11"/>
  <c r="J133" i="18"/>
  <c r="D68" i="11"/>
  <c r="D80" i="11"/>
  <c r="M22" i="14"/>
  <c r="E41" i="13"/>
  <c r="AJ50" i="9"/>
  <c r="AJ11" i="9"/>
  <c r="D18" i="11"/>
  <c r="D88" i="11"/>
  <c r="H4" i="11"/>
  <c r="D45" i="11"/>
  <c r="AY26" i="7"/>
  <c r="D121" i="11"/>
  <c r="D33" i="11"/>
  <c r="AJ80" i="9"/>
  <c r="D70" i="11"/>
  <c r="M18" i="14"/>
  <c r="G135" i="15"/>
  <c r="D58" i="11"/>
  <c r="AJ68" i="9"/>
  <c r="D105" i="11"/>
  <c r="AJ70" i="9"/>
  <c r="X103" i="9"/>
  <c r="AC31" i="19" s="1"/>
  <c r="AJ60" i="9"/>
  <c r="D51" i="11"/>
  <c r="AJ74" i="9"/>
  <c r="AJ63" i="9"/>
  <c r="D73" i="11"/>
  <c r="D110" i="11"/>
  <c r="M21" i="14"/>
  <c r="M16" i="14"/>
  <c r="G124" i="15"/>
  <c r="D31" i="11"/>
  <c r="D120" i="11"/>
  <c r="G190" i="15"/>
  <c r="D85" i="11"/>
  <c r="H6" i="11"/>
  <c r="G223" i="15"/>
  <c r="G245" i="15"/>
  <c r="G157" i="15"/>
  <c r="G91" i="15"/>
  <c r="D15" i="11"/>
  <c r="G322" i="15"/>
  <c r="G234" i="15"/>
  <c r="G146" i="15"/>
  <c r="G14" i="15"/>
  <c r="AT23" i="7"/>
  <c r="D55" i="11"/>
  <c r="T6" i="15"/>
  <c r="Y6" i="15" s="1"/>
  <c r="G113" i="15"/>
  <c r="G256" i="15"/>
  <c r="G25" i="15"/>
  <c r="G267" i="15"/>
  <c r="AY23" i="7"/>
  <c r="D75" i="11"/>
  <c r="D95" i="11"/>
  <c r="G179" i="15"/>
  <c r="G58" i="15"/>
  <c r="G47" i="15"/>
  <c r="G333" i="15"/>
  <c r="AF48" i="13"/>
  <c r="D5" i="11"/>
  <c r="D25" i="11"/>
  <c r="AY14" i="7"/>
  <c r="G289" i="15"/>
  <c r="G201" i="15"/>
  <c r="G102" i="15"/>
  <c r="Y12" i="15"/>
  <c r="AC4" i="15" s="1"/>
  <c r="D115" i="11"/>
  <c r="G278" i="15"/>
  <c r="G168" i="15"/>
  <c r="K15" i="8"/>
  <c r="N15" i="8" s="1"/>
  <c r="F12" i="17"/>
  <c r="E363" i="13"/>
  <c r="O12" i="17"/>
  <c r="T7" i="15"/>
  <c r="X7" i="15" s="1"/>
  <c r="T11" i="15"/>
  <c r="X11" i="15" s="1"/>
  <c r="AG48" i="13"/>
  <c r="AH48" i="13" s="1"/>
  <c r="AG4" i="13"/>
  <c r="AG47" i="13"/>
  <c r="AH47" i="13" s="1"/>
  <c r="X12" i="15"/>
  <c r="AB10" i="15" s="1"/>
  <c r="T8" i="15"/>
  <c r="V8" i="15" s="1"/>
  <c r="V12" i="15"/>
  <c r="Z3" i="15" s="1"/>
  <c r="X26" i="12"/>
  <c r="X18" i="12"/>
  <c r="X13" i="12"/>
  <c r="X21" i="12"/>
  <c r="X23" i="12"/>
  <c r="X37" i="12"/>
  <c r="X14" i="12"/>
  <c r="X38" i="12"/>
  <c r="X27" i="12"/>
  <c r="X25" i="12"/>
  <c r="X20" i="12"/>
  <c r="X34" i="12"/>
  <c r="X4" i="12"/>
  <c r="X35" i="12"/>
  <c r="X5" i="12"/>
  <c r="X8" i="12"/>
  <c r="X22" i="12"/>
  <c r="X32" i="12"/>
  <c r="X24" i="12"/>
  <c r="X19" i="12"/>
  <c r="X29" i="12"/>
  <c r="X12" i="12"/>
  <c r="X39" i="12"/>
  <c r="X15" i="12"/>
  <c r="X31" i="12"/>
  <c r="X36" i="12"/>
  <c r="X9" i="12"/>
  <c r="X28" i="12"/>
  <c r="X33" i="12"/>
  <c r="X16" i="12"/>
  <c r="X17" i="12"/>
  <c r="X30" i="12"/>
  <c r="X10" i="12"/>
  <c r="X11" i="12"/>
  <c r="X7" i="12"/>
  <c r="X6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K47" i="8"/>
  <c r="M47" i="8" s="1"/>
  <c r="Z52" i="5"/>
  <c r="AA52" i="5" s="1"/>
  <c r="Z99" i="5"/>
  <c r="AA99" i="5" s="1"/>
  <c r="AA4" i="7"/>
  <c r="K19" i="8"/>
  <c r="N19" i="8" s="1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101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E11" i="17"/>
  <c r="G11" i="17"/>
  <c r="E167" i="13"/>
  <c r="E213" i="13"/>
  <c r="E121" i="13"/>
  <c r="E489" i="13"/>
  <c r="E75" i="13"/>
  <c r="E443" i="13"/>
  <c r="G307" i="15"/>
  <c r="G318" i="15"/>
  <c r="G54" i="15"/>
  <c r="G175" i="15"/>
  <c r="G109" i="15"/>
  <c r="G43" i="15"/>
  <c r="G230" i="15"/>
  <c r="G285" i="15"/>
  <c r="G186" i="15"/>
  <c r="G153" i="15"/>
  <c r="G142" i="15"/>
  <c r="G131" i="15"/>
  <c r="G197" i="15"/>
  <c r="G10" i="15"/>
  <c r="G252" i="15"/>
  <c r="G65" i="15"/>
  <c r="G208" i="15"/>
  <c r="G219" i="15"/>
  <c r="G164" i="15"/>
  <c r="G32" i="15"/>
  <c r="G296" i="15"/>
  <c r="G241" i="15"/>
  <c r="G329" i="15"/>
  <c r="G76" i="15"/>
  <c r="G263" i="15"/>
  <c r="G120" i="15"/>
  <c r="G87" i="15"/>
  <c r="G98" i="15"/>
  <c r="G21" i="15"/>
  <c r="G274" i="15"/>
  <c r="G232" i="15"/>
  <c r="G276" i="15"/>
  <c r="G78" i="15"/>
  <c r="G45" i="15"/>
  <c r="G155" i="15"/>
  <c r="G331" i="15"/>
  <c r="G56" i="15"/>
  <c r="G166" i="15"/>
  <c r="G12" i="15"/>
  <c r="G23" i="15"/>
  <c r="G177" i="15"/>
  <c r="G100" i="15"/>
  <c r="G89" i="15"/>
  <c r="G320" i="15"/>
  <c r="G67" i="15"/>
  <c r="G188" i="15"/>
  <c r="G298" i="15"/>
  <c r="G287" i="15"/>
  <c r="G122" i="15"/>
  <c r="G199" i="15"/>
  <c r="G243" i="15"/>
  <c r="G309" i="15"/>
  <c r="G254" i="15"/>
  <c r="G34" i="15"/>
  <c r="G133" i="15"/>
  <c r="G111" i="15"/>
  <c r="G210" i="15"/>
  <c r="G265" i="15"/>
  <c r="G144" i="15"/>
  <c r="G221" i="15"/>
  <c r="E324" i="13"/>
  <c r="E278" i="13"/>
  <c r="E265" i="13"/>
  <c r="E311" i="13"/>
  <c r="E286" i="13"/>
  <c r="E240" i="13"/>
  <c r="E300" i="13"/>
  <c r="E254" i="13"/>
  <c r="E283" i="13"/>
  <c r="E237" i="13"/>
  <c r="E267" i="13"/>
  <c r="E313" i="13"/>
  <c r="E10" i="17"/>
  <c r="G10" i="17"/>
  <c r="E22" i="13"/>
  <c r="E344" i="13"/>
  <c r="E390" i="13"/>
  <c r="E332" i="13"/>
  <c r="E10" i="13"/>
  <c r="E378" i="13"/>
  <c r="E5" i="17"/>
  <c r="G5" i="17"/>
  <c r="E60" i="13"/>
  <c r="E106" i="13"/>
  <c r="E428" i="13"/>
  <c r="E474" i="13"/>
  <c r="E198" i="13"/>
  <c r="E152" i="13"/>
  <c r="E184" i="13"/>
  <c r="E430" i="13"/>
  <c r="E250" i="13"/>
  <c r="E296" i="13"/>
  <c r="E257" i="13"/>
  <c r="E303" i="13"/>
  <c r="E317" i="13"/>
  <c r="E271" i="13"/>
  <c r="E292" i="13"/>
  <c r="E246" i="13"/>
  <c r="E276" i="13"/>
  <c r="E322" i="13"/>
  <c r="E259" i="13"/>
  <c r="E305" i="13"/>
  <c r="E416" i="13"/>
  <c r="E370" i="13"/>
  <c r="E48" i="13"/>
  <c r="E336" i="13"/>
  <c r="E14" i="13"/>
  <c r="E382" i="13"/>
  <c r="E366" i="13"/>
  <c r="E412" i="13"/>
  <c r="E44" i="13"/>
  <c r="BC31" i="19"/>
  <c r="BE31" i="19"/>
  <c r="AA5" i="15"/>
  <c r="BG31" i="19"/>
  <c r="AA4" i="15"/>
  <c r="AA11" i="15"/>
  <c r="BA31" i="19"/>
  <c r="AA12" i="15"/>
  <c r="AA9" i="15"/>
  <c r="AA3" i="15"/>
  <c r="AA7" i="15"/>
  <c r="AA8" i="15"/>
  <c r="AA6" i="15"/>
  <c r="AA10" i="15"/>
  <c r="W6" i="15"/>
  <c r="G4" i="17"/>
  <c r="E4" i="17"/>
  <c r="E225" i="13"/>
  <c r="E179" i="13"/>
  <c r="E455" i="13"/>
  <c r="E501" i="13"/>
  <c r="E87" i="13"/>
  <c r="E133" i="13"/>
  <c r="E242" i="13"/>
  <c r="E288" i="13"/>
  <c r="E249" i="13"/>
  <c r="E295" i="13"/>
  <c r="E309" i="13"/>
  <c r="E263" i="13"/>
  <c r="E284" i="13"/>
  <c r="E238" i="13"/>
  <c r="E268" i="13"/>
  <c r="E314" i="13"/>
  <c r="E251" i="13"/>
  <c r="E297" i="13"/>
  <c r="E408" i="13"/>
  <c r="E362" i="13"/>
  <c r="E40" i="13"/>
  <c r="E6" i="13"/>
  <c r="E374" i="13"/>
  <c r="E328" i="13"/>
  <c r="E358" i="13"/>
  <c r="E404" i="13"/>
  <c r="E36" i="13"/>
  <c r="N7" i="13"/>
  <c r="G255" i="15"/>
  <c r="G24" i="15"/>
  <c r="G112" i="15"/>
  <c r="G233" i="15"/>
  <c r="G244" i="15"/>
  <c r="G178" i="15"/>
  <c r="G35" i="15"/>
  <c r="G123" i="15"/>
  <c r="G266" i="15"/>
  <c r="G46" i="15"/>
  <c r="G211" i="15"/>
  <c r="G321" i="15"/>
  <c r="G13" i="15"/>
  <c r="G57" i="15"/>
  <c r="G299" i="15"/>
  <c r="G189" i="15"/>
  <c r="G68" i="15"/>
  <c r="G134" i="15"/>
  <c r="G277" i="15"/>
  <c r="G79" i="15"/>
  <c r="G222" i="15"/>
  <c r="G156" i="15"/>
  <c r="G200" i="15"/>
  <c r="G90" i="15"/>
  <c r="G310" i="15"/>
  <c r="G332" i="15"/>
  <c r="G167" i="15"/>
  <c r="G288" i="15"/>
  <c r="G101" i="15"/>
  <c r="G145" i="15"/>
  <c r="G55" i="15"/>
  <c r="AK31" i="19"/>
  <c r="AG13" i="13"/>
  <c r="AG43" i="13"/>
  <c r="AH43" i="13" s="1"/>
  <c r="AG8" i="13"/>
  <c r="AG45" i="13"/>
  <c r="AG7" i="13"/>
  <c r="AG28" i="13"/>
  <c r="AH28" i="13" s="1"/>
  <c r="AG9" i="13"/>
  <c r="AG38" i="13"/>
  <c r="AH38" i="13" s="1"/>
  <c r="AG18" i="13"/>
  <c r="AG5" i="13"/>
  <c r="AG29" i="13"/>
  <c r="AG23" i="13"/>
  <c r="AH23" i="13" s="1"/>
  <c r="AG33" i="13"/>
  <c r="AH33" i="13" s="1"/>
  <c r="AG46" i="13"/>
  <c r="AG6" i="13"/>
  <c r="AG37" i="13"/>
  <c r="AG21" i="13"/>
  <c r="AG31" i="13"/>
  <c r="AG27" i="13"/>
  <c r="AG39" i="13"/>
  <c r="AH39" i="13" s="1"/>
  <c r="AG10" i="13"/>
  <c r="AG42" i="13"/>
  <c r="AG35" i="13"/>
  <c r="AG19" i="13"/>
  <c r="AG14" i="13"/>
  <c r="AG24" i="13"/>
  <c r="AG16" i="13"/>
  <c r="AG41" i="13"/>
  <c r="AG26" i="13"/>
  <c r="AG12" i="13"/>
  <c r="AG36" i="13"/>
  <c r="AG11" i="13"/>
  <c r="AG20" i="13"/>
  <c r="AG44" i="13"/>
  <c r="AH44" i="13" s="1"/>
  <c r="AG40" i="13"/>
  <c r="AG17" i="13"/>
  <c r="AG34" i="13"/>
  <c r="AH34" i="13" s="1"/>
  <c r="AG15" i="13"/>
  <c r="AG32" i="13"/>
  <c r="AG22" i="13"/>
  <c r="AG30" i="13"/>
  <c r="AG25" i="13"/>
  <c r="AA28" i="7"/>
  <c r="G63" i="15"/>
  <c r="G129" i="15"/>
  <c r="G107" i="15"/>
  <c r="G195" i="15"/>
  <c r="G294" i="15"/>
  <c r="G19" i="15"/>
  <c r="G206" i="15"/>
  <c r="G305" i="15"/>
  <c r="G217" i="15"/>
  <c r="G316" i="15"/>
  <c r="G327" i="15"/>
  <c r="G74" i="15"/>
  <c r="G8" i="15"/>
  <c r="G228" i="15"/>
  <c r="G239" i="15"/>
  <c r="G30" i="15"/>
  <c r="G151" i="15"/>
  <c r="G250" i="15"/>
  <c r="G85" i="15"/>
  <c r="G162" i="15"/>
  <c r="G261" i="15"/>
  <c r="G41" i="15"/>
  <c r="G52" i="15"/>
  <c r="G140" i="15"/>
  <c r="G173" i="15"/>
  <c r="G96" i="15"/>
  <c r="G272" i="15"/>
  <c r="G118" i="15"/>
  <c r="G184" i="15"/>
  <c r="G283" i="15"/>
  <c r="E433" i="13"/>
  <c r="E157" i="13"/>
  <c r="E479" i="13"/>
  <c r="E111" i="13"/>
  <c r="E65" i="13"/>
  <c r="E203" i="13"/>
  <c r="E464" i="13"/>
  <c r="E66" i="13"/>
  <c r="V9" i="15"/>
  <c r="X9" i="15"/>
  <c r="Y9" i="15"/>
  <c r="W9" i="15"/>
  <c r="E234" i="13"/>
  <c r="E280" i="13"/>
  <c r="E241" i="13"/>
  <c r="E287" i="13"/>
  <c r="E301" i="13"/>
  <c r="E255" i="13"/>
  <c r="E323" i="13"/>
  <c r="E277" i="13"/>
  <c r="E260" i="13"/>
  <c r="E306" i="13"/>
  <c r="E243" i="13"/>
  <c r="E289" i="13"/>
  <c r="E400" i="13"/>
  <c r="E32" i="13"/>
  <c r="E354" i="13"/>
  <c r="E413" i="13"/>
  <c r="E45" i="13"/>
  <c r="E367" i="13"/>
  <c r="E350" i="13"/>
  <c r="E396" i="13"/>
  <c r="E28" i="13"/>
  <c r="E12" i="17"/>
  <c r="G12" i="17"/>
  <c r="E6" i="17"/>
  <c r="G6" i="17"/>
  <c r="E159" i="13"/>
  <c r="E435" i="13"/>
  <c r="E205" i="13"/>
  <c r="E113" i="13"/>
  <c r="E67" i="13"/>
  <c r="E481" i="13"/>
  <c r="E77" i="13"/>
  <c r="E274" i="13"/>
  <c r="E320" i="13"/>
  <c r="E318" i="13"/>
  <c r="E272" i="13"/>
  <c r="E293" i="13"/>
  <c r="E247" i="13"/>
  <c r="E315" i="13"/>
  <c r="E269" i="13"/>
  <c r="E252" i="13"/>
  <c r="E298" i="13"/>
  <c r="E235" i="13"/>
  <c r="E281" i="13"/>
  <c r="E392" i="13"/>
  <c r="E346" i="13"/>
  <c r="E24" i="13"/>
  <c r="E342" i="13"/>
  <c r="E388" i="13"/>
  <c r="E20" i="13"/>
  <c r="E364" i="13"/>
  <c r="E42" i="13"/>
  <c r="E410" i="13"/>
  <c r="N9" i="13"/>
  <c r="G325" i="15"/>
  <c r="G116" i="15"/>
  <c r="G215" i="15"/>
  <c r="G237" i="15"/>
  <c r="G28" i="15"/>
  <c r="G127" i="15"/>
  <c r="G226" i="15"/>
  <c r="G248" i="15"/>
  <c r="G138" i="15"/>
  <c r="G149" i="15"/>
  <c r="G259" i="15"/>
  <c r="G39" i="15"/>
  <c r="G160" i="15"/>
  <c r="G270" i="15"/>
  <c r="G61" i="15"/>
  <c r="G171" i="15"/>
  <c r="G94" i="15"/>
  <c r="G281" i="15"/>
  <c r="G182" i="15"/>
  <c r="G292" i="15"/>
  <c r="G83" i="15"/>
  <c r="G72" i="15"/>
  <c r="G50" i="15"/>
  <c r="G6" i="15"/>
  <c r="G105" i="15"/>
  <c r="G193" i="15"/>
  <c r="G303" i="15"/>
  <c r="G17" i="15"/>
  <c r="G204" i="15"/>
  <c r="G314" i="15"/>
  <c r="G9" i="17"/>
  <c r="E9" i="17"/>
  <c r="J16" i="14"/>
  <c r="J18" i="14"/>
  <c r="J20" i="14"/>
  <c r="J22" i="14"/>
  <c r="J15" i="14"/>
  <c r="J17" i="14"/>
  <c r="J19" i="14"/>
  <c r="J21" i="14"/>
  <c r="J23" i="14"/>
  <c r="E46" i="14"/>
  <c r="E35" i="14"/>
  <c r="E24" i="14"/>
  <c r="E13" i="14"/>
  <c r="E57" i="14"/>
  <c r="G53" i="15"/>
  <c r="G130" i="15"/>
  <c r="G119" i="15"/>
  <c r="G141" i="15"/>
  <c r="G174" i="15"/>
  <c r="G196" i="15"/>
  <c r="G284" i="15"/>
  <c r="G152" i="15"/>
  <c r="G42" i="15"/>
  <c r="G163" i="15"/>
  <c r="G295" i="15"/>
  <c r="G64" i="15"/>
  <c r="G185" i="15"/>
  <c r="G306" i="15"/>
  <c r="G317" i="15"/>
  <c r="G328" i="15"/>
  <c r="G75" i="15"/>
  <c r="G207" i="15"/>
  <c r="G240" i="15"/>
  <c r="G9" i="15"/>
  <c r="G218" i="15"/>
  <c r="G20" i="15"/>
  <c r="G251" i="15"/>
  <c r="G86" i="15"/>
  <c r="G31" i="15"/>
  <c r="G229" i="15"/>
  <c r="G262" i="15"/>
  <c r="G108" i="15"/>
  <c r="G97" i="15"/>
  <c r="G273" i="15"/>
  <c r="E468" i="13"/>
  <c r="E146" i="13"/>
  <c r="E54" i="13"/>
  <c r="E100" i="13"/>
  <c r="E422" i="13"/>
  <c r="E192" i="13"/>
  <c r="E191" i="13"/>
  <c r="E266" i="13"/>
  <c r="E312" i="13"/>
  <c r="E310" i="13"/>
  <c r="E264" i="13"/>
  <c r="E285" i="13"/>
  <c r="E239" i="13"/>
  <c r="E307" i="13"/>
  <c r="E261" i="13"/>
  <c r="E244" i="13"/>
  <c r="E290" i="13"/>
  <c r="E384" i="13"/>
  <c r="E16" i="13"/>
  <c r="E338" i="13"/>
  <c r="E368" i="13"/>
  <c r="E414" i="13"/>
  <c r="E46" i="13"/>
  <c r="E334" i="13"/>
  <c r="E380" i="13"/>
  <c r="E12" i="13"/>
  <c r="E356" i="13"/>
  <c r="E402" i="13"/>
  <c r="E34" i="13"/>
  <c r="AA7" i="7"/>
  <c r="G73" i="15"/>
  <c r="G18" i="15"/>
  <c r="G205" i="15"/>
  <c r="G304" i="15"/>
  <c r="G326" i="15"/>
  <c r="G117" i="15"/>
  <c r="G216" i="15"/>
  <c r="G315" i="15"/>
  <c r="G62" i="15"/>
  <c r="G29" i="15"/>
  <c r="G128" i="15"/>
  <c r="G227" i="15"/>
  <c r="G238" i="15"/>
  <c r="G51" i="15"/>
  <c r="G139" i="15"/>
  <c r="G150" i="15"/>
  <c r="G249" i="15"/>
  <c r="G84" i="15"/>
  <c r="G161" i="15"/>
  <c r="G260" i="15"/>
  <c r="G40" i="15"/>
  <c r="G172" i="15"/>
  <c r="G95" i="15"/>
  <c r="G271" i="15"/>
  <c r="G183" i="15"/>
  <c r="G282" i="15"/>
  <c r="G7" i="15"/>
  <c r="G106" i="15"/>
  <c r="G194" i="15"/>
  <c r="G293" i="15"/>
  <c r="P12" i="14"/>
  <c r="AQ31" i="19" s="1"/>
  <c r="E7" i="17"/>
  <c r="G7" i="17"/>
  <c r="E454" i="13"/>
  <c r="E178" i="13"/>
  <c r="E500" i="13"/>
  <c r="E224" i="13"/>
  <c r="E86" i="13"/>
  <c r="E132" i="13"/>
  <c r="E79" i="13"/>
  <c r="E425" i="13"/>
  <c r="E57" i="13"/>
  <c r="E471" i="13"/>
  <c r="E103" i="13"/>
  <c r="E149" i="13"/>
  <c r="E195" i="13"/>
  <c r="E258" i="13"/>
  <c r="E304" i="13"/>
  <c r="E302" i="13"/>
  <c r="E256" i="13"/>
  <c r="E316" i="13"/>
  <c r="E270" i="13"/>
  <c r="E299" i="13"/>
  <c r="E253" i="13"/>
  <c r="E236" i="13"/>
  <c r="E282" i="13"/>
  <c r="E376" i="13"/>
  <c r="E330" i="13"/>
  <c r="E8" i="13"/>
  <c r="E406" i="13"/>
  <c r="E360" i="13"/>
  <c r="E38" i="13"/>
  <c r="E326" i="13"/>
  <c r="E4" i="13"/>
  <c r="E372" i="13"/>
  <c r="E348" i="13"/>
  <c r="E26" i="13"/>
  <c r="E394" i="13"/>
  <c r="AB7" i="7"/>
  <c r="E487" i="13"/>
  <c r="E457" i="13"/>
  <c r="E89" i="13"/>
  <c r="E181" i="13"/>
  <c r="E227" i="13"/>
  <c r="E503" i="13"/>
  <c r="E135" i="13"/>
  <c r="E150" i="13"/>
  <c r="E472" i="13"/>
  <c r="E58" i="13"/>
  <c r="E426" i="13"/>
  <c r="E104" i="13"/>
  <c r="E196" i="13"/>
  <c r="E166" i="13"/>
  <c r="E442" i="13"/>
  <c r="E120" i="13"/>
  <c r="E74" i="13"/>
  <c r="E212" i="13"/>
  <c r="E488" i="13"/>
  <c r="E110" i="13"/>
  <c r="E156" i="13"/>
  <c r="E432" i="13"/>
  <c r="E202" i="13"/>
  <c r="E64" i="13"/>
  <c r="E478" i="13"/>
  <c r="E8" i="17"/>
  <c r="G8" i="17"/>
  <c r="E273" i="13"/>
  <c r="E319" i="13"/>
  <c r="E294" i="13"/>
  <c r="E248" i="13"/>
  <c r="E308" i="13"/>
  <c r="E262" i="13"/>
  <c r="E291" i="13"/>
  <c r="E245" i="13"/>
  <c r="E275" i="13"/>
  <c r="E321" i="13"/>
  <c r="E369" i="13"/>
  <c r="E415" i="13"/>
  <c r="E47" i="13"/>
  <c r="E30" i="13"/>
  <c r="E352" i="13"/>
  <c r="E398" i="13"/>
  <c r="E43" i="13"/>
  <c r="E411" i="13"/>
  <c r="E365" i="13"/>
  <c r="E340" i="13"/>
  <c r="E386" i="13"/>
  <c r="E18" i="13"/>
  <c r="G49" i="15"/>
  <c r="G60" i="15"/>
  <c r="G82" i="15"/>
  <c r="G137" i="15"/>
  <c r="G159" i="15"/>
  <c r="G247" i="15"/>
  <c r="G148" i="15"/>
  <c r="G170" i="15"/>
  <c r="G258" i="15"/>
  <c r="G181" i="15"/>
  <c r="G38" i="15"/>
  <c r="G269" i="15"/>
  <c r="G192" i="15"/>
  <c r="G280" i="15"/>
  <c r="G324" i="15"/>
  <c r="G5" i="15"/>
  <c r="G27" i="15"/>
  <c r="G203" i="15"/>
  <c r="G291" i="15"/>
  <c r="G71" i="15"/>
  <c r="G16" i="15"/>
  <c r="G115" i="15"/>
  <c r="G214" i="15"/>
  <c r="G302" i="15"/>
  <c r="G104" i="15"/>
  <c r="G225" i="15"/>
  <c r="G313" i="15"/>
  <c r="G93" i="15"/>
  <c r="G126" i="15"/>
  <c r="G236" i="15"/>
  <c r="N5" i="5"/>
  <c r="AA15" i="7"/>
  <c r="AA16" i="7"/>
  <c r="AA18" i="7"/>
  <c r="K31" i="8"/>
  <c r="M31" i="8" s="1"/>
  <c r="K7" i="8"/>
  <c r="N7" i="8" s="1"/>
  <c r="AA9" i="7"/>
  <c r="AA24" i="7"/>
  <c r="K43" i="8"/>
  <c r="N43" i="8" s="1"/>
  <c r="K51" i="8"/>
  <c r="N51" i="8" s="1"/>
  <c r="N4" i="5"/>
  <c r="N3" i="5"/>
  <c r="AA25" i="7"/>
  <c r="W6" i="12"/>
  <c r="V6" i="12"/>
  <c r="J37" i="12"/>
  <c r="J77" i="12"/>
  <c r="J157" i="12"/>
  <c r="J237" i="12"/>
  <c r="J317" i="12"/>
  <c r="J197" i="12"/>
  <c r="J277" i="12"/>
  <c r="J357" i="12"/>
  <c r="J117" i="12"/>
  <c r="X75" i="9"/>
  <c r="Y75" i="9"/>
  <c r="J10" i="12"/>
  <c r="J130" i="12"/>
  <c r="J50" i="12"/>
  <c r="J290" i="12"/>
  <c r="J90" i="12"/>
  <c r="J170" i="12"/>
  <c r="J250" i="12"/>
  <c r="J330" i="12"/>
  <c r="J210" i="12"/>
  <c r="V30" i="12"/>
  <c r="W30" i="12"/>
  <c r="K45" i="8"/>
  <c r="Q45" i="8"/>
  <c r="K29" i="8"/>
  <c r="Q29" i="8"/>
  <c r="K10" i="8"/>
  <c r="Q10" i="8"/>
  <c r="K40" i="8"/>
  <c r="Q40" i="8"/>
  <c r="K6" i="8"/>
  <c r="Q6" i="8"/>
  <c r="X69" i="9"/>
  <c r="Y69" i="9"/>
  <c r="J18" i="12"/>
  <c r="J298" i="12"/>
  <c r="J138" i="12"/>
  <c r="J218" i="12"/>
  <c r="J58" i="12"/>
  <c r="J98" i="12"/>
  <c r="J258" i="12"/>
  <c r="J178" i="12"/>
  <c r="J338" i="12"/>
  <c r="AN10" i="7"/>
  <c r="AZ10" i="7"/>
  <c r="AF10" i="7"/>
  <c r="AU10" i="7"/>
  <c r="AN24" i="7"/>
  <c r="AZ24" i="7"/>
  <c r="AU24" i="7"/>
  <c r="AF24" i="7"/>
  <c r="AF19" i="7"/>
  <c r="AU19" i="7"/>
  <c r="AZ19" i="7"/>
  <c r="AN19" i="7"/>
  <c r="AU3" i="7"/>
  <c r="AZ3" i="7"/>
  <c r="AF3" i="7"/>
  <c r="AN3" i="7"/>
  <c r="Y60" i="9"/>
  <c r="J211" i="12"/>
  <c r="J331" i="12"/>
  <c r="J251" i="12"/>
  <c r="J171" i="12"/>
  <c r="J91" i="12"/>
  <c r="J11" i="12"/>
  <c r="J291" i="12"/>
  <c r="J131" i="12"/>
  <c r="J51" i="12"/>
  <c r="X27" i="9"/>
  <c r="Y27" i="9"/>
  <c r="AO26" i="7"/>
  <c r="BA26" i="7"/>
  <c r="AV26" i="7"/>
  <c r="AO10" i="7"/>
  <c r="BA10" i="7"/>
  <c r="AV10" i="7"/>
  <c r="AV23" i="7"/>
  <c r="BA23" i="7"/>
  <c r="AO23" i="7"/>
  <c r="AV7" i="7"/>
  <c r="BA7" i="7"/>
  <c r="AO7" i="7"/>
  <c r="X89" i="9"/>
  <c r="Y89" i="9"/>
  <c r="V38" i="12"/>
  <c r="W38" i="12"/>
  <c r="AA8" i="7"/>
  <c r="V18" i="7"/>
  <c r="V24" i="7"/>
  <c r="AA14" i="7"/>
  <c r="W32" i="12"/>
  <c r="V32" i="12"/>
  <c r="J20" i="12"/>
  <c r="J100" i="12"/>
  <c r="J140" i="12"/>
  <c r="J60" i="12"/>
  <c r="J180" i="12"/>
  <c r="J220" i="12"/>
  <c r="J300" i="12"/>
  <c r="J340" i="12"/>
  <c r="J260" i="12"/>
  <c r="J30" i="12"/>
  <c r="J270" i="12"/>
  <c r="J150" i="12"/>
  <c r="J230" i="12"/>
  <c r="J310" i="12"/>
  <c r="J190" i="12"/>
  <c r="J70" i="12"/>
  <c r="J110" i="12"/>
  <c r="J350" i="12"/>
  <c r="K44" i="8"/>
  <c r="Q44" i="8"/>
  <c r="K28" i="8"/>
  <c r="Q28" i="8"/>
  <c r="K49" i="8"/>
  <c r="Q49" i="8"/>
  <c r="K32" i="8"/>
  <c r="Q32" i="8"/>
  <c r="W21" i="12"/>
  <c r="V21" i="12"/>
  <c r="AU28" i="7"/>
  <c r="AF28" i="7"/>
  <c r="AN28" i="7"/>
  <c r="AZ28" i="7"/>
  <c r="AN16" i="7"/>
  <c r="AZ16" i="7"/>
  <c r="AU16" i="7"/>
  <c r="AF16" i="7"/>
  <c r="AU17" i="7"/>
  <c r="AF17" i="7"/>
  <c r="AN17" i="7"/>
  <c r="AZ17" i="7"/>
  <c r="J4" i="12"/>
  <c r="J204" i="12"/>
  <c r="J244" i="12"/>
  <c r="J124" i="12"/>
  <c r="J164" i="12"/>
  <c r="J44" i="12"/>
  <c r="J84" i="12"/>
  <c r="J284" i="12"/>
  <c r="J324" i="12"/>
  <c r="AO24" i="7"/>
  <c r="BA24" i="7"/>
  <c r="AV24" i="7"/>
  <c r="AO8" i="7"/>
  <c r="BA8" i="7"/>
  <c r="AV8" i="7"/>
  <c r="AO21" i="7"/>
  <c r="BA21" i="7"/>
  <c r="AV21" i="7"/>
  <c r="AO5" i="7"/>
  <c r="BA5" i="7"/>
  <c r="AV5" i="7"/>
  <c r="W23" i="12"/>
  <c r="V23" i="12"/>
  <c r="AA11" i="7"/>
  <c r="J31" i="12"/>
  <c r="J111" i="12"/>
  <c r="J351" i="12"/>
  <c r="J311" i="12"/>
  <c r="J191" i="12"/>
  <c r="J71" i="12"/>
  <c r="J271" i="12"/>
  <c r="J231" i="12"/>
  <c r="J151" i="12"/>
  <c r="AA6" i="7"/>
  <c r="W36" i="12"/>
  <c r="V36" i="12"/>
  <c r="W31" i="12"/>
  <c r="V31" i="12"/>
  <c r="X41" i="9"/>
  <c r="Y41" i="9"/>
  <c r="J38" i="12"/>
  <c r="J158" i="12"/>
  <c r="J238" i="12"/>
  <c r="J318" i="12"/>
  <c r="J198" i="12"/>
  <c r="J78" i="12"/>
  <c r="J118" i="12"/>
  <c r="J278" i="12"/>
  <c r="J358" i="12"/>
  <c r="J32" i="12"/>
  <c r="J312" i="12"/>
  <c r="J352" i="12"/>
  <c r="J232" i="12"/>
  <c r="J272" i="12"/>
  <c r="J152" i="12"/>
  <c r="J192" i="12"/>
  <c r="J72" i="12"/>
  <c r="J112" i="12"/>
  <c r="W20" i="12"/>
  <c r="V20" i="12"/>
  <c r="AA26" i="7"/>
  <c r="V26" i="12"/>
  <c r="W26" i="12"/>
  <c r="J7" i="12"/>
  <c r="J87" i="12"/>
  <c r="J207" i="12"/>
  <c r="J167" i="12"/>
  <c r="J127" i="12"/>
  <c r="J47" i="12"/>
  <c r="J327" i="12"/>
  <c r="J247" i="12"/>
  <c r="J287" i="12"/>
  <c r="K27" i="8"/>
  <c r="K13" i="8"/>
  <c r="Q13" i="8"/>
  <c r="K21" i="8"/>
  <c r="Q21" i="8"/>
  <c r="K41" i="8"/>
  <c r="Q41" i="8"/>
  <c r="K24" i="8"/>
  <c r="Q24" i="8"/>
  <c r="X59" i="9"/>
  <c r="Y59" i="9"/>
  <c r="J21" i="12"/>
  <c r="J61" i="12"/>
  <c r="J141" i="12"/>
  <c r="J221" i="12"/>
  <c r="J301" i="12"/>
  <c r="J101" i="12"/>
  <c r="J181" i="12"/>
  <c r="J261" i="12"/>
  <c r="J341" i="12"/>
  <c r="AU20" i="7"/>
  <c r="AZ20" i="7"/>
  <c r="AF20" i="7"/>
  <c r="AN20" i="7"/>
  <c r="AN8" i="7"/>
  <c r="AZ8" i="7"/>
  <c r="AU8" i="7"/>
  <c r="AF8" i="7"/>
  <c r="AF15" i="7"/>
  <c r="AN15" i="7"/>
  <c r="AZ15" i="7"/>
  <c r="AU15" i="7"/>
  <c r="X8" i="9"/>
  <c r="W4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R5" i="7"/>
  <c r="R13" i="7"/>
  <c r="R21" i="7"/>
  <c r="R11" i="7"/>
  <c r="R19" i="7"/>
  <c r="R27" i="7"/>
  <c r="R9" i="7"/>
  <c r="R17" i="7"/>
  <c r="R25" i="7"/>
  <c r="R7" i="7"/>
  <c r="R15" i="7"/>
  <c r="R23" i="7"/>
  <c r="AV22" i="7"/>
  <c r="AO22" i="7"/>
  <c r="BA22" i="7"/>
  <c r="AV6" i="7"/>
  <c r="AO6" i="7"/>
  <c r="BA6" i="7"/>
  <c r="AO19" i="7"/>
  <c r="BA19" i="7"/>
  <c r="AV19" i="7"/>
  <c r="X62" i="9"/>
  <c r="J23" i="12"/>
  <c r="J63" i="12"/>
  <c r="J103" i="12"/>
  <c r="J263" i="12"/>
  <c r="J343" i="12"/>
  <c r="J183" i="12"/>
  <c r="J143" i="12"/>
  <c r="J223" i="12"/>
  <c r="J303" i="12"/>
  <c r="W25" i="12"/>
  <c r="V25" i="12"/>
  <c r="K52" i="8"/>
  <c r="Q52" i="8"/>
  <c r="K16" i="8"/>
  <c r="Q16" i="8"/>
  <c r="W13" i="12"/>
  <c r="V13" i="12"/>
  <c r="P3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5" i="7"/>
  <c r="P7" i="7"/>
  <c r="P9" i="7"/>
  <c r="P11" i="7"/>
  <c r="P13" i="7"/>
  <c r="P15" i="7"/>
  <c r="P17" i="7"/>
  <c r="P19" i="7"/>
  <c r="P21" i="7"/>
  <c r="P23" i="7"/>
  <c r="P25" i="7"/>
  <c r="P27" i="7"/>
  <c r="AU12" i="7"/>
  <c r="AZ12" i="7"/>
  <c r="AF12" i="7"/>
  <c r="AN12" i="7"/>
  <c r="AN13" i="7"/>
  <c r="AZ13" i="7"/>
  <c r="AU13" i="7"/>
  <c r="AF13" i="7"/>
  <c r="AV17" i="7"/>
  <c r="AO17" i="7"/>
  <c r="BA17" i="7"/>
  <c r="J15" i="12"/>
  <c r="J335" i="12"/>
  <c r="J135" i="12"/>
  <c r="J175" i="12"/>
  <c r="J55" i="12"/>
  <c r="J255" i="12"/>
  <c r="J95" i="12"/>
  <c r="J215" i="12"/>
  <c r="J295" i="12"/>
  <c r="AV4" i="7"/>
  <c r="AO4" i="7"/>
  <c r="BA4" i="7"/>
  <c r="W17" i="12"/>
  <c r="V17" i="12"/>
  <c r="X71" i="9"/>
  <c r="Y71" i="9"/>
  <c r="J33" i="12"/>
  <c r="J73" i="12"/>
  <c r="J153" i="12"/>
  <c r="J233" i="12"/>
  <c r="J313" i="12"/>
  <c r="J273" i="12"/>
  <c r="J353" i="12"/>
  <c r="J113" i="12"/>
  <c r="J193" i="12"/>
  <c r="W24" i="12"/>
  <c r="V24" i="12"/>
  <c r="AA21" i="7"/>
  <c r="J14" i="12"/>
  <c r="J334" i="12"/>
  <c r="J254" i="12"/>
  <c r="J134" i="12"/>
  <c r="J214" i="12"/>
  <c r="J294" i="12"/>
  <c r="J174" i="12"/>
  <c r="J94" i="12"/>
  <c r="J54" i="12"/>
  <c r="W12" i="12"/>
  <c r="V12" i="12"/>
  <c r="J348" i="12"/>
  <c r="J268" i="12"/>
  <c r="J188" i="12"/>
  <c r="J108" i="12"/>
  <c r="J308" i="12"/>
  <c r="J28" i="12"/>
  <c r="J68" i="12"/>
  <c r="J228" i="12"/>
  <c r="J148" i="12"/>
  <c r="W29" i="12"/>
  <c r="V29" i="12"/>
  <c r="K37" i="8"/>
  <c r="Q37" i="8"/>
  <c r="K20" i="8"/>
  <c r="Q20" i="8"/>
  <c r="K42" i="8"/>
  <c r="Q42" i="8"/>
  <c r="K25" i="8"/>
  <c r="Q25" i="8"/>
  <c r="K8" i="8"/>
  <c r="Q8" i="8"/>
  <c r="K38" i="8"/>
  <c r="Q38" i="8"/>
  <c r="X86" i="9"/>
  <c r="Y86" i="9"/>
  <c r="J22" i="12"/>
  <c r="J262" i="12"/>
  <c r="J142" i="12"/>
  <c r="J222" i="12"/>
  <c r="J302" i="12"/>
  <c r="J182" i="12"/>
  <c r="J62" i="12"/>
  <c r="J342" i="12"/>
  <c r="J102" i="12"/>
  <c r="J13" i="12"/>
  <c r="J93" i="12"/>
  <c r="J173" i="12"/>
  <c r="J253" i="12"/>
  <c r="J333" i="12"/>
  <c r="J53" i="12"/>
  <c r="J133" i="12"/>
  <c r="J213" i="12"/>
  <c r="J293" i="12"/>
  <c r="W34" i="12"/>
  <c r="V34" i="12"/>
  <c r="BF29" i="7"/>
  <c r="CZ4" i="7" s="1"/>
  <c r="AC29" i="7"/>
  <c r="AU4" i="7"/>
  <c r="AF4" i="7"/>
  <c r="AN4" i="7"/>
  <c r="AZ4" i="7"/>
  <c r="AU27" i="7"/>
  <c r="AN27" i="7"/>
  <c r="AF27" i="7"/>
  <c r="AZ27" i="7"/>
  <c r="AF11" i="7"/>
  <c r="AU11" i="7"/>
  <c r="AN11" i="7"/>
  <c r="AZ11" i="7"/>
  <c r="X88" i="9"/>
  <c r="Y88" i="9"/>
  <c r="W15" i="12"/>
  <c r="V15" i="12"/>
  <c r="AA3" i="7"/>
  <c r="S3" i="6"/>
  <c r="S4" i="6"/>
  <c r="S5" i="6"/>
  <c r="S6" i="6"/>
  <c r="S7" i="6"/>
  <c r="S8" i="6"/>
  <c r="S9" i="6"/>
  <c r="S10" i="6"/>
  <c r="S11" i="6"/>
  <c r="S12" i="6"/>
  <c r="S14" i="6"/>
  <c r="H14" i="6" s="1"/>
  <c r="S15" i="6"/>
  <c r="H15" i="6" s="1"/>
  <c r="S16" i="6"/>
  <c r="H16" i="6" s="1"/>
  <c r="S17" i="6"/>
  <c r="H17" i="6" s="1"/>
  <c r="S18" i="6"/>
  <c r="H18" i="6" s="1"/>
  <c r="S19" i="6"/>
  <c r="H19" i="6" s="1"/>
  <c r="S20" i="6"/>
  <c r="H20" i="6" s="1"/>
  <c r="S22" i="6"/>
  <c r="H22" i="6" s="1"/>
  <c r="S21" i="6"/>
  <c r="H21" i="6" s="1"/>
  <c r="H23" i="6"/>
  <c r="BH29" i="7"/>
  <c r="AD29" i="7"/>
  <c r="BA18" i="7"/>
  <c r="AO18" i="7"/>
  <c r="AV18" i="7"/>
  <c r="AO3" i="7"/>
  <c r="BA3" i="7"/>
  <c r="AV3" i="7"/>
  <c r="AV15" i="7"/>
  <c r="BA15" i="7"/>
  <c r="AO15" i="7"/>
  <c r="X65" i="9"/>
  <c r="J17" i="12"/>
  <c r="J57" i="12"/>
  <c r="J137" i="12"/>
  <c r="J217" i="12"/>
  <c r="J297" i="12"/>
  <c r="J257" i="12"/>
  <c r="J177" i="12"/>
  <c r="J337" i="12"/>
  <c r="J97" i="12"/>
  <c r="AA27" i="7"/>
  <c r="V27" i="12"/>
  <c r="W27" i="12"/>
  <c r="AA22" i="7"/>
  <c r="W33" i="12"/>
  <c r="V33" i="12"/>
  <c r="J132" i="12"/>
  <c r="J52" i="12"/>
  <c r="J332" i="12"/>
  <c r="J252" i="12"/>
  <c r="J172" i="12"/>
  <c r="J212" i="12"/>
  <c r="J12" i="12"/>
  <c r="J292" i="12"/>
  <c r="J92" i="12"/>
  <c r="J26" i="12"/>
  <c r="J66" i="12"/>
  <c r="J346" i="12"/>
  <c r="J266" i="12"/>
  <c r="J186" i="12"/>
  <c r="J106" i="12"/>
  <c r="J146" i="12"/>
  <c r="J306" i="12"/>
  <c r="J226" i="12"/>
  <c r="K23" i="8"/>
  <c r="K12" i="8"/>
  <c r="Q12" i="8"/>
  <c r="K50" i="8"/>
  <c r="Q50" i="8"/>
  <c r="K46" i="8"/>
  <c r="Q46" i="8"/>
  <c r="V22" i="12"/>
  <c r="W22" i="12"/>
  <c r="N3" i="7"/>
  <c r="N5" i="7"/>
  <c r="N7" i="7"/>
  <c r="N9" i="7"/>
  <c r="N11" i="7"/>
  <c r="N13" i="7"/>
  <c r="N15" i="7"/>
  <c r="N17" i="7"/>
  <c r="N19" i="7"/>
  <c r="N21" i="7"/>
  <c r="N23" i="7"/>
  <c r="N25" i="7"/>
  <c r="N27" i="7"/>
  <c r="N8" i="7"/>
  <c r="N16" i="7"/>
  <c r="N24" i="7"/>
  <c r="N6" i="7"/>
  <c r="N14" i="7"/>
  <c r="N22" i="7"/>
  <c r="N4" i="7"/>
  <c r="N12" i="7"/>
  <c r="N20" i="7"/>
  <c r="N28" i="7"/>
  <c r="N10" i="7"/>
  <c r="N18" i="7"/>
  <c r="N26" i="7"/>
  <c r="AV20" i="7"/>
  <c r="AO20" i="7"/>
  <c r="BA20" i="7"/>
  <c r="J145" i="12"/>
  <c r="J25" i="12"/>
  <c r="J65" i="12"/>
  <c r="J345" i="12"/>
  <c r="J265" i="12"/>
  <c r="J185" i="12"/>
  <c r="J225" i="12"/>
  <c r="J305" i="12"/>
  <c r="J105" i="12"/>
  <c r="O6" i="6"/>
  <c r="O10" i="6"/>
  <c r="O15" i="6"/>
  <c r="O19" i="6"/>
  <c r="O3" i="6"/>
  <c r="O7" i="6"/>
  <c r="O11" i="6"/>
  <c r="O16" i="6"/>
  <c r="O20" i="6"/>
  <c r="O4" i="6"/>
  <c r="O8" i="6"/>
  <c r="O12" i="6"/>
  <c r="O17" i="6"/>
  <c r="O21" i="6"/>
  <c r="O5" i="6"/>
  <c r="O9" i="6"/>
  <c r="O14" i="6"/>
  <c r="O18" i="6"/>
  <c r="O22" i="6"/>
  <c r="F23" i="6"/>
  <c r="Y23" i="6"/>
  <c r="W35" i="12"/>
  <c r="V35" i="12"/>
  <c r="J24" i="12"/>
  <c r="J304" i="12"/>
  <c r="J344" i="12"/>
  <c r="J224" i="12"/>
  <c r="J264" i="12"/>
  <c r="J144" i="12"/>
  <c r="J184" i="12"/>
  <c r="J64" i="12"/>
  <c r="J104" i="12"/>
  <c r="AA23" i="7"/>
  <c r="W8" i="12"/>
  <c r="V8" i="12"/>
  <c r="AA17" i="7"/>
  <c r="W28" i="12"/>
  <c r="V28" i="12"/>
  <c r="X9" i="9"/>
  <c r="J29" i="12"/>
  <c r="J69" i="12"/>
  <c r="J149" i="12"/>
  <c r="J229" i="12"/>
  <c r="J309" i="12"/>
  <c r="J189" i="12"/>
  <c r="J269" i="12"/>
  <c r="J349" i="12"/>
  <c r="J109" i="12"/>
  <c r="K5" i="8"/>
  <c r="Q5" i="8"/>
  <c r="K34" i="8"/>
  <c r="Q34" i="8"/>
  <c r="K17" i="8"/>
  <c r="Q17" i="8"/>
  <c r="K30" i="8"/>
  <c r="Q30" i="8"/>
  <c r="W16" i="12"/>
  <c r="V16" i="12"/>
  <c r="AA19" i="7"/>
  <c r="J34" i="12"/>
  <c r="J314" i="12"/>
  <c r="J114" i="12"/>
  <c r="J74" i="12"/>
  <c r="J274" i="12"/>
  <c r="J234" i="12"/>
  <c r="J354" i="12"/>
  <c r="J154" i="12"/>
  <c r="J194" i="12"/>
  <c r="AU22" i="7"/>
  <c r="AF22" i="7"/>
  <c r="AN22" i="7"/>
  <c r="AZ22" i="7"/>
  <c r="AU25" i="7"/>
  <c r="AF25" i="7"/>
  <c r="AN25" i="7"/>
  <c r="AZ25" i="7"/>
  <c r="AU9" i="7"/>
  <c r="AF9" i="7"/>
  <c r="AN9" i="7"/>
  <c r="AZ9" i="7"/>
  <c r="W9" i="12"/>
  <c r="V9" i="12"/>
  <c r="BP29" i="7"/>
  <c r="CZ10" i="7" s="1"/>
  <c r="BJ29" i="7"/>
  <c r="CZ7" i="7" s="1"/>
  <c r="BT29" i="7"/>
  <c r="CZ12" i="7" s="1"/>
  <c r="BL29" i="7"/>
  <c r="CZ8" i="7" s="1"/>
  <c r="BR29" i="7"/>
  <c r="CZ11" i="7" s="1"/>
  <c r="BN29" i="7"/>
  <c r="CZ9" i="7" s="1"/>
  <c r="AO16" i="7"/>
  <c r="BA16" i="7"/>
  <c r="AV1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AO13" i="7"/>
  <c r="BA13" i="7"/>
  <c r="AV13" i="7"/>
  <c r="V19" i="12"/>
  <c r="W19" i="12"/>
  <c r="J347" i="12"/>
  <c r="J267" i="12"/>
  <c r="J187" i="12"/>
  <c r="J107" i="12"/>
  <c r="J307" i="12"/>
  <c r="J147" i="12"/>
  <c r="J227" i="12"/>
  <c r="J67" i="12"/>
  <c r="J27" i="12"/>
  <c r="K39" i="8"/>
  <c r="W14" i="12"/>
  <c r="V14" i="12"/>
  <c r="W7" i="12"/>
  <c r="V7" i="12"/>
  <c r="K33" i="8"/>
  <c r="Q33" i="8"/>
  <c r="Y15" i="9"/>
  <c r="X15" i="9"/>
  <c r="J35" i="12"/>
  <c r="J155" i="12"/>
  <c r="J355" i="12"/>
  <c r="J275" i="12"/>
  <c r="J195" i="12"/>
  <c r="J315" i="12"/>
  <c r="J115" i="12"/>
  <c r="J235" i="12"/>
  <c r="J75" i="12"/>
  <c r="AE31" i="19"/>
  <c r="X87" i="9"/>
  <c r="Y87" i="9"/>
  <c r="J8" i="12"/>
  <c r="J288" i="12"/>
  <c r="J328" i="12"/>
  <c r="J208" i="12"/>
  <c r="J248" i="12"/>
  <c r="J128" i="12"/>
  <c r="J48" i="12"/>
  <c r="J88" i="12"/>
  <c r="J168" i="12"/>
  <c r="K36" i="8"/>
  <c r="Q36" i="8"/>
  <c r="K26" i="8"/>
  <c r="Q26" i="8"/>
  <c r="K9" i="8"/>
  <c r="Q9" i="8"/>
  <c r="K22" i="8"/>
  <c r="Q22" i="8"/>
  <c r="J16" i="12"/>
  <c r="J296" i="12"/>
  <c r="J336" i="12"/>
  <c r="J216" i="12"/>
  <c r="J256" i="12"/>
  <c r="J136" i="12"/>
  <c r="J176" i="12"/>
  <c r="J96" i="12"/>
  <c r="J56" i="12"/>
  <c r="AN26" i="7"/>
  <c r="AZ26" i="7"/>
  <c r="AF26" i="7"/>
  <c r="AU26" i="7"/>
  <c r="AU14" i="7"/>
  <c r="AF14" i="7"/>
  <c r="AN14" i="7"/>
  <c r="AZ14" i="7"/>
  <c r="AF23" i="7"/>
  <c r="AN23" i="7"/>
  <c r="AZ23" i="7"/>
  <c r="AU23" i="7"/>
  <c r="AF7" i="7"/>
  <c r="AN7" i="7"/>
  <c r="AU7" i="7"/>
  <c r="AZ7" i="7"/>
  <c r="X44" i="9"/>
  <c r="Y44" i="9"/>
  <c r="J9" i="12"/>
  <c r="J49" i="12"/>
  <c r="J129" i="12"/>
  <c r="J209" i="12"/>
  <c r="J289" i="12"/>
  <c r="J89" i="12"/>
  <c r="J169" i="12"/>
  <c r="J249" i="12"/>
  <c r="J329" i="12"/>
  <c r="BV29" i="7"/>
  <c r="CZ13" i="7" s="1"/>
  <c r="AV14" i="7"/>
  <c r="BA14" i="7"/>
  <c r="AO14" i="7"/>
  <c r="AO27" i="7"/>
  <c r="BA27" i="7"/>
  <c r="AV27" i="7"/>
  <c r="AO11" i="7"/>
  <c r="BA11" i="7"/>
  <c r="AV11" i="7"/>
  <c r="J19" i="12"/>
  <c r="J339" i="12"/>
  <c r="J259" i="12"/>
  <c r="J179" i="12"/>
  <c r="J139" i="12"/>
  <c r="J299" i="12"/>
  <c r="J99" i="12"/>
  <c r="J59" i="12"/>
  <c r="J219" i="12"/>
  <c r="V5" i="12"/>
  <c r="W5" i="12"/>
  <c r="AA13" i="7"/>
  <c r="J6" i="12"/>
  <c r="J326" i="12"/>
  <c r="J246" i="12"/>
  <c r="J126" i="12"/>
  <c r="J206" i="12"/>
  <c r="J286" i="12"/>
  <c r="J86" i="12"/>
  <c r="J166" i="12"/>
  <c r="J46" i="12"/>
  <c r="V37" i="12"/>
  <c r="W37" i="12"/>
  <c r="V10" i="12"/>
  <c r="W10" i="12"/>
  <c r="AA10" i="7"/>
  <c r="AA5" i="7"/>
  <c r="M53" i="8"/>
  <c r="N53" i="8"/>
  <c r="K4" i="8"/>
  <c r="M4" i="8" s="1"/>
  <c r="Q4" i="8"/>
  <c r="K18" i="8"/>
  <c r="Q18" i="8"/>
  <c r="K48" i="8"/>
  <c r="Q48" i="8"/>
  <c r="K14" i="8"/>
  <c r="Q14" i="8"/>
  <c r="V18" i="12"/>
  <c r="W18" i="12"/>
  <c r="AA12" i="7"/>
  <c r="AN18" i="7"/>
  <c r="AZ18" i="7"/>
  <c r="AU18" i="7"/>
  <c r="AF18" i="7"/>
  <c r="AU6" i="7"/>
  <c r="AF6" i="7"/>
  <c r="AN6" i="7"/>
  <c r="AZ6" i="7"/>
  <c r="AN21" i="7"/>
  <c r="AZ21" i="7"/>
  <c r="AU21" i="7"/>
  <c r="AF21" i="7"/>
  <c r="AN5" i="7"/>
  <c r="AZ5" i="7"/>
  <c r="AU5" i="7"/>
  <c r="AF5" i="7"/>
  <c r="V11" i="12"/>
  <c r="W11" i="12"/>
  <c r="AV28" i="7"/>
  <c r="AO28" i="7"/>
  <c r="BA28" i="7"/>
  <c r="AV12" i="7"/>
  <c r="AO12" i="7"/>
  <c r="BA12" i="7"/>
  <c r="AV25" i="7"/>
  <c r="AO25" i="7"/>
  <c r="BA25" i="7"/>
  <c r="AV9" i="7"/>
  <c r="AO9" i="7"/>
  <c r="BA9" i="7"/>
  <c r="J36" i="12"/>
  <c r="J76" i="12"/>
  <c r="J356" i="12"/>
  <c r="J116" i="12"/>
  <c r="J156" i="12"/>
  <c r="J316" i="12"/>
  <c r="J236" i="12"/>
  <c r="J196" i="12"/>
  <c r="J276" i="12"/>
  <c r="AA20" i="7"/>
  <c r="K35" i="8"/>
  <c r="Q3" i="6"/>
  <c r="Q4" i="6"/>
  <c r="Q5" i="6"/>
  <c r="Q6" i="6"/>
  <c r="Q7" i="6"/>
  <c r="Q8" i="6"/>
  <c r="Q9" i="6"/>
  <c r="Q10" i="6"/>
  <c r="Q11" i="6"/>
  <c r="Q12" i="6"/>
  <c r="Q14" i="6"/>
  <c r="Q15" i="6"/>
  <c r="Q16" i="6"/>
  <c r="Q17" i="6"/>
  <c r="Q18" i="6"/>
  <c r="Q19" i="6"/>
  <c r="Q20" i="6"/>
  <c r="Q22" i="6"/>
  <c r="Q21" i="6"/>
  <c r="G23" i="6"/>
  <c r="X97" i="9"/>
  <c r="Y97" i="9"/>
  <c r="J5" i="12"/>
  <c r="J85" i="12"/>
  <c r="J165" i="12"/>
  <c r="J245" i="12"/>
  <c r="J325" i="12"/>
  <c r="J45" i="12"/>
  <c r="J125" i="12"/>
  <c r="J205" i="12"/>
  <c r="J285" i="12"/>
  <c r="Z88" i="5"/>
  <c r="AA88" i="5" s="1"/>
  <c r="H95" i="5"/>
  <c r="Z32" i="5"/>
  <c r="AB32" i="5" s="1"/>
  <c r="H52" i="5"/>
  <c r="H94" i="5"/>
  <c r="Y5" i="5"/>
  <c r="Y6" i="5"/>
  <c r="Y3" i="5"/>
  <c r="X7" i="5"/>
  <c r="Y4" i="5"/>
  <c r="H50" i="5"/>
  <c r="Z50" i="5"/>
  <c r="H83" i="5"/>
  <c r="H88" i="5"/>
  <c r="T7" i="5"/>
  <c r="U4" i="5"/>
  <c r="U3" i="5"/>
  <c r="U5" i="5"/>
  <c r="U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Q5" i="5"/>
  <c r="Q6" i="5"/>
  <c r="Q3" i="5"/>
  <c r="Q4" i="5"/>
  <c r="P7" i="5"/>
  <c r="Z16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H75" i="5"/>
  <c r="Z77" i="5"/>
  <c r="R7" i="5"/>
  <c r="S4" i="5"/>
  <c r="S5" i="5"/>
  <c r="S6" i="5"/>
  <c r="S3" i="5"/>
  <c r="Z95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E39" i="13"/>
  <c r="E407" i="13"/>
  <c r="E361" i="13"/>
  <c r="X37" i="13"/>
  <c r="K115" i="18" l="1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C7" i="15"/>
  <c r="Y55" i="9"/>
  <c r="AB15" i="7"/>
  <c r="E137" i="13"/>
  <c r="H68" i="5"/>
  <c r="Y67" i="9"/>
  <c r="E91" i="13"/>
  <c r="E229" i="13"/>
  <c r="Y33" i="9"/>
  <c r="E469" i="13"/>
  <c r="E505" i="13"/>
  <c r="E160" i="13"/>
  <c r="E470" i="13"/>
  <c r="E147" i="13"/>
  <c r="E459" i="13"/>
  <c r="E151" i="13"/>
  <c r="E52" i="13"/>
  <c r="E504" i="13"/>
  <c r="X46" i="9"/>
  <c r="H33" i="5"/>
  <c r="Y11" i="9"/>
  <c r="E93" i="13"/>
  <c r="Z36" i="5"/>
  <c r="AA36" i="5" s="1"/>
  <c r="E507" i="13"/>
  <c r="E211" i="13"/>
  <c r="X82" i="9"/>
  <c r="V16" i="7"/>
  <c r="X16" i="7" s="1"/>
  <c r="E119" i="13"/>
  <c r="E69" i="13"/>
  <c r="V23" i="7"/>
  <c r="E441" i="13"/>
  <c r="V21" i="7"/>
  <c r="X21" i="7" s="1"/>
  <c r="V15" i="7"/>
  <c r="X15" i="7" s="1"/>
  <c r="H28" i="5"/>
  <c r="Y38" i="9"/>
  <c r="V28" i="7"/>
  <c r="X28" i="7" s="1"/>
  <c r="V7" i="7"/>
  <c r="E165" i="13"/>
  <c r="X70" i="9"/>
  <c r="V4" i="7"/>
  <c r="X4" i="7" s="1"/>
  <c r="V5" i="7"/>
  <c r="X5" i="7" s="1"/>
  <c r="E458" i="13"/>
  <c r="E423" i="13"/>
  <c r="E139" i="13"/>
  <c r="E105" i="13"/>
  <c r="E90" i="13"/>
  <c r="E450" i="13"/>
  <c r="E55" i="13"/>
  <c r="E461" i="13"/>
  <c r="E197" i="13"/>
  <c r="E228" i="13"/>
  <c r="E101" i="13"/>
  <c r="E185" i="13"/>
  <c r="E59" i="13"/>
  <c r="E136" i="13"/>
  <c r="E427" i="13"/>
  <c r="H72" i="5"/>
  <c r="E78" i="13"/>
  <c r="Z45" i="5"/>
  <c r="AB45" i="5" s="1"/>
  <c r="AB22" i="7"/>
  <c r="H56" i="5"/>
  <c r="H71" i="5"/>
  <c r="E493" i="13"/>
  <c r="E53" i="13"/>
  <c r="E169" i="13"/>
  <c r="E168" i="13"/>
  <c r="E171" i="13"/>
  <c r="H82" i="5"/>
  <c r="Z58" i="5"/>
  <c r="AB58" i="5" s="1"/>
  <c r="Y28" i="9"/>
  <c r="Y34" i="9"/>
  <c r="E447" i="13"/>
  <c r="E467" i="13"/>
  <c r="E491" i="13"/>
  <c r="E99" i="13"/>
  <c r="E142" i="13"/>
  <c r="Z37" i="5"/>
  <c r="H39" i="5"/>
  <c r="Y16" i="9"/>
  <c r="E125" i="13"/>
  <c r="E188" i="13"/>
  <c r="E506" i="13"/>
  <c r="E445" i="13"/>
  <c r="Y25" i="9"/>
  <c r="X40" i="9"/>
  <c r="X7" i="9"/>
  <c r="Q8" i="14"/>
  <c r="E96" i="13"/>
  <c r="E460" i="13"/>
  <c r="E92" i="13"/>
  <c r="Z90" i="5"/>
  <c r="AA90" i="5" s="1"/>
  <c r="M11" i="8"/>
  <c r="E421" i="13"/>
  <c r="E123" i="13"/>
  <c r="E418" i="13"/>
  <c r="E138" i="13"/>
  <c r="AB10" i="7"/>
  <c r="AB8" i="7"/>
  <c r="Z85" i="5"/>
  <c r="AA85" i="5" s="1"/>
  <c r="H66" i="5"/>
  <c r="AB9" i="7"/>
  <c r="H14" i="5"/>
  <c r="Y50" i="9"/>
  <c r="W4" i="15"/>
  <c r="E72" i="13"/>
  <c r="E436" i="13"/>
  <c r="E497" i="13"/>
  <c r="E496" i="13"/>
  <c r="E130" i="13"/>
  <c r="Y68" i="9"/>
  <c r="X4" i="15"/>
  <c r="E114" i="13"/>
  <c r="E85" i="13"/>
  <c r="E220" i="13"/>
  <c r="AB19" i="7"/>
  <c r="E482" i="13"/>
  <c r="E82" i="13"/>
  <c r="X63" i="9"/>
  <c r="E206" i="13"/>
  <c r="E128" i="13"/>
  <c r="E70" i="13"/>
  <c r="E189" i="13"/>
  <c r="E56" i="13"/>
  <c r="X80" i="9"/>
  <c r="Y76" i="9"/>
  <c r="E194" i="13"/>
  <c r="E216" i="13"/>
  <c r="AB21" i="7"/>
  <c r="E190" i="13"/>
  <c r="E148" i="13"/>
  <c r="E446" i="13"/>
  <c r="Z30" i="5"/>
  <c r="AA30" i="5" s="1"/>
  <c r="Z17" i="5"/>
  <c r="AB17" i="5" s="1"/>
  <c r="Y84" i="9"/>
  <c r="Y101" i="9"/>
  <c r="E144" i="13"/>
  <c r="E424" i="13"/>
  <c r="E124" i="13"/>
  <c r="E170" i="13"/>
  <c r="E466" i="13"/>
  <c r="E153" i="13"/>
  <c r="H89" i="5"/>
  <c r="Z49" i="5"/>
  <c r="AB49" i="5" s="1"/>
  <c r="E420" i="13"/>
  <c r="E126" i="13"/>
  <c r="E140" i="13"/>
  <c r="Y92" i="9"/>
  <c r="E118" i="13"/>
  <c r="E502" i="13"/>
  <c r="E71" i="13"/>
  <c r="E173" i="13"/>
  <c r="E226" i="13"/>
  <c r="W11" i="15"/>
  <c r="E431" i="13"/>
  <c r="E484" i="13"/>
  <c r="E51" i="13"/>
  <c r="E477" i="13"/>
  <c r="E208" i="13"/>
  <c r="E210" i="13"/>
  <c r="E452" i="13"/>
  <c r="E175" i="13"/>
  <c r="E97" i="13"/>
  <c r="E88" i="13"/>
  <c r="E76" i="13"/>
  <c r="Y4" i="9"/>
  <c r="E109" i="13"/>
  <c r="E222" i="13"/>
  <c r="E419" i="13"/>
  <c r="E219" i="13"/>
  <c r="E134" i="13"/>
  <c r="E485" i="13"/>
  <c r="E63" i="13"/>
  <c r="E498" i="13"/>
  <c r="E451" i="13"/>
  <c r="E465" i="13"/>
  <c r="E81" i="13"/>
  <c r="E163" i="13"/>
  <c r="E444" i="13"/>
  <c r="Y77" i="9"/>
  <c r="X52" i="9"/>
  <c r="Y54" i="9"/>
  <c r="X3" i="15"/>
  <c r="E155" i="13"/>
  <c r="E162" i="13"/>
  <c r="E164" i="13"/>
  <c r="E176" i="13"/>
  <c r="E83" i="13"/>
  <c r="E127" i="13"/>
  <c r="E439" i="13"/>
  <c r="E122" i="13"/>
  <c r="E438" i="13"/>
  <c r="E440" i="13"/>
  <c r="E129" i="13"/>
  <c r="E495" i="13"/>
  <c r="E456" i="13"/>
  <c r="E117" i="13"/>
  <c r="E214" i="13"/>
  <c r="Z20" i="5"/>
  <c r="AB20" i="5" s="1"/>
  <c r="AB4" i="7"/>
  <c r="W3" i="5"/>
  <c r="X73" i="9"/>
  <c r="X30" i="9"/>
  <c r="H10" i="5"/>
  <c r="V14" i="7"/>
  <c r="X14" i="7" s="1"/>
  <c r="V27" i="7"/>
  <c r="X27" i="7" s="1"/>
  <c r="V11" i="7"/>
  <c r="X11" i="7" s="1"/>
  <c r="E483" i="13"/>
  <c r="E499" i="13"/>
  <c r="E218" i="13"/>
  <c r="E158" i="13"/>
  <c r="E429" i="13"/>
  <c r="E62" i="13"/>
  <c r="X29" i="7"/>
  <c r="V6" i="7"/>
  <c r="X6" i="7" s="1"/>
  <c r="V25" i="7"/>
  <c r="X25" i="7" s="1"/>
  <c r="V9" i="7"/>
  <c r="X9" i="7" s="1"/>
  <c r="E448" i="13"/>
  <c r="E199" i="13"/>
  <c r="E154" i="13"/>
  <c r="Y12" i="9"/>
  <c r="E186" i="13"/>
  <c r="E107" i="13"/>
  <c r="Z8" i="5"/>
  <c r="AA8" i="5" s="1"/>
  <c r="Z21" i="5"/>
  <c r="AA21" i="5" s="1"/>
  <c r="Y42" i="9"/>
  <c r="Y23" i="9"/>
  <c r="V20" i="7"/>
  <c r="X20" i="7" s="1"/>
  <c r="V8" i="7"/>
  <c r="X8" i="7" s="1"/>
  <c r="V19" i="7"/>
  <c r="X19" i="7" s="1"/>
  <c r="V3" i="7"/>
  <c r="X3" i="7" s="1"/>
  <c r="E115" i="13"/>
  <c r="E223" i="13"/>
  <c r="E204" i="13"/>
  <c r="E508" i="13"/>
  <c r="E475" i="13"/>
  <c r="V12" i="7"/>
  <c r="X12" i="7" s="1"/>
  <c r="V26" i="7"/>
  <c r="X26" i="7" s="1"/>
  <c r="V17" i="7"/>
  <c r="X17" i="7" s="1"/>
  <c r="E437" i="13"/>
  <c r="E131" i="13"/>
  <c r="E172" i="13"/>
  <c r="E480" i="13"/>
  <c r="AC10" i="15"/>
  <c r="E94" i="13"/>
  <c r="E476" i="13"/>
  <c r="H35" i="5"/>
  <c r="X19" i="9"/>
  <c r="E207" i="13"/>
  <c r="E453" i="13"/>
  <c r="E494" i="13"/>
  <c r="E112" i="13"/>
  <c r="E462" i="13"/>
  <c r="E200" i="13"/>
  <c r="V22" i="7"/>
  <c r="X22" i="7" s="1"/>
  <c r="V10" i="7"/>
  <c r="X10" i="7" s="1"/>
  <c r="H98" i="5"/>
  <c r="Z79" i="5"/>
  <c r="AA79" i="5" s="1"/>
  <c r="AB8" i="15"/>
  <c r="H74" i="5"/>
  <c r="H104" i="5"/>
  <c r="Z51" i="5"/>
  <c r="AA51" i="5" s="1"/>
  <c r="X79" i="9"/>
  <c r="AB11" i="15"/>
  <c r="Z43" i="5"/>
  <c r="AA43" i="5" s="1"/>
  <c r="AB5" i="15"/>
  <c r="AB6" i="7"/>
  <c r="AB12" i="7"/>
  <c r="Z18" i="5"/>
  <c r="AB18" i="5" s="1"/>
  <c r="Z34" i="5"/>
  <c r="AA34" i="5" s="1"/>
  <c r="Z73" i="5"/>
  <c r="AA73" i="5" s="1"/>
  <c r="AB16" i="7"/>
  <c r="Y36" i="9"/>
  <c r="G99" i="15"/>
  <c r="G66" i="15"/>
  <c r="AC12" i="15"/>
  <c r="V6" i="15"/>
  <c r="H91" i="5"/>
  <c r="Z54" i="5"/>
  <c r="AA54" i="5" s="1"/>
  <c r="X48" i="9"/>
  <c r="Y74" i="9"/>
  <c r="X95" i="9"/>
  <c r="Y51" i="9"/>
  <c r="Y17" i="9"/>
  <c r="G253" i="15"/>
  <c r="G154" i="15"/>
  <c r="G297" i="15"/>
  <c r="G286" i="15"/>
  <c r="G77" i="15"/>
  <c r="AC8" i="15"/>
  <c r="AC3" i="15"/>
  <c r="X6" i="15"/>
  <c r="G264" i="15"/>
  <c r="AB99" i="5"/>
  <c r="V3" i="15"/>
  <c r="H38" i="5"/>
  <c r="Z15" i="5"/>
  <c r="AA15" i="5" s="1"/>
  <c r="Z41" i="5"/>
  <c r="AB41" i="5" s="1"/>
  <c r="Z9" i="5"/>
  <c r="AA9" i="5" s="1"/>
  <c r="G220" i="15"/>
  <c r="G209" i="15"/>
  <c r="Y29" i="9"/>
  <c r="Y21" i="9"/>
  <c r="Y26" i="9"/>
  <c r="G110" i="15"/>
  <c r="G187" i="15"/>
  <c r="G308" i="15"/>
  <c r="G165" i="15"/>
  <c r="G275" i="15"/>
  <c r="AC11" i="15"/>
  <c r="AC6" i="15"/>
  <c r="G319" i="15"/>
  <c r="P3" i="14"/>
  <c r="Z46" i="5"/>
  <c r="AA46" i="5" s="1"/>
  <c r="Z70" i="5"/>
  <c r="AA70" i="5" s="1"/>
  <c r="Y83" i="9"/>
  <c r="G33" i="15"/>
  <c r="G176" i="15"/>
  <c r="G231" i="15"/>
  <c r="G121" i="15"/>
  <c r="AC9" i="15"/>
  <c r="M31" i="19"/>
  <c r="M12" i="19" s="1"/>
  <c r="G11" i="15"/>
  <c r="G143" i="15"/>
  <c r="AB14" i="7"/>
  <c r="G330" i="15"/>
  <c r="G22" i="15"/>
  <c r="P7" i="14"/>
  <c r="AC5" i="15"/>
  <c r="G198" i="15"/>
  <c r="G88" i="15"/>
  <c r="Z102" i="5"/>
  <c r="AA102" i="5" s="1"/>
  <c r="G44" i="15"/>
  <c r="G242" i="15"/>
  <c r="Z69" i="5"/>
  <c r="AB69" i="5" s="1"/>
  <c r="Z60" i="5"/>
  <c r="AB60" i="5" s="1"/>
  <c r="W3" i="15"/>
  <c r="Z78" i="5"/>
  <c r="AA78" i="5" s="1"/>
  <c r="Z96" i="5"/>
  <c r="AA96" i="5" s="1"/>
  <c r="Y78" i="9"/>
  <c r="Y81" i="9"/>
  <c r="H67" i="5"/>
  <c r="H57" i="5"/>
  <c r="Y98" i="9"/>
  <c r="Y57" i="9"/>
  <c r="AB27" i="7"/>
  <c r="AB5" i="7"/>
  <c r="H105" i="5"/>
  <c r="H64" i="5"/>
  <c r="Z25" i="5"/>
  <c r="AB25" i="5" s="1"/>
  <c r="Y61" i="9"/>
  <c r="AB3" i="7"/>
  <c r="AB17" i="7"/>
  <c r="AB13" i="7"/>
  <c r="Y43" i="9"/>
  <c r="AB28" i="7"/>
  <c r="Z23" i="5"/>
  <c r="AA23" i="5" s="1"/>
  <c r="H103" i="5"/>
  <c r="H80" i="5"/>
  <c r="Y93" i="9"/>
  <c r="X31" i="9"/>
  <c r="X10" i="9"/>
  <c r="Y56" i="9"/>
  <c r="V4" i="15"/>
  <c r="Z13" i="5"/>
  <c r="AA13" i="5" s="1"/>
  <c r="Y53" i="9"/>
  <c r="Y6" i="9"/>
  <c r="Y64" i="9"/>
  <c r="AB25" i="7"/>
  <c r="AB24" i="7"/>
  <c r="H59" i="5"/>
  <c r="H24" i="5"/>
  <c r="Y20" i="9"/>
  <c r="X58" i="9"/>
  <c r="X39" i="9"/>
  <c r="AB11" i="7"/>
  <c r="H93" i="5"/>
  <c r="Y94" i="9"/>
  <c r="H81" i="5"/>
  <c r="H26" i="5"/>
  <c r="H100" i="5"/>
  <c r="W5" i="5"/>
  <c r="Z47" i="5"/>
  <c r="AA47" i="5" s="1"/>
  <c r="Z65" i="5"/>
  <c r="AB65" i="5" s="1"/>
  <c r="H62" i="5"/>
  <c r="Y45" i="9"/>
  <c r="X102" i="9"/>
  <c r="Y35" i="9"/>
  <c r="Y14" i="9"/>
  <c r="Y49" i="9"/>
  <c r="H63" i="5"/>
  <c r="Q11" i="14"/>
  <c r="Q6" i="14"/>
  <c r="AB18" i="7"/>
  <c r="V7" i="5"/>
  <c r="H7" i="5" s="1"/>
  <c r="Z87" i="5"/>
  <c r="AA87" i="5" s="1"/>
  <c r="H61" i="5"/>
  <c r="H84" i="5"/>
  <c r="H11" i="5"/>
  <c r="Z31" i="5"/>
  <c r="AA31" i="5" s="1"/>
  <c r="Z92" i="5"/>
  <c r="AB92" i="5" s="1"/>
  <c r="Y90" i="9"/>
  <c r="Y22" i="9"/>
  <c r="X5" i="15"/>
  <c r="Z53" i="5"/>
  <c r="AB53" i="5" s="1"/>
  <c r="Z29" i="5"/>
  <c r="AB29" i="5" s="1"/>
  <c r="H44" i="5"/>
  <c r="BV13" i="7"/>
  <c r="CJ13" i="7" s="1"/>
  <c r="Y72" i="9"/>
  <c r="Y37" i="9"/>
  <c r="Y5" i="15"/>
  <c r="Z12" i="5"/>
  <c r="AA12" i="5" s="1"/>
  <c r="Y18" i="9"/>
  <c r="W5" i="15"/>
  <c r="W6" i="5"/>
  <c r="AB101" i="5"/>
  <c r="AA101" i="5"/>
  <c r="H22" i="5"/>
  <c r="H76" i="5"/>
  <c r="H48" i="5"/>
  <c r="Z40" i="5"/>
  <c r="AA40" i="5" s="1"/>
  <c r="Z42" i="5"/>
  <c r="AB42" i="5" s="1"/>
  <c r="X96" i="9"/>
  <c r="Z97" i="5"/>
  <c r="H101" i="5"/>
  <c r="H27" i="5"/>
  <c r="H55" i="5"/>
  <c r="Z19" i="5"/>
  <c r="AA19" i="5" s="1"/>
  <c r="X8" i="15"/>
  <c r="Q4" i="14"/>
  <c r="H86" i="5"/>
  <c r="Y8" i="15"/>
  <c r="X32" i="9"/>
  <c r="Y24" i="9"/>
  <c r="Y47" i="9"/>
  <c r="BV9" i="7"/>
  <c r="CF13" i="7" s="1"/>
  <c r="Q10" i="14"/>
  <c r="Q9" i="14"/>
  <c r="Y5" i="9"/>
  <c r="AA49" i="5"/>
  <c r="M15" i="8"/>
  <c r="Y99" i="9"/>
  <c r="AA14" i="5"/>
  <c r="AB90" i="5"/>
  <c r="X91" i="9"/>
  <c r="AB88" i="5"/>
  <c r="X10" i="15"/>
  <c r="Y66" i="9"/>
  <c r="V10" i="15"/>
  <c r="W10" i="15"/>
  <c r="AB26" i="7"/>
  <c r="Y100" i="9"/>
  <c r="AB23" i="7"/>
  <c r="Y13" i="9"/>
  <c r="Z12" i="15"/>
  <c r="Z10" i="15"/>
  <c r="BV11" i="7"/>
  <c r="CH13" i="7" s="1"/>
  <c r="W8" i="15"/>
  <c r="AB89" i="5"/>
  <c r="AB20" i="7"/>
  <c r="Y11" i="15"/>
  <c r="AB6" i="15"/>
  <c r="AB4" i="15"/>
  <c r="Q5" i="14"/>
  <c r="AB9" i="15"/>
  <c r="AY31" i="19"/>
  <c r="AX12" i="19" s="1"/>
  <c r="D4844" i="23" s="1"/>
  <c r="X85" i="9"/>
  <c r="Y85" i="9"/>
  <c r="AB12" i="15"/>
  <c r="AB3" i="15"/>
  <c r="AB7" i="15"/>
  <c r="AB61" i="5"/>
  <c r="V11" i="15"/>
  <c r="BV16" i="7"/>
  <c r="CM13" i="7" s="1"/>
  <c r="BV15" i="7"/>
  <c r="CL13" i="7" s="1"/>
  <c r="AB66" i="5"/>
  <c r="V7" i="15"/>
  <c r="AB52" i="5"/>
  <c r="M51" i="8"/>
  <c r="W7" i="15"/>
  <c r="Y7" i="15"/>
  <c r="BV10" i="7"/>
  <c r="CG13" i="7" s="1"/>
  <c r="N47" i="8"/>
  <c r="BV12" i="7"/>
  <c r="CI13" i="7" s="1"/>
  <c r="Z6" i="15"/>
  <c r="AU31" i="19"/>
  <c r="AT4" i="19" s="1"/>
  <c r="D4728" i="23" s="1"/>
  <c r="Z11" i="15"/>
  <c r="Z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Z4" i="15"/>
  <c r="BV25" i="7"/>
  <c r="CV13" i="7" s="1"/>
  <c r="Z8" i="15"/>
  <c r="Z7" i="15"/>
  <c r="Z5" i="15"/>
  <c r="AW31" i="19"/>
  <c r="AV15" i="19" s="1"/>
  <c r="D4658" i="23" s="1"/>
  <c r="AS31" i="19"/>
  <c r="AR15" i="19" s="1"/>
  <c r="D5009" i="23" s="1"/>
  <c r="F2" i="3"/>
  <c r="E2" i="3"/>
  <c r="Y39" i="12"/>
  <c r="L78" i="12" s="1"/>
  <c r="Y38" i="12"/>
  <c r="L37" i="12" s="1"/>
  <c r="Y36" i="12"/>
  <c r="L275" i="12" s="1"/>
  <c r="Y37" i="12"/>
  <c r="L316" i="12" s="1"/>
  <c r="AH46" i="13"/>
  <c r="F45" i="13"/>
  <c r="F321" i="13"/>
  <c r="F459" i="13"/>
  <c r="F367" i="13"/>
  <c r="F275" i="13"/>
  <c r="F183" i="13"/>
  <c r="F91" i="13"/>
  <c r="F229" i="13"/>
  <c r="F137" i="13"/>
  <c r="F505" i="13"/>
  <c r="F413" i="13"/>
  <c r="AH45" i="13"/>
  <c r="F458" i="13"/>
  <c r="F366" i="13"/>
  <c r="F274" i="13"/>
  <c r="F182" i="13"/>
  <c r="F90" i="13"/>
  <c r="F504" i="13"/>
  <c r="F412" i="13"/>
  <c r="F320" i="13"/>
  <c r="F228" i="13"/>
  <c r="F136" i="13"/>
  <c r="F44" i="13"/>
  <c r="AH42" i="13"/>
  <c r="Y33" i="12"/>
  <c r="L272" i="12" s="1"/>
  <c r="AH41" i="13"/>
  <c r="F362" i="13"/>
  <c r="F316" i="13"/>
  <c r="F270" i="13"/>
  <c r="F224" i="13"/>
  <c r="F178" i="13"/>
  <c r="F500" i="13"/>
  <c r="F132" i="13"/>
  <c r="F454" i="13"/>
  <c r="F86" i="13"/>
  <c r="F408" i="13"/>
  <c r="F40" i="13"/>
  <c r="Y35" i="12"/>
  <c r="L354" i="12" s="1"/>
  <c r="AH40" i="13"/>
  <c r="F409" i="13" s="1"/>
  <c r="F315" i="13"/>
  <c r="F269" i="13"/>
  <c r="F223" i="13"/>
  <c r="F177" i="13"/>
  <c r="F499" i="13"/>
  <c r="F131" i="13"/>
  <c r="F453" i="13"/>
  <c r="F85" i="13"/>
  <c r="F407" i="13"/>
  <c r="F39" i="13"/>
  <c r="F361" i="13"/>
  <c r="Y32" i="12"/>
  <c r="L151" i="12" s="1"/>
  <c r="Y34" i="12"/>
  <c r="L313" i="12" s="1"/>
  <c r="Y29" i="12"/>
  <c r="L148" i="12" s="1"/>
  <c r="AH36" i="13"/>
  <c r="F449" i="13"/>
  <c r="F265" i="13"/>
  <c r="F81" i="13"/>
  <c r="F495" i="13"/>
  <c r="F311" i="13"/>
  <c r="F127" i="13"/>
  <c r="F357" i="13"/>
  <c r="F403" i="13"/>
  <c r="F219" i="13"/>
  <c r="F35" i="13"/>
  <c r="F173" i="13"/>
  <c r="AH35" i="13"/>
  <c r="F312" i="13" s="1"/>
  <c r="F448" i="13"/>
  <c r="F264" i="13"/>
  <c r="F80" i="13"/>
  <c r="F494" i="13"/>
  <c r="F310" i="13"/>
  <c r="F126" i="13"/>
  <c r="F356" i="13"/>
  <c r="F172" i="13"/>
  <c r="F402" i="13"/>
  <c r="F218" i="13"/>
  <c r="F34" i="13"/>
  <c r="Y30" i="12"/>
  <c r="L309" i="12" s="1"/>
  <c r="Y31" i="12"/>
  <c r="L30" i="12" s="1"/>
  <c r="Y28" i="12"/>
  <c r="L267" i="12" s="1"/>
  <c r="AH37" i="13"/>
  <c r="F266" i="13"/>
  <c r="Y4" i="12"/>
  <c r="L323" i="12" s="1"/>
  <c r="AH4" i="13"/>
  <c r="F95" i="13" s="1"/>
  <c r="Y25" i="12"/>
  <c r="L64" i="12" s="1"/>
  <c r="Y24" i="12"/>
  <c r="L223" i="12" s="1"/>
  <c r="AH30" i="13"/>
  <c r="F76" i="13" s="1"/>
  <c r="AH31" i="13"/>
  <c r="F261" i="13" s="1"/>
  <c r="AH29" i="13"/>
  <c r="F167" i="13" s="1"/>
  <c r="F304" i="13"/>
  <c r="F442" i="13"/>
  <c r="F74" i="13"/>
  <c r="F212" i="13"/>
  <c r="F350" i="13"/>
  <c r="F28" i="13"/>
  <c r="F488" i="13"/>
  <c r="F120" i="13"/>
  <c r="F258" i="13"/>
  <c r="F396" i="13"/>
  <c r="F166" i="13"/>
  <c r="Y27" i="12"/>
  <c r="L306" i="12" s="1"/>
  <c r="Y26" i="12"/>
  <c r="L65" i="12" s="1"/>
  <c r="AH32" i="13"/>
  <c r="Y22" i="12"/>
  <c r="L181" i="12" s="1"/>
  <c r="Y23" i="12"/>
  <c r="L302" i="12" s="1"/>
  <c r="AH26" i="13"/>
  <c r="F164" i="13" s="1"/>
  <c r="AH25" i="13"/>
  <c r="F393" i="13" s="1"/>
  <c r="AH27" i="13"/>
  <c r="Y21" i="12"/>
  <c r="L220" i="12" s="1"/>
  <c r="AH24" i="13"/>
  <c r="F484" i="13" s="1"/>
  <c r="F391" i="13"/>
  <c r="F207" i="13"/>
  <c r="F69" i="13"/>
  <c r="F345" i="13"/>
  <c r="F161" i="13"/>
  <c r="F483" i="13"/>
  <c r="F299" i="13"/>
  <c r="F115" i="13"/>
  <c r="F253" i="13"/>
  <c r="F23" i="13"/>
  <c r="F437" i="13"/>
  <c r="Y20" i="12"/>
  <c r="L299" i="12" s="1"/>
  <c r="Y18" i="12"/>
  <c r="L337" i="12" s="1"/>
  <c r="Y19" i="12"/>
  <c r="L338" i="12" s="1"/>
  <c r="Y17" i="12"/>
  <c r="L136" i="12" s="1"/>
  <c r="Y16" i="12"/>
  <c r="L335" i="12" s="1"/>
  <c r="AH22" i="13"/>
  <c r="AH20" i="13"/>
  <c r="F388" i="13" s="1"/>
  <c r="AH21" i="13"/>
  <c r="F343" i="13" s="1"/>
  <c r="AH19" i="13"/>
  <c r="F111" i="13" s="1"/>
  <c r="AH18" i="13"/>
  <c r="F64" i="13" s="1"/>
  <c r="Y6" i="12"/>
  <c r="L165" i="12" s="1"/>
  <c r="AH6" i="13"/>
  <c r="F235" i="13" s="1"/>
  <c r="Y5" i="12"/>
  <c r="L4" i="12" s="1"/>
  <c r="AH7" i="13"/>
  <c r="F52" i="13" s="1"/>
  <c r="Y8" i="12"/>
  <c r="L7" i="12" s="1"/>
  <c r="AH8" i="13"/>
  <c r="F237" i="13" s="1"/>
  <c r="AH5" i="13"/>
  <c r="F96" i="13" s="1"/>
  <c r="Y7" i="12"/>
  <c r="L206" i="12" s="1"/>
  <c r="Y10" i="12"/>
  <c r="L169" i="12" s="1"/>
  <c r="AH15" i="13"/>
  <c r="F198" i="13" s="1"/>
  <c r="AH12" i="13"/>
  <c r="F57" i="13" s="1"/>
  <c r="AH9" i="13"/>
  <c r="F8" i="13" s="1"/>
  <c r="Y13" i="12"/>
  <c r="L292" i="12" s="1"/>
  <c r="Y9" i="12"/>
  <c r="L288" i="12" s="1"/>
  <c r="AH17" i="13"/>
  <c r="F154" i="13" s="1"/>
  <c r="AH10" i="13"/>
  <c r="F147" i="13" s="1"/>
  <c r="Y15" i="12"/>
  <c r="L254" i="12" s="1"/>
  <c r="Y12" i="12"/>
  <c r="L331" i="12" s="1"/>
  <c r="AH16" i="13"/>
  <c r="F153" i="13" s="1"/>
  <c r="Y11" i="12"/>
  <c r="L90" i="12" s="1"/>
  <c r="Y14" i="12"/>
  <c r="L333" i="12" s="1"/>
  <c r="AH14" i="13"/>
  <c r="F13" i="13" s="1"/>
  <c r="AH11" i="13"/>
  <c r="F148" i="13" s="1"/>
  <c r="AH13" i="13"/>
  <c r="F104" i="13" s="1"/>
  <c r="M43" i="8"/>
  <c r="X23" i="7"/>
  <c r="X7" i="7"/>
  <c r="AB68" i="5"/>
  <c r="AA32" i="5"/>
  <c r="BV20" i="7"/>
  <c r="CQ13" i="7" s="1"/>
  <c r="AA74" i="5"/>
  <c r="AA86" i="5"/>
  <c r="M7" i="8"/>
  <c r="BV19" i="7"/>
  <c r="CP13" i="7" s="1"/>
  <c r="AA81" i="5"/>
  <c r="M19" i="8"/>
  <c r="BV24" i="7"/>
  <c r="CU13" i="7" s="1"/>
  <c r="E48" i="14"/>
  <c r="E4" i="14"/>
  <c r="E37" i="14"/>
  <c r="E26" i="14"/>
  <c r="E15" i="14"/>
  <c r="E55" i="14"/>
  <c r="E11" i="14"/>
  <c r="E44" i="14"/>
  <c r="E33" i="14"/>
  <c r="E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E53" i="14"/>
  <c r="E9" i="14"/>
  <c r="E42" i="14"/>
  <c r="E31" i="14"/>
  <c r="E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E29" i="14"/>
  <c r="E18" i="14"/>
  <c r="E40" i="14"/>
  <c r="E51" i="14"/>
  <c r="E7" i="14"/>
  <c r="E56" i="14"/>
  <c r="E12" i="14"/>
  <c r="E45" i="14"/>
  <c r="E34" i="14"/>
  <c r="E23" i="14"/>
  <c r="E27" i="14"/>
  <c r="E49" i="14"/>
  <c r="E5" i="14"/>
  <c r="E38" i="14"/>
  <c r="E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E54" i="14"/>
  <c r="E10" i="14"/>
  <c r="E43" i="14"/>
  <c r="E32" i="14"/>
  <c r="E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E41" i="14"/>
  <c r="E30" i="14"/>
  <c r="E19" i="14"/>
  <c r="E52" i="14"/>
  <c r="E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E17" i="14"/>
  <c r="E50" i="14"/>
  <c r="E6" i="14"/>
  <c r="E39" i="14"/>
  <c r="E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A104" i="5"/>
  <c r="AB83" i="5"/>
  <c r="BV17" i="7"/>
  <c r="CN13" i="7" s="1"/>
  <c r="N31" i="8"/>
  <c r="AA72" i="5"/>
  <c r="AB64" i="5"/>
  <c r="AB76" i="5"/>
  <c r="BV28" i="7"/>
  <c r="CY13" i="7" s="1"/>
  <c r="BV3" i="7"/>
  <c r="BZ13" i="7" s="1"/>
  <c r="G16" i="6"/>
  <c r="F16" i="6"/>
  <c r="Y16" i="6"/>
  <c r="AA58" i="5"/>
  <c r="AD28" i="7"/>
  <c r="BH28" i="7"/>
  <c r="CY6" i="7" s="1"/>
  <c r="M14" i="8"/>
  <c r="N14" i="8"/>
  <c r="Y31" i="19"/>
  <c r="AA31" i="19"/>
  <c r="W31" i="19"/>
  <c r="U31" i="19"/>
  <c r="BH14" i="7"/>
  <c r="AD14" i="7"/>
  <c r="BF7" i="7"/>
  <c r="CD4" i="7" s="1"/>
  <c r="AC7" i="7"/>
  <c r="Y14" i="6"/>
  <c r="G14" i="6"/>
  <c r="F14" i="6"/>
  <c r="F20" i="6"/>
  <c r="G20" i="6"/>
  <c r="Y20" i="6"/>
  <c r="Y6" i="6"/>
  <c r="F6" i="6"/>
  <c r="CZ6" i="7"/>
  <c r="CY5" i="7"/>
  <c r="CZ5" i="7"/>
  <c r="N25" i="8"/>
  <c r="M25" i="8"/>
  <c r="BR6" i="7"/>
  <c r="CC11" i="7" s="1"/>
  <c r="BJ6" i="7"/>
  <c r="CC7" i="7" s="1"/>
  <c r="BT6" i="7"/>
  <c r="CC12" i="7" s="1"/>
  <c r="BP6" i="7"/>
  <c r="CC10" i="7" s="1"/>
  <c r="BN6" i="7"/>
  <c r="CC9" i="7" s="1"/>
  <c r="BL6" i="7"/>
  <c r="CC8" i="7" s="1"/>
  <c r="BF8" i="7"/>
  <c r="CE4" i="7" s="1"/>
  <c r="AC8" i="7"/>
  <c r="BJ5" i="7"/>
  <c r="CB7" i="7" s="1"/>
  <c r="BP5" i="7"/>
  <c r="CB10" i="7" s="1"/>
  <c r="BL5" i="7"/>
  <c r="CB8" i="7" s="1"/>
  <c r="BT5" i="7"/>
  <c r="CB12" i="7" s="1"/>
  <c r="BR5" i="7"/>
  <c r="CB11" i="7" s="1"/>
  <c r="BN5" i="7"/>
  <c r="CB9" i="7" s="1"/>
  <c r="BH7" i="7"/>
  <c r="AD7" i="7"/>
  <c r="AD10" i="7"/>
  <c r="BH10" i="7"/>
  <c r="BF3" i="7"/>
  <c r="BZ4" i="7" s="1"/>
  <c r="AC3" i="7"/>
  <c r="BF17" i="7"/>
  <c r="CN4" i="7" s="1"/>
  <c r="AC17" i="7"/>
  <c r="BF28" i="7"/>
  <c r="CY4" i="7" s="1"/>
  <c r="AC28" i="7"/>
  <c r="N32" i="8"/>
  <c r="M32" i="8"/>
  <c r="BN7" i="7"/>
  <c r="CD9" i="7" s="1"/>
  <c r="BP7" i="7"/>
  <c r="CD10" i="7" s="1"/>
  <c r="BL7" i="7"/>
  <c r="CD8" i="7" s="1"/>
  <c r="BJ7" i="7"/>
  <c r="CD7" i="7" s="1"/>
  <c r="BT7" i="7"/>
  <c r="CD12" i="7" s="1"/>
  <c r="BR7" i="7"/>
  <c r="CD11" i="7" s="1"/>
  <c r="BV26" i="7"/>
  <c r="CW13" i="7" s="1"/>
  <c r="AD25" i="7"/>
  <c r="BH25" i="7"/>
  <c r="M48" i="8"/>
  <c r="N48" i="8"/>
  <c r="BV14" i="7"/>
  <c r="CK13" i="7" s="1"/>
  <c r="BF26" i="7"/>
  <c r="CW4" i="7" s="1"/>
  <c r="AC26" i="7"/>
  <c r="N33" i="8"/>
  <c r="M33" i="8"/>
  <c r="AD16" i="7"/>
  <c r="BH16" i="7"/>
  <c r="BF25" i="7"/>
  <c r="CV4" i="7" s="1"/>
  <c r="AC25" i="7"/>
  <c r="Y5" i="6"/>
  <c r="F5" i="6"/>
  <c r="Y11" i="6"/>
  <c r="F11" i="6"/>
  <c r="X24" i="7"/>
  <c r="BT3" i="7"/>
  <c r="BZ12" i="7" s="1"/>
  <c r="BP3" i="7"/>
  <c r="BZ10" i="7" s="1"/>
  <c r="BJ3" i="7"/>
  <c r="BZ7" i="7" s="1"/>
  <c r="BN3" i="7"/>
  <c r="BZ9" i="7" s="1"/>
  <c r="BL3" i="7"/>
  <c r="BZ8" i="7" s="1"/>
  <c r="BR3" i="7"/>
  <c r="BZ11" i="7" s="1"/>
  <c r="M42" i="8"/>
  <c r="N42" i="8"/>
  <c r="BN4" i="7"/>
  <c r="CA9" i="7" s="1"/>
  <c r="BL4" i="7"/>
  <c r="CA8" i="7" s="1"/>
  <c r="BT4" i="7"/>
  <c r="CA12" i="7" s="1"/>
  <c r="BJ4" i="7"/>
  <c r="CA7" i="7" s="1"/>
  <c r="BR4" i="7"/>
  <c r="CA11" i="7" s="1"/>
  <c r="BP4" i="7"/>
  <c r="CA10" i="7" s="1"/>
  <c r="BT17" i="7"/>
  <c r="CN12" i="7" s="1"/>
  <c r="BL17" i="7"/>
  <c r="CN8" i="7" s="1"/>
  <c r="BR17" i="7"/>
  <c r="CN11" i="7" s="1"/>
  <c r="BJ17" i="7"/>
  <c r="CN7" i="7" s="1"/>
  <c r="BN17" i="7"/>
  <c r="CN9" i="7" s="1"/>
  <c r="BP17" i="7"/>
  <c r="CN10" i="7" s="1"/>
  <c r="BF12" i="7"/>
  <c r="CI4" i="7" s="1"/>
  <c r="AC12" i="7"/>
  <c r="M16" i="8"/>
  <c r="N16" i="8"/>
  <c r="BV6" i="7"/>
  <c r="CC13" i="7" s="1"/>
  <c r="N27" i="8"/>
  <c r="M27" i="8"/>
  <c r="BV21" i="7"/>
  <c r="CR13" i="7" s="1"/>
  <c r="AD24" i="7"/>
  <c r="BH24" i="7"/>
  <c r="BV7" i="7"/>
  <c r="CD13" i="7" s="1"/>
  <c r="BP26" i="7"/>
  <c r="CW10" i="7" s="1"/>
  <c r="BL26" i="7"/>
  <c r="CW8" i="7" s="1"/>
  <c r="BT26" i="7"/>
  <c r="CW12" i="7" s="1"/>
  <c r="BJ26" i="7"/>
  <c r="CW7" i="7" s="1"/>
  <c r="BR26" i="7"/>
  <c r="CW11" i="7" s="1"/>
  <c r="BN26" i="7"/>
  <c r="CW9" i="7" s="1"/>
  <c r="BP25" i="7"/>
  <c r="CV10" i="7" s="1"/>
  <c r="BN25" i="7"/>
  <c r="CV9" i="7" s="1"/>
  <c r="BJ25" i="7"/>
  <c r="CV7" i="7" s="1"/>
  <c r="BR25" i="7"/>
  <c r="CV11" i="7" s="1"/>
  <c r="BL25" i="7"/>
  <c r="CV8" i="7" s="1"/>
  <c r="BT25" i="7"/>
  <c r="CV12" i="7" s="1"/>
  <c r="M50" i="8"/>
  <c r="N50" i="8"/>
  <c r="BH5" i="7"/>
  <c r="AD5" i="7"/>
  <c r="BP24" i="7"/>
  <c r="CU10" i="7" s="1"/>
  <c r="BR24" i="7"/>
  <c r="CU11" i="7" s="1"/>
  <c r="BL24" i="7"/>
  <c r="CU8" i="7" s="1"/>
  <c r="BT24" i="7"/>
  <c r="CU12" i="7" s="1"/>
  <c r="BN24" i="7"/>
  <c r="CU9" i="7" s="1"/>
  <c r="BJ24" i="7"/>
  <c r="CU7" i="7" s="1"/>
  <c r="BF5" i="7"/>
  <c r="CB4" i="7" s="1"/>
  <c r="AC5" i="7"/>
  <c r="BN11" i="7"/>
  <c r="CH9" i="7" s="1"/>
  <c r="BR11" i="7"/>
  <c r="CH11" i="7" s="1"/>
  <c r="BL11" i="7"/>
  <c r="CH8" i="7" s="1"/>
  <c r="BJ11" i="7"/>
  <c r="CH7" i="7" s="1"/>
  <c r="BP11" i="7"/>
  <c r="CH10" i="7" s="1"/>
  <c r="BT11" i="7"/>
  <c r="CH12" i="7" s="1"/>
  <c r="N36" i="8"/>
  <c r="M36" i="8"/>
  <c r="X18" i="7"/>
  <c r="N5" i="8"/>
  <c r="M5" i="8"/>
  <c r="Y21" i="6"/>
  <c r="G21" i="6"/>
  <c r="F21" i="6"/>
  <c r="Y7" i="6"/>
  <c r="F7" i="6"/>
  <c r="M12" i="8"/>
  <c r="N12" i="8"/>
  <c r="BH3" i="7"/>
  <c r="AD3" i="7"/>
  <c r="AD4" i="7"/>
  <c r="BH4" i="7"/>
  <c r="BH17" i="7"/>
  <c r="AD17" i="7"/>
  <c r="BT22" i="7"/>
  <c r="CS12" i="7" s="1"/>
  <c r="BP22" i="7"/>
  <c r="CS10" i="7" s="1"/>
  <c r="BJ22" i="7"/>
  <c r="CS7" i="7" s="1"/>
  <c r="BL22" i="7"/>
  <c r="CS8" i="7" s="1"/>
  <c r="BN22" i="7"/>
  <c r="CS9" i="7" s="1"/>
  <c r="BR22" i="7"/>
  <c r="CS11" i="7" s="1"/>
  <c r="N24" i="8"/>
  <c r="M24" i="8"/>
  <c r="BR21" i="7"/>
  <c r="CR11" i="7" s="1"/>
  <c r="BL21" i="7"/>
  <c r="CR8" i="7" s="1"/>
  <c r="BT21" i="7"/>
  <c r="CR12" i="7" s="1"/>
  <c r="BJ21" i="7"/>
  <c r="CR7" i="7" s="1"/>
  <c r="BP21" i="7"/>
  <c r="CR10" i="7" s="1"/>
  <c r="BN21" i="7"/>
  <c r="CR9" i="7" s="1"/>
  <c r="BF16" i="7"/>
  <c r="CM4" i="7" s="1"/>
  <c r="AC16" i="7"/>
  <c r="N49" i="8"/>
  <c r="M49" i="8"/>
  <c r="BH23" i="7"/>
  <c r="AD23" i="7"/>
  <c r="BH26" i="7"/>
  <c r="AD26" i="7"/>
  <c r="M40" i="8"/>
  <c r="N40" i="8"/>
  <c r="M26" i="8"/>
  <c r="N26" i="8"/>
  <c r="BL16" i="7"/>
  <c r="CM8" i="7" s="1"/>
  <c r="BR16" i="7"/>
  <c r="CM11" i="7" s="1"/>
  <c r="BN16" i="7"/>
  <c r="CM9" i="7" s="1"/>
  <c r="BJ16" i="7"/>
  <c r="CM7" i="7" s="1"/>
  <c r="BT16" i="7"/>
  <c r="CM12" i="7" s="1"/>
  <c r="BP16" i="7"/>
  <c r="CM10" i="7" s="1"/>
  <c r="M6" i="8"/>
  <c r="N6" i="8"/>
  <c r="AB84" i="5"/>
  <c r="BT12" i="7"/>
  <c r="CI12" i="7" s="1"/>
  <c r="BR12" i="7"/>
  <c r="CI11" i="7" s="1"/>
  <c r="BP12" i="7"/>
  <c r="CI10" i="7" s="1"/>
  <c r="BL12" i="7"/>
  <c r="CI8" i="7" s="1"/>
  <c r="BJ12" i="7"/>
  <c r="CI7" i="7" s="1"/>
  <c r="BN12" i="7"/>
  <c r="CI9" i="7" s="1"/>
  <c r="M18" i="8"/>
  <c r="N18" i="8"/>
  <c r="AD11" i="7"/>
  <c r="BH11" i="7"/>
  <c r="BF23" i="7"/>
  <c r="CT4" i="7" s="1"/>
  <c r="AC23" i="7"/>
  <c r="BN13" i="7"/>
  <c r="CJ9" i="7" s="1"/>
  <c r="BR13" i="7"/>
  <c r="CJ11" i="7" s="1"/>
  <c r="BL13" i="7"/>
  <c r="CJ8" i="7" s="1"/>
  <c r="BT13" i="7"/>
  <c r="CJ12" i="7" s="1"/>
  <c r="BJ13" i="7"/>
  <c r="CJ7" i="7" s="1"/>
  <c r="BP13" i="7"/>
  <c r="CJ10" i="7" s="1"/>
  <c r="AB23" i="6"/>
  <c r="Z23" i="6"/>
  <c r="AA23" i="6"/>
  <c r="Y17" i="6"/>
  <c r="F17" i="6"/>
  <c r="G17" i="6"/>
  <c r="F3" i="6"/>
  <c r="Y3" i="6"/>
  <c r="BN20" i="7"/>
  <c r="CQ9" i="7" s="1"/>
  <c r="BL20" i="7"/>
  <c r="CQ8" i="7" s="1"/>
  <c r="BT20" i="7"/>
  <c r="CQ12" i="7" s="1"/>
  <c r="BR20" i="7"/>
  <c r="CQ11" i="7" s="1"/>
  <c r="BP20" i="7"/>
  <c r="CQ10" i="7" s="1"/>
  <c r="BJ20" i="7"/>
  <c r="CQ7" i="7" s="1"/>
  <c r="X13" i="7"/>
  <c r="BV18" i="7"/>
  <c r="CO13" i="7" s="1"/>
  <c r="BF4" i="7"/>
  <c r="CA4" i="7" s="1"/>
  <c r="AC4" i="7"/>
  <c r="M38" i="8"/>
  <c r="N38" i="8"/>
  <c r="M20" i="8"/>
  <c r="N20" i="8"/>
  <c r="BV4" i="7"/>
  <c r="CA13" i="7" s="1"/>
  <c r="N52" i="8"/>
  <c r="M52" i="8"/>
  <c r="AD22" i="7"/>
  <c r="BH22" i="7"/>
  <c r="BH21" i="7"/>
  <c r="AD21" i="7"/>
  <c r="BT23" i="7"/>
  <c r="CT12" i="7" s="1"/>
  <c r="BR23" i="7"/>
  <c r="CT11" i="7" s="1"/>
  <c r="BL23" i="7"/>
  <c r="CT8" i="7" s="1"/>
  <c r="BJ23" i="7"/>
  <c r="CT7" i="7" s="1"/>
  <c r="BN23" i="7"/>
  <c r="CT9" i="7" s="1"/>
  <c r="BP23" i="7"/>
  <c r="CT10" i="7" s="1"/>
  <c r="BF10" i="7"/>
  <c r="CG4" i="7" s="1"/>
  <c r="AC10" i="7"/>
  <c r="N45" i="8"/>
  <c r="M45" i="8"/>
  <c r="BH12" i="7"/>
  <c r="AD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R7" i="9" s="1"/>
  <c r="AS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R6" i="9" s="1"/>
  <c r="AS6" i="9" s="1"/>
  <c r="AB19" i="19"/>
  <c r="D4824" i="23" s="1"/>
  <c r="AB22" i="19"/>
  <c r="D4827" i="23" s="1"/>
  <c r="AC4" i="19"/>
  <c r="AR4" i="9" s="1"/>
  <c r="AS4" i="9" s="1"/>
  <c r="AC7" i="19"/>
  <c r="AR5" i="9" s="1"/>
  <c r="AS5" i="9" s="1"/>
  <c r="AC25" i="19"/>
  <c r="AR11" i="9" s="1"/>
  <c r="AS11" i="9" s="1"/>
  <c r="AC18" i="19"/>
  <c r="AB30" i="19"/>
  <c r="D4835" i="23" s="1"/>
  <c r="AC19" i="19"/>
  <c r="AR9" i="9" s="1"/>
  <c r="AS9" i="9" s="1"/>
  <c r="AB18" i="19"/>
  <c r="D4823" i="23" s="1"/>
  <c r="AC22" i="19"/>
  <c r="AR10" i="9" s="1"/>
  <c r="AS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R8" i="9" s="1"/>
  <c r="AS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R12" i="9" s="1"/>
  <c r="AS12" i="9" s="1"/>
  <c r="AC14" i="19"/>
  <c r="AB24" i="19"/>
  <c r="D4829" i="23" s="1"/>
  <c r="AC21" i="19"/>
  <c r="AC30" i="19"/>
  <c r="AR13" i="9" s="1"/>
  <c r="AS13" i="9" s="1"/>
  <c r="AB13" i="19"/>
  <c r="D4818" i="23" s="1"/>
  <c r="AC9" i="19"/>
  <c r="BF6" i="7"/>
  <c r="CC4" i="7" s="1"/>
  <c r="AC6" i="7"/>
  <c r="BV27" i="7"/>
  <c r="CX13" i="7" s="1"/>
  <c r="M22" i="8"/>
  <c r="N22" i="8"/>
  <c r="BH13" i="7"/>
  <c r="AD13" i="7"/>
  <c r="M30" i="8"/>
  <c r="N30" i="8"/>
  <c r="Y12" i="6"/>
  <c r="F12" i="6"/>
  <c r="Y19" i="6"/>
  <c r="G19" i="6"/>
  <c r="F19" i="6"/>
  <c r="BH20" i="7"/>
  <c r="AD20" i="7"/>
  <c r="AD18" i="7"/>
  <c r="BH18" i="7"/>
  <c r="BF11" i="7"/>
  <c r="CH4" i="7" s="1"/>
  <c r="AC11" i="7"/>
  <c r="BF13" i="7"/>
  <c r="CJ4" i="7" s="1"/>
  <c r="AC13" i="7"/>
  <c r="BV22" i="7"/>
  <c r="CS13" i="7" s="1"/>
  <c r="BF20" i="7"/>
  <c r="CQ4" i="7" s="1"/>
  <c r="AC20" i="7"/>
  <c r="N41" i="8"/>
  <c r="M41" i="8"/>
  <c r="BV8" i="7"/>
  <c r="CE13" i="7" s="1"/>
  <c r="M28" i="8"/>
  <c r="N28" i="8"/>
  <c r="BV23" i="7"/>
  <c r="CT13" i="7" s="1"/>
  <c r="M10" i="8"/>
  <c r="N10" i="8"/>
  <c r="N35" i="8"/>
  <c r="M35" i="8"/>
  <c r="M34" i="8"/>
  <c r="N34" i="8"/>
  <c r="Y9" i="6"/>
  <c r="F9" i="6"/>
  <c r="BH6" i="7"/>
  <c r="AD6" i="7"/>
  <c r="BJ9" i="7"/>
  <c r="CF7" i="7" s="1"/>
  <c r="BL9" i="7"/>
  <c r="CF8" i="7" s="1"/>
  <c r="BR9" i="7"/>
  <c r="CF11" i="7" s="1"/>
  <c r="BT9" i="7"/>
  <c r="CF12" i="7" s="1"/>
  <c r="BP9" i="7"/>
  <c r="CF10" i="7" s="1"/>
  <c r="BN9" i="7"/>
  <c r="CF9" i="7" s="1"/>
  <c r="N4" i="8"/>
  <c r="BL27" i="7"/>
  <c r="CX8" i="7" s="1"/>
  <c r="BT27" i="7"/>
  <c r="CX12" i="7" s="1"/>
  <c r="BR27" i="7"/>
  <c r="CX11" i="7" s="1"/>
  <c r="BJ27" i="7"/>
  <c r="CX7" i="7" s="1"/>
  <c r="BN27" i="7"/>
  <c r="CX9" i="7" s="1"/>
  <c r="BP27" i="7"/>
  <c r="CX10" i="7" s="1"/>
  <c r="BF9" i="7"/>
  <c r="CF4" i="7" s="1"/>
  <c r="AC9" i="7"/>
  <c r="BF22" i="7"/>
  <c r="CS4" i="7" s="1"/>
  <c r="AC22" i="7"/>
  <c r="G22" i="6"/>
  <c r="Y22" i="6"/>
  <c r="F22" i="6"/>
  <c r="F8" i="6"/>
  <c r="Y8" i="6"/>
  <c r="Y15" i="6"/>
  <c r="F15" i="6"/>
  <c r="G15" i="6"/>
  <c r="M23" i="8"/>
  <c r="N23" i="8"/>
  <c r="BH15" i="7"/>
  <c r="AD15" i="7"/>
  <c r="BN18" i="7"/>
  <c r="CO9" i="7" s="1"/>
  <c r="BJ18" i="7"/>
  <c r="CO7" i="7" s="1"/>
  <c r="BR18" i="7"/>
  <c r="CO11" i="7" s="1"/>
  <c r="BP18" i="7"/>
  <c r="CO10" i="7" s="1"/>
  <c r="BT18" i="7"/>
  <c r="CO12" i="7" s="1"/>
  <c r="BL18" i="7"/>
  <c r="CO8" i="7" s="1"/>
  <c r="M8" i="8"/>
  <c r="N8" i="8"/>
  <c r="N37" i="8"/>
  <c r="M37" i="8"/>
  <c r="BP19" i="7"/>
  <c r="CP10" i="7" s="1"/>
  <c r="BJ19" i="7"/>
  <c r="CP7" i="7" s="1"/>
  <c r="BN19" i="7"/>
  <c r="CP9" i="7" s="1"/>
  <c r="BT19" i="7"/>
  <c r="CP12" i="7" s="1"/>
  <c r="BL19" i="7"/>
  <c r="CP8" i="7" s="1"/>
  <c r="BR19" i="7"/>
  <c r="CP11" i="7" s="1"/>
  <c r="BJ8" i="7"/>
  <c r="CE7" i="7" s="1"/>
  <c r="BT8" i="7"/>
  <c r="CE12" i="7" s="1"/>
  <c r="BN8" i="7"/>
  <c r="CE9" i="7" s="1"/>
  <c r="BP8" i="7"/>
  <c r="CE10" i="7" s="1"/>
  <c r="BL8" i="7"/>
  <c r="CE8" i="7" s="1"/>
  <c r="BR8" i="7"/>
  <c r="CE11" i="7" s="1"/>
  <c r="BF19" i="7"/>
  <c r="CP4" i="7" s="1"/>
  <c r="AC19" i="7"/>
  <c r="BJ14" i="7"/>
  <c r="CK7" i="7" s="1"/>
  <c r="BN14" i="7"/>
  <c r="CK9" i="7" s="1"/>
  <c r="BL14" i="7"/>
  <c r="CK8" i="7" s="1"/>
  <c r="BP14" i="7"/>
  <c r="CK10" i="7" s="1"/>
  <c r="BT14" i="7"/>
  <c r="CK12" i="7" s="1"/>
  <c r="BR14" i="7"/>
  <c r="CK11" i="7" s="1"/>
  <c r="N13" i="8"/>
  <c r="M13" i="8"/>
  <c r="BH9" i="7"/>
  <c r="AD9" i="7"/>
  <c r="BP28" i="7"/>
  <c r="CY10" i="7" s="1"/>
  <c r="BL28" i="7"/>
  <c r="CY8" i="7" s="1"/>
  <c r="BR28" i="7"/>
  <c r="CY11" i="7" s="1"/>
  <c r="BT28" i="7"/>
  <c r="CY12" i="7" s="1"/>
  <c r="BN28" i="7"/>
  <c r="CY9" i="7" s="1"/>
  <c r="BJ28" i="7"/>
  <c r="CY7" i="7" s="1"/>
  <c r="BF21" i="7"/>
  <c r="CR4" i="7" s="1"/>
  <c r="AC21" i="7"/>
  <c r="BF18" i="7"/>
  <c r="CO4" i="7" s="1"/>
  <c r="AC18" i="7"/>
  <c r="BH27" i="7"/>
  <c r="AD27" i="7"/>
  <c r="BF14" i="7"/>
  <c r="CK4" i="7" s="1"/>
  <c r="AC14" i="7"/>
  <c r="N9" i="8"/>
  <c r="M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M39" i="8"/>
  <c r="N39" i="8"/>
  <c r="N17" i="8"/>
  <c r="M17" i="8"/>
  <c r="G18" i="6"/>
  <c r="Y18" i="6"/>
  <c r="F18" i="6"/>
  <c r="F4" i="6"/>
  <c r="Y4" i="6"/>
  <c r="F10" i="6"/>
  <c r="Y10" i="6"/>
  <c r="M46" i="8"/>
  <c r="N46" i="8"/>
  <c r="BR15" i="7"/>
  <c r="CL11" i="7" s="1"/>
  <c r="BN15" i="7"/>
  <c r="CL9" i="7" s="1"/>
  <c r="BL15" i="7"/>
  <c r="CL8" i="7" s="1"/>
  <c r="BT15" i="7"/>
  <c r="CL12" i="7" s="1"/>
  <c r="BJ15" i="7"/>
  <c r="CL7" i="7" s="1"/>
  <c r="BP15" i="7"/>
  <c r="CL10" i="7" s="1"/>
  <c r="BF27" i="7"/>
  <c r="CX4" i="7" s="1"/>
  <c r="AC27" i="7"/>
  <c r="BH19" i="7"/>
  <c r="AD19" i="7"/>
  <c r="BF15" i="7"/>
  <c r="CL4" i="7" s="1"/>
  <c r="AC15" i="7"/>
  <c r="N21" i="8"/>
  <c r="M21" i="8"/>
  <c r="BV5" i="7"/>
  <c r="CB13" i="7" s="1"/>
  <c r="BH8" i="7"/>
  <c r="AD8" i="7"/>
  <c r="N44" i="8"/>
  <c r="M44" i="8"/>
  <c r="BJ10" i="7"/>
  <c r="CG7" i="7" s="1"/>
  <c r="BL10" i="7"/>
  <c r="CG8" i="7" s="1"/>
  <c r="BT10" i="7"/>
  <c r="CG12" i="7" s="1"/>
  <c r="BP10" i="7"/>
  <c r="CG10" i="7" s="1"/>
  <c r="BN10" i="7"/>
  <c r="CG9" i="7" s="1"/>
  <c r="BR10" i="7"/>
  <c r="CG11" i="7" s="1"/>
  <c r="BF24" i="7"/>
  <c r="CU4" i="7" s="1"/>
  <c r="AC24" i="7"/>
  <c r="N29" i="8"/>
  <c r="M29" i="8"/>
  <c r="AB24" i="5"/>
  <c r="AB10" i="5"/>
  <c r="AA35" i="5"/>
  <c r="AB26" i="5"/>
  <c r="AA22" i="5"/>
  <c r="AB48" i="5"/>
  <c r="AB82" i="5"/>
  <c r="AB67" i="5"/>
  <c r="AB63" i="5"/>
  <c r="AB93" i="5"/>
  <c r="AA93" i="5"/>
  <c r="AA75" i="5"/>
  <c r="AB75" i="5"/>
  <c r="AA44" i="5"/>
  <c r="AB44" i="5"/>
  <c r="AA50" i="5"/>
  <c r="AB50" i="5"/>
  <c r="R4" i="5"/>
  <c r="R5" i="5"/>
  <c r="R6" i="5"/>
  <c r="R3" i="5"/>
  <c r="AA55" i="5"/>
  <c r="AB55" i="5"/>
  <c r="AA16" i="5"/>
  <c r="AB16" i="5"/>
  <c r="AB57" i="5"/>
  <c r="AA57" i="5"/>
  <c r="AA56" i="5"/>
  <c r="AB56" i="5"/>
  <c r="AA103" i="5"/>
  <c r="AB103" i="5"/>
  <c r="AA100" i="5"/>
  <c r="AB100" i="5"/>
  <c r="AB33" i="5"/>
  <c r="AA33" i="5"/>
  <c r="AB94" i="5"/>
  <c r="AA94" i="5"/>
  <c r="AA98" i="5"/>
  <c r="AB98" i="5"/>
  <c r="P5" i="5"/>
  <c r="P6" i="5"/>
  <c r="P3" i="5"/>
  <c r="P4" i="5"/>
  <c r="AA39" i="5"/>
  <c r="AB39" i="5"/>
  <c r="AB37" i="5"/>
  <c r="AA37" i="5"/>
  <c r="AA62" i="5"/>
  <c r="AB62" i="5"/>
  <c r="AA80" i="5"/>
  <c r="AB80" i="5"/>
  <c r="X5" i="5"/>
  <c r="X6" i="5"/>
  <c r="X3" i="5"/>
  <c r="X4" i="5"/>
  <c r="AA27" i="5"/>
  <c r="AB27" i="5"/>
  <c r="AA95" i="5"/>
  <c r="AB95" i="5"/>
  <c r="AA28" i="5"/>
  <c r="AB28" i="5"/>
  <c r="AA71" i="5"/>
  <c r="AB71" i="5"/>
  <c r="AA38" i="5"/>
  <c r="AB38" i="5"/>
  <c r="AB77" i="5"/>
  <c r="AA77" i="5"/>
  <c r="AA91" i="5"/>
  <c r="AB91" i="5"/>
  <c r="AA59" i="5"/>
  <c r="AB59" i="5"/>
  <c r="AB105" i="5"/>
  <c r="AA105" i="5"/>
  <c r="T4" i="5"/>
  <c r="T5" i="5"/>
  <c r="T6" i="5"/>
  <c r="T3" i="5"/>
  <c r="AA11" i="5"/>
  <c r="AB11" i="5"/>
  <c r="E405" i="13"/>
  <c r="E359" i="13"/>
  <c r="E37" i="13"/>
  <c r="X35" i="13"/>
  <c r="K37" i="18" l="1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B8" i="5"/>
  <c r="AB36" i="5"/>
  <c r="L6" i="19"/>
  <c r="D5027" i="23" s="1"/>
  <c r="AB30" i="5"/>
  <c r="AB85" i="5"/>
  <c r="AA45" i="5"/>
  <c r="AB54" i="5"/>
  <c r="AA69" i="5"/>
  <c r="AB47" i="5"/>
  <c r="AV11" i="19"/>
  <c r="D4654" i="23" s="1"/>
  <c r="AA20" i="5"/>
  <c r="AB73" i="5"/>
  <c r="AB21" i="5"/>
  <c r="M20" i="19"/>
  <c r="AB78" i="5"/>
  <c r="AB15" i="5"/>
  <c r="M28" i="19"/>
  <c r="AA65" i="5"/>
  <c r="L20" i="19"/>
  <c r="D5041" i="23" s="1"/>
  <c r="L18" i="19"/>
  <c r="D5039" i="23" s="1"/>
  <c r="M27" i="19"/>
  <c r="M6" i="19"/>
  <c r="M11" i="19"/>
  <c r="L5" i="19"/>
  <c r="L27" i="19"/>
  <c r="D5048" i="23" s="1"/>
  <c r="H468" i="15"/>
  <c r="L16" i="19"/>
  <c r="D5037" i="23" s="1"/>
  <c r="L8" i="19"/>
  <c r="D5029" i="23" s="1"/>
  <c r="L14" i="19"/>
  <c r="D5035" i="23" s="1"/>
  <c r="AA17" i="5"/>
  <c r="H908" i="15"/>
  <c r="AA18" i="5"/>
  <c r="AB13" i="5"/>
  <c r="H303" i="15"/>
  <c r="L28" i="19"/>
  <c r="D5049" i="23" s="1"/>
  <c r="M22" i="19"/>
  <c r="M8" i="19"/>
  <c r="L15" i="19"/>
  <c r="D5036" i="23" s="1"/>
  <c r="L11" i="19"/>
  <c r="M19" i="19"/>
  <c r="M10" i="19"/>
  <c r="AB46" i="5"/>
  <c r="AY25" i="19"/>
  <c r="L7" i="19"/>
  <c r="D5028" i="23" s="1"/>
  <c r="M24" i="19"/>
  <c r="M23" i="19"/>
  <c r="L24" i="19"/>
  <c r="L17" i="19"/>
  <c r="D5038" i="23" s="1"/>
  <c r="M15" i="19"/>
  <c r="M25" i="19"/>
  <c r="AB43" i="5"/>
  <c r="AB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H292" i="15"/>
  <c r="AA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H988" i="15"/>
  <c r="H638" i="15"/>
  <c r="AB70" i="5"/>
  <c r="AB96" i="5"/>
  <c r="AB23" i="5"/>
  <c r="AA53" i="5"/>
  <c r="AB9" i="5"/>
  <c r="AB40" i="5"/>
  <c r="H983" i="15"/>
  <c r="H747" i="15"/>
  <c r="AB51" i="5"/>
  <c r="AB34" i="5"/>
  <c r="H743" i="15"/>
  <c r="H318" i="15"/>
  <c r="AW24" i="19"/>
  <c r="H820" i="15"/>
  <c r="H836" i="15"/>
  <c r="AB102" i="5"/>
  <c r="H655" i="15"/>
  <c r="AW8" i="19"/>
  <c r="H391" i="15"/>
  <c r="H831" i="15"/>
  <c r="H528" i="15"/>
  <c r="H341" i="15"/>
  <c r="H974" i="15"/>
  <c r="AB31" i="5"/>
  <c r="AV7" i="19"/>
  <c r="D4650" i="23" s="1"/>
  <c r="AW15" i="19"/>
  <c r="H39" i="15"/>
  <c r="H479" i="15"/>
  <c r="H737" i="15"/>
  <c r="H726" i="15"/>
  <c r="H903" i="15"/>
  <c r="H33" i="15"/>
  <c r="H22" i="15"/>
  <c r="AA29" i="5"/>
  <c r="AW17" i="19"/>
  <c r="AW30" i="19"/>
  <c r="H116" i="15"/>
  <c r="H556" i="15"/>
  <c r="H330" i="15"/>
  <c r="AW18" i="19"/>
  <c r="AV6" i="19"/>
  <c r="D4649" i="23" s="1"/>
  <c r="H127" i="15"/>
  <c r="H644" i="15"/>
  <c r="H231" i="15"/>
  <c r="AV19" i="19"/>
  <c r="D4662" i="23" s="1"/>
  <c r="AW27" i="19"/>
  <c r="AA60" i="5"/>
  <c r="H204" i="15"/>
  <c r="H539" i="15"/>
  <c r="AV21" i="19"/>
  <c r="D4664" i="23" s="1"/>
  <c r="AV25" i="19"/>
  <c r="D4668" i="23" s="1"/>
  <c r="H132" i="15"/>
  <c r="H471" i="15"/>
  <c r="H243" i="15"/>
  <c r="AA25" i="5"/>
  <c r="H906" i="15"/>
  <c r="H213" i="15"/>
  <c r="H453" i="15"/>
  <c r="V5" i="5"/>
  <c r="Z5" i="5" s="1"/>
  <c r="V6" i="5"/>
  <c r="H6" i="5" s="1"/>
  <c r="AY10" i="19"/>
  <c r="H356" i="15"/>
  <c r="V4" i="5"/>
  <c r="Z4" i="5" s="1"/>
  <c r="AB87" i="5"/>
  <c r="AX30" i="19"/>
  <c r="D4862" i="23" s="1"/>
  <c r="H620" i="15"/>
  <c r="AB12" i="5"/>
  <c r="V3" i="5"/>
  <c r="H3" i="5" s="1"/>
  <c r="AX5" i="19"/>
  <c r="D4837" i="23" s="1"/>
  <c r="H763" i="15"/>
  <c r="Z7" i="5"/>
  <c r="AA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A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H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H140" i="15"/>
  <c r="H966" i="15"/>
  <c r="H595" i="15"/>
  <c r="AT19" i="19"/>
  <c r="D4743" i="23" s="1"/>
  <c r="H301" i="15"/>
  <c r="H708" i="15"/>
  <c r="H34" i="15"/>
  <c r="H947" i="15"/>
  <c r="AT14" i="19"/>
  <c r="D4738" i="23" s="1"/>
  <c r="H114" i="15"/>
  <c r="H565" i="15"/>
  <c r="H972" i="15"/>
  <c r="H386" i="15"/>
  <c r="AT5" i="19"/>
  <c r="D4729" i="23" s="1"/>
  <c r="H202" i="15"/>
  <c r="H653" i="15"/>
  <c r="H59" i="15"/>
  <c r="H215" i="15"/>
  <c r="H567" i="15"/>
  <c r="H919" i="15"/>
  <c r="H251" i="15"/>
  <c r="H738" i="15"/>
  <c r="H651" i="15"/>
  <c r="AB19" i="5"/>
  <c r="AT30" i="19"/>
  <c r="D4754" i="23" s="1"/>
  <c r="H466" i="15"/>
  <c r="H917" i="15"/>
  <c r="H323" i="15"/>
  <c r="H361" i="15"/>
  <c r="H133" i="15"/>
  <c r="AA42" i="5"/>
  <c r="AU7" i="19"/>
  <c r="H554" i="15"/>
  <c r="H4" i="15"/>
  <c r="H411" i="15"/>
  <c r="H64" i="15"/>
  <c r="H837" i="15"/>
  <c r="H818" i="15"/>
  <c r="H268" i="15"/>
  <c r="H675" i="15"/>
  <c r="H28" i="15"/>
  <c r="H380" i="15"/>
  <c r="H732" i="15"/>
  <c r="H768" i="15"/>
  <c r="H892" i="15"/>
  <c r="H943" i="15"/>
  <c r="H571" i="15"/>
  <c r="AB97" i="5"/>
  <c r="AA97" i="5"/>
  <c r="AU12" i="19"/>
  <c r="AT9" i="19"/>
  <c r="D4733" i="23" s="1"/>
  <c r="AU14" i="19"/>
  <c r="H158" i="15"/>
  <c r="H510" i="15"/>
  <c r="H862" i="15"/>
  <c r="H257" i="15"/>
  <c r="H609" i="15"/>
  <c r="H961" i="15"/>
  <c r="H312" i="15"/>
  <c r="H664" i="15"/>
  <c r="H15" i="15"/>
  <c r="H367" i="15"/>
  <c r="H719" i="15"/>
  <c r="H492" i="15"/>
  <c r="H371" i="15"/>
  <c r="H494" i="15"/>
  <c r="H923" i="15"/>
  <c r="H616" i="15"/>
  <c r="H121" i="15"/>
  <c r="H825" i="15"/>
  <c r="H418" i="15"/>
  <c r="H671" i="15"/>
  <c r="H627" i="15"/>
  <c r="H220" i="15"/>
  <c r="H924" i="15"/>
  <c r="H429" i="15"/>
  <c r="H110" i="15"/>
  <c r="H814" i="15"/>
  <c r="H844" i="15"/>
  <c r="H11" i="15"/>
  <c r="AT7" i="19"/>
  <c r="D4731" i="23" s="1"/>
  <c r="AT24" i="19"/>
  <c r="D4748" i="23" s="1"/>
  <c r="H246" i="15"/>
  <c r="H598" i="15"/>
  <c r="H950" i="15"/>
  <c r="H345" i="15"/>
  <c r="H697" i="15"/>
  <c r="H48" i="15"/>
  <c r="H400" i="15"/>
  <c r="H752" i="15"/>
  <c r="H103" i="15"/>
  <c r="H455" i="15"/>
  <c r="H807" i="15"/>
  <c r="H217" i="15"/>
  <c r="H262" i="15"/>
  <c r="H846" i="15"/>
  <c r="H88" i="15"/>
  <c r="H792" i="15"/>
  <c r="H297" i="15"/>
  <c r="H55" i="15"/>
  <c r="H594" i="15"/>
  <c r="H99" i="15"/>
  <c r="H803" i="15"/>
  <c r="H396" i="15"/>
  <c r="H319" i="15"/>
  <c r="H605" i="15"/>
  <c r="H286" i="15"/>
  <c r="H990" i="15"/>
  <c r="H485" i="15"/>
  <c r="H984" i="15"/>
  <c r="H722" i="15"/>
  <c r="H728" i="15"/>
  <c r="H723" i="15"/>
  <c r="H670" i="15"/>
  <c r="H704" i="15"/>
  <c r="H506" i="15"/>
  <c r="H715" i="15"/>
  <c r="H143" i="15"/>
  <c r="H198" i="15"/>
  <c r="H902" i="15"/>
  <c r="AU29" i="19"/>
  <c r="AU11" i="19"/>
  <c r="H290" i="15"/>
  <c r="H642" i="15"/>
  <c r="H37" i="15"/>
  <c r="H389" i="15"/>
  <c r="H741" i="15"/>
  <c r="H92" i="15"/>
  <c r="H444" i="15"/>
  <c r="H796" i="15"/>
  <c r="H147" i="15"/>
  <c r="H499" i="15"/>
  <c r="H851" i="15"/>
  <c r="H569" i="15"/>
  <c r="H43" i="15"/>
  <c r="H176" i="15"/>
  <c r="H880" i="15"/>
  <c r="H385" i="15"/>
  <c r="H847" i="15"/>
  <c r="H682" i="15"/>
  <c r="H187" i="15"/>
  <c r="H891" i="15"/>
  <c r="H484" i="15"/>
  <c r="H759" i="15"/>
  <c r="H693" i="15"/>
  <c r="H374" i="15"/>
  <c r="H407" i="15"/>
  <c r="H913" i="15"/>
  <c r="H308" i="15"/>
  <c r="AU23" i="19"/>
  <c r="AU15" i="19"/>
  <c r="AU20" i="19"/>
  <c r="H334" i="15"/>
  <c r="H686" i="15"/>
  <c r="H81" i="15"/>
  <c r="H433" i="15"/>
  <c r="H785" i="15"/>
  <c r="H136" i="15"/>
  <c r="H488" i="15"/>
  <c r="H840" i="15"/>
  <c r="H191" i="15"/>
  <c r="H543" i="15"/>
  <c r="H895" i="15"/>
  <c r="H921" i="15"/>
  <c r="H955" i="15"/>
  <c r="H669" i="15"/>
  <c r="H219" i="15"/>
  <c r="H264" i="15"/>
  <c r="H968" i="15"/>
  <c r="H473" i="15"/>
  <c r="H66" i="15"/>
  <c r="H770" i="15"/>
  <c r="H275" i="15"/>
  <c r="H979" i="15"/>
  <c r="H572" i="15"/>
  <c r="H77" i="15"/>
  <c r="H781" i="15"/>
  <c r="H462" i="15"/>
  <c r="H188" i="15"/>
  <c r="H209" i="15"/>
  <c r="H517" i="15"/>
  <c r="AU25" i="19"/>
  <c r="AU21" i="19"/>
  <c r="AT12" i="19"/>
  <c r="D4736" i="23" s="1"/>
  <c r="H26" i="15"/>
  <c r="H378" i="15"/>
  <c r="H730" i="15"/>
  <c r="H125" i="15"/>
  <c r="H477" i="15"/>
  <c r="H829" i="15"/>
  <c r="H180" i="15"/>
  <c r="H532" i="15"/>
  <c r="H884" i="15"/>
  <c r="H235" i="15"/>
  <c r="H587" i="15"/>
  <c r="H939" i="15"/>
  <c r="H294" i="15"/>
  <c r="H658" i="15"/>
  <c r="H372" i="15"/>
  <c r="H395" i="15"/>
  <c r="H352" i="15"/>
  <c r="H495" i="15"/>
  <c r="H561" i="15"/>
  <c r="H154" i="15"/>
  <c r="H858" i="15"/>
  <c r="H363" i="15"/>
  <c r="H583" i="15"/>
  <c r="H660" i="15"/>
  <c r="H165" i="15"/>
  <c r="H869" i="15"/>
  <c r="H550" i="15"/>
  <c r="H540" i="15"/>
  <c r="AT22" i="19"/>
  <c r="D4746" i="23" s="1"/>
  <c r="AU6" i="19"/>
  <c r="AT27" i="19"/>
  <c r="D4751" i="23" s="1"/>
  <c r="H70" i="15"/>
  <c r="H422" i="15"/>
  <c r="H774" i="15"/>
  <c r="H169" i="15"/>
  <c r="H521" i="15"/>
  <c r="H873" i="15"/>
  <c r="H224" i="15"/>
  <c r="H576" i="15"/>
  <c r="H928" i="15"/>
  <c r="H279" i="15"/>
  <c r="H631" i="15"/>
  <c r="H646" i="15"/>
  <c r="H142" i="15"/>
  <c r="H440" i="15"/>
  <c r="H935" i="15"/>
  <c r="H649" i="15"/>
  <c r="H242" i="15"/>
  <c r="H946" i="15"/>
  <c r="H451" i="15"/>
  <c r="H44" i="15"/>
  <c r="H748" i="15"/>
  <c r="H253" i="15"/>
  <c r="H957" i="15"/>
  <c r="AR30" i="19"/>
  <c r="D5024" i="23" s="1"/>
  <c r="AS11" i="19"/>
  <c r="H398" i="15"/>
  <c r="H112" i="15"/>
  <c r="AS19" i="19"/>
  <c r="AR11" i="19"/>
  <c r="D5005" i="23" s="1"/>
  <c r="H49" i="15"/>
  <c r="H348" i="15"/>
  <c r="H849" i="15"/>
  <c r="AS16" i="19"/>
  <c r="AS18" i="19"/>
  <c r="H676" i="15"/>
  <c r="H777" i="15"/>
  <c r="H596" i="15"/>
  <c r="AS20" i="19"/>
  <c r="AR5" i="19"/>
  <c r="D4999" i="23" s="1"/>
  <c r="H522" i="15"/>
  <c r="H667" i="15"/>
  <c r="H343" i="15"/>
  <c r="H145" i="15"/>
  <c r="H816" i="15"/>
  <c r="AS29" i="19"/>
  <c r="H973" i="15"/>
  <c r="H381" i="15"/>
  <c r="H90" i="15"/>
  <c r="AR12" i="19"/>
  <c r="D5006" i="23" s="1"/>
  <c r="H794" i="15"/>
  <c r="H458" i="15"/>
  <c r="H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H302" i="15"/>
  <c r="H764" i="15"/>
  <c r="H610" i="15"/>
  <c r="H368" i="15"/>
  <c r="H436" i="15"/>
  <c r="H238" i="15"/>
  <c r="H755" i="15"/>
  <c r="H469" i="15"/>
  <c r="H35" i="15"/>
  <c r="H739" i="15"/>
  <c r="H486" i="15"/>
  <c r="H233" i="15"/>
  <c r="H937" i="15"/>
  <c r="H684" i="15"/>
  <c r="H431" i="15"/>
  <c r="H178" i="15"/>
  <c r="H882" i="15"/>
  <c r="H541" i="15"/>
  <c r="H200" i="15"/>
  <c r="H904" i="15"/>
  <c r="H698" i="15"/>
  <c r="H123" i="15"/>
  <c r="H827" i="15"/>
  <c r="H574" i="15"/>
  <c r="H321" i="15"/>
  <c r="H68" i="15"/>
  <c r="H772" i="15"/>
  <c r="H519" i="15"/>
  <c r="H266" i="15"/>
  <c r="H970" i="15"/>
  <c r="H629" i="15"/>
  <c r="H288" i="15"/>
  <c r="H992" i="15"/>
  <c r="AS13" i="19"/>
  <c r="AS24" i="19"/>
  <c r="AR21" i="19"/>
  <c r="D5015" i="23" s="1"/>
  <c r="AR18" i="19"/>
  <c r="D5012" i="23" s="1"/>
  <c r="AS17" i="19"/>
  <c r="AR9" i="19"/>
  <c r="D5003" i="23" s="1"/>
  <c r="AS14" i="19"/>
  <c r="H115" i="15"/>
  <c r="H478" i="15"/>
  <c r="H247" i="15"/>
  <c r="H93" i="15"/>
  <c r="H544" i="15"/>
  <c r="H271" i="15"/>
  <c r="H414" i="15"/>
  <c r="H304" i="15"/>
  <c r="H623" i="15"/>
  <c r="H211" i="15"/>
  <c r="H915" i="15"/>
  <c r="H662" i="15"/>
  <c r="H409" i="15"/>
  <c r="H156" i="15"/>
  <c r="H860" i="15"/>
  <c r="H607" i="15"/>
  <c r="H354" i="15"/>
  <c r="H13" i="15"/>
  <c r="H717" i="15"/>
  <c r="H376" i="15"/>
  <c r="H390" i="15"/>
  <c r="H456" i="15"/>
  <c r="H524" i="15"/>
  <c r="H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H203" i="15"/>
  <c r="H137" i="15"/>
  <c r="H335" i="15"/>
  <c r="H181" i="15"/>
  <c r="H711" i="15"/>
  <c r="H942" i="15"/>
  <c r="H392" i="15"/>
  <c r="H887" i="15"/>
  <c r="H299" i="15"/>
  <c r="H46" i="15"/>
  <c r="H750" i="15"/>
  <c r="H497" i="15"/>
  <c r="H244" i="15"/>
  <c r="H948" i="15"/>
  <c r="H695" i="15"/>
  <c r="H442" i="15"/>
  <c r="H101" i="15"/>
  <c r="H805" i="15"/>
  <c r="H464" i="15"/>
  <c r="AS5" i="19"/>
  <c r="AR8" i="19"/>
  <c r="D5002" i="23" s="1"/>
  <c r="AR14" i="19"/>
  <c r="D5008" i="23" s="1"/>
  <c r="AS15" i="19"/>
  <c r="AS10" i="19"/>
  <c r="AS22" i="19"/>
  <c r="AR22" i="19"/>
  <c r="D5016" i="23" s="1"/>
  <c r="H291" i="15"/>
  <c r="H665" i="15"/>
  <c r="H863" i="15"/>
  <c r="H269" i="15"/>
  <c r="H73" i="15"/>
  <c r="H183" i="15"/>
  <c r="H920" i="15"/>
  <c r="H18" i="15"/>
  <c r="H387" i="15"/>
  <c r="H134" i="15"/>
  <c r="H838" i="15"/>
  <c r="H585" i="15"/>
  <c r="H332" i="15"/>
  <c r="H79" i="15"/>
  <c r="H783" i="15"/>
  <c r="H530" i="15"/>
  <c r="H189" i="15"/>
  <c r="H893" i="15"/>
  <c r="H552" i="15"/>
  <c r="H159" i="15"/>
  <c r="AS6" i="19"/>
  <c r="AS28" i="19"/>
  <c r="AS26" i="19"/>
  <c r="AS25" i="19"/>
  <c r="AR23" i="19"/>
  <c r="D5017" i="23" s="1"/>
  <c r="AS9" i="19"/>
  <c r="H819" i="15"/>
  <c r="H60" i="15"/>
  <c r="H951" i="15"/>
  <c r="H797" i="15"/>
  <c r="H601" i="15"/>
  <c r="H51" i="15"/>
  <c r="H95" i="15"/>
  <c r="H546" i="15"/>
  <c r="H475" i="15"/>
  <c r="H222" i="15"/>
  <c r="H926" i="15"/>
  <c r="H673" i="15"/>
  <c r="H420" i="15"/>
  <c r="H167" i="15"/>
  <c r="H871" i="15"/>
  <c r="H618" i="15"/>
  <c r="H277" i="15"/>
  <c r="H981" i="15"/>
  <c r="H640" i="15"/>
  <c r="H326" i="15"/>
  <c r="H216" i="15"/>
  <c r="AS27" i="19"/>
  <c r="AR29" i="19"/>
  <c r="D5023" i="23" s="1"/>
  <c r="AR26" i="19"/>
  <c r="D5020" i="23" s="1"/>
  <c r="AR16" i="19"/>
  <c r="D5010" i="23" s="1"/>
  <c r="AS12" i="19"/>
  <c r="H907" i="15"/>
  <c r="H588" i="15"/>
  <c r="H753" i="15"/>
  <c r="H885" i="15"/>
  <c r="H689" i="15"/>
  <c r="H579" i="15"/>
  <c r="H447" i="15"/>
  <c r="H634" i="15"/>
  <c r="H563" i="15"/>
  <c r="H310" i="15"/>
  <c r="H57" i="15"/>
  <c r="H761" i="15"/>
  <c r="H508" i="15"/>
  <c r="H255" i="15"/>
  <c r="H959" i="15"/>
  <c r="H706" i="15"/>
  <c r="H365" i="15"/>
  <c r="H24" i="15"/>
  <c r="H339" i="15"/>
  <c r="H42" i="15"/>
  <c r="H746" i="15"/>
  <c r="H449" i="15"/>
  <c r="H152" i="15"/>
  <c r="H856" i="15"/>
  <c r="H559" i="15"/>
  <c r="H350" i="15"/>
  <c r="H53" i="15"/>
  <c r="H757" i="15"/>
  <c r="H460" i="15"/>
  <c r="H78" i="15"/>
  <c r="H430" i="15"/>
  <c r="H782" i="15"/>
  <c r="H177" i="15"/>
  <c r="H529" i="15"/>
  <c r="H881" i="15"/>
  <c r="H232" i="15"/>
  <c r="H584" i="15"/>
  <c r="H936" i="15"/>
  <c r="H287" i="15"/>
  <c r="H639" i="15"/>
  <c r="H991" i="15"/>
  <c r="H427" i="15"/>
  <c r="H130" i="15"/>
  <c r="H834" i="15"/>
  <c r="H537" i="15"/>
  <c r="H240" i="15"/>
  <c r="H944" i="15"/>
  <c r="H647" i="15"/>
  <c r="H438" i="15"/>
  <c r="H141" i="15"/>
  <c r="H845" i="15"/>
  <c r="H548" i="15"/>
  <c r="H122" i="15"/>
  <c r="H474" i="15"/>
  <c r="H826" i="15"/>
  <c r="H221" i="15"/>
  <c r="H573" i="15"/>
  <c r="H925" i="15"/>
  <c r="H276" i="15"/>
  <c r="H628" i="15"/>
  <c r="H980" i="15"/>
  <c r="H331" i="15"/>
  <c r="H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H379" i="15"/>
  <c r="H313" i="15"/>
  <c r="H566" i="15"/>
  <c r="H148" i="15"/>
  <c r="H852" i="15"/>
  <c r="H423" i="15"/>
  <c r="H82" i="15"/>
  <c r="H786" i="15"/>
  <c r="H357" i="15"/>
  <c r="H929" i="15"/>
  <c r="H632" i="15"/>
  <c r="H612" i="15"/>
  <c r="H161" i="15"/>
  <c r="H865" i="15"/>
  <c r="H502" i="15"/>
  <c r="H139" i="15"/>
  <c r="H843" i="15"/>
  <c r="H480" i="15"/>
  <c r="H799" i="15"/>
  <c r="H645" i="15"/>
  <c r="H106" i="15"/>
  <c r="H810" i="15"/>
  <c r="H515" i="15"/>
  <c r="H218" i="15"/>
  <c r="H922" i="15"/>
  <c r="H625" i="15"/>
  <c r="H328" i="15"/>
  <c r="H31" i="15"/>
  <c r="H735" i="15"/>
  <c r="H526" i="15"/>
  <c r="H229" i="15"/>
  <c r="H933" i="15"/>
  <c r="H636" i="15"/>
  <c r="H166" i="15"/>
  <c r="H518" i="15"/>
  <c r="H870" i="15"/>
  <c r="H265" i="15"/>
  <c r="H617" i="15"/>
  <c r="H969" i="15"/>
  <c r="H320" i="15"/>
  <c r="H672" i="15"/>
  <c r="H23" i="15"/>
  <c r="H375" i="15"/>
  <c r="H727" i="15"/>
  <c r="AU5" i="19"/>
  <c r="AT29" i="19"/>
  <c r="D4753" i="23" s="1"/>
  <c r="AU22" i="19"/>
  <c r="AU28" i="19"/>
  <c r="AT20" i="19"/>
  <c r="D4744" i="23" s="1"/>
  <c r="AT10" i="19"/>
  <c r="D4734" i="23" s="1"/>
  <c r="AU24" i="19"/>
  <c r="H467" i="15"/>
  <c r="H841" i="15"/>
  <c r="H654" i="15"/>
  <c r="H236" i="15"/>
  <c r="H940" i="15"/>
  <c r="H511" i="15"/>
  <c r="H170" i="15"/>
  <c r="H874" i="15"/>
  <c r="H445" i="15"/>
  <c r="H16" i="15"/>
  <c r="H720" i="15"/>
  <c r="H975" i="15"/>
  <c r="H700" i="15"/>
  <c r="H249" i="15"/>
  <c r="H953" i="15"/>
  <c r="H590" i="15"/>
  <c r="H227" i="15"/>
  <c r="H931" i="15"/>
  <c r="H568" i="15"/>
  <c r="H29" i="15"/>
  <c r="H733" i="15"/>
  <c r="H194" i="15"/>
  <c r="H898" i="15"/>
  <c r="H603" i="15"/>
  <c r="H306" i="15"/>
  <c r="H9" i="15"/>
  <c r="H713" i="15"/>
  <c r="H416" i="15"/>
  <c r="H119" i="15"/>
  <c r="H823" i="15"/>
  <c r="H614" i="15"/>
  <c r="H317" i="15"/>
  <c r="H20" i="15"/>
  <c r="H724" i="15"/>
  <c r="H210" i="15"/>
  <c r="H562" i="15"/>
  <c r="H914" i="15"/>
  <c r="H309" i="15"/>
  <c r="H661" i="15"/>
  <c r="H12" i="15"/>
  <c r="H364" i="15"/>
  <c r="H716" i="15"/>
  <c r="H67" i="15"/>
  <c r="H419" i="15"/>
  <c r="H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H555" i="15"/>
  <c r="H38" i="15"/>
  <c r="H742" i="15"/>
  <c r="H324" i="15"/>
  <c r="H225" i="15"/>
  <c r="H599" i="15"/>
  <c r="H258" i="15"/>
  <c r="H962" i="15"/>
  <c r="H533" i="15"/>
  <c r="H104" i="15"/>
  <c r="H808" i="15"/>
  <c r="H84" i="15"/>
  <c r="H788" i="15"/>
  <c r="H337" i="15"/>
  <c r="H7" i="15"/>
  <c r="H678" i="15"/>
  <c r="H315" i="15"/>
  <c r="H535" i="15"/>
  <c r="H656" i="15"/>
  <c r="H117" i="15"/>
  <c r="H821" i="15"/>
  <c r="H282" i="15"/>
  <c r="H986" i="15"/>
  <c r="H691" i="15"/>
  <c r="H394" i="15"/>
  <c r="H97" i="15"/>
  <c r="H801" i="15"/>
  <c r="H504" i="15"/>
  <c r="H207" i="15"/>
  <c r="H911" i="15"/>
  <c r="H702" i="15"/>
  <c r="H405" i="15"/>
  <c r="H108" i="15"/>
  <c r="H812" i="15"/>
  <c r="H254" i="15"/>
  <c r="H606" i="15"/>
  <c r="H958" i="15"/>
  <c r="H353" i="15"/>
  <c r="H705" i="15"/>
  <c r="H56" i="15"/>
  <c r="H408" i="15"/>
  <c r="H760" i="15"/>
  <c r="H111" i="15"/>
  <c r="H463" i="15"/>
  <c r="H815" i="15"/>
  <c r="AU27" i="19"/>
  <c r="AU16" i="19"/>
  <c r="AU18" i="19"/>
  <c r="AT17" i="19"/>
  <c r="D4741" i="23" s="1"/>
  <c r="AT18" i="19"/>
  <c r="D4742" i="23" s="1"/>
  <c r="AU8" i="19"/>
  <c r="H401" i="15"/>
  <c r="H643" i="15"/>
  <c r="H126" i="15"/>
  <c r="H830" i="15"/>
  <c r="H412" i="15"/>
  <c r="H577" i="15"/>
  <c r="H687" i="15"/>
  <c r="H346" i="15"/>
  <c r="H489" i="15"/>
  <c r="H621" i="15"/>
  <c r="H192" i="15"/>
  <c r="H896" i="15"/>
  <c r="H172" i="15"/>
  <c r="H876" i="15"/>
  <c r="H425" i="15"/>
  <c r="H62" i="15"/>
  <c r="H766" i="15"/>
  <c r="H403" i="15"/>
  <c r="H40" i="15"/>
  <c r="H744" i="15"/>
  <c r="H205" i="15"/>
  <c r="H909" i="15"/>
  <c r="H370" i="15"/>
  <c r="H75" i="15"/>
  <c r="H779" i="15"/>
  <c r="H482" i="15"/>
  <c r="H185" i="15"/>
  <c r="H889" i="15"/>
  <c r="H592" i="15"/>
  <c r="H295" i="15"/>
  <c r="H86" i="15"/>
  <c r="H790" i="15"/>
  <c r="H493" i="15"/>
  <c r="H196" i="15"/>
  <c r="H900" i="15"/>
  <c r="H298" i="15"/>
  <c r="H650" i="15"/>
  <c r="H45" i="15"/>
  <c r="H397" i="15"/>
  <c r="H749" i="15"/>
  <c r="H100" i="15"/>
  <c r="H452" i="15"/>
  <c r="H804" i="15"/>
  <c r="H155" i="15"/>
  <c r="H507" i="15"/>
  <c r="H859" i="15"/>
  <c r="AT21" i="19"/>
  <c r="D4745" i="23" s="1"/>
  <c r="AU10" i="19"/>
  <c r="AT8" i="19"/>
  <c r="D4732" i="23" s="1"/>
  <c r="AU19" i="19"/>
  <c r="AT6" i="19"/>
  <c r="D4730" i="23" s="1"/>
  <c r="H27" i="15"/>
  <c r="H731" i="15"/>
  <c r="H214" i="15"/>
  <c r="H918" i="15"/>
  <c r="H500" i="15"/>
  <c r="H71" i="15"/>
  <c r="H775" i="15"/>
  <c r="H434" i="15"/>
  <c r="H5" i="15"/>
  <c r="H709" i="15"/>
  <c r="H280" i="15"/>
  <c r="H260" i="15"/>
  <c r="H964" i="15"/>
  <c r="H513" i="15"/>
  <c r="H150" i="15"/>
  <c r="H854" i="15"/>
  <c r="H491" i="15"/>
  <c r="H128" i="15"/>
  <c r="H832" i="15"/>
  <c r="H293" i="15"/>
  <c r="H359" i="15"/>
  <c r="H163" i="15"/>
  <c r="H867" i="15"/>
  <c r="H570" i="15"/>
  <c r="H273" i="15"/>
  <c r="H977" i="15"/>
  <c r="H680" i="15"/>
  <c r="H383" i="15"/>
  <c r="H174" i="15"/>
  <c r="H878" i="15"/>
  <c r="H581" i="15"/>
  <c r="H284" i="15"/>
  <c r="H342" i="15"/>
  <c r="H694" i="15"/>
  <c r="H89" i="15"/>
  <c r="H441" i="15"/>
  <c r="H793" i="15"/>
  <c r="H144" i="15"/>
  <c r="H496" i="15"/>
  <c r="H848" i="15"/>
  <c r="H199" i="15"/>
  <c r="H551" i="15"/>
  <c r="H17" i="15"/>
  <c r="H105" i="15"/>
  <c r="H193" i="15"/>
  <c r="H281" i="15"/>
  <c r="H369" i="15"/>
  <c r="H457" i="15"/>
  <c r="H545" i="15"/>
  <c r="H633" i="15"/>
  <c r="H721" i="15"/>
  <c r="H809" i="15"/>
  <c r="H897" i="15"/>
  <c r="H985" i="15"/>
  <c r="H52" i="15"/>
  <c r="H404" i="15"/>
  <c r="H756" i="15"/>
  <c r="H129" i="15"/>
  <c r="H481" i="15"/>
  <c r="H833" i="15"/>
  <c r="H206" i="15"/>
  <c r="H558" i="15"/>
  <c r="H910" i="15"/>
  <c r="H283" i="15"/>
  <c r="H635" i="15"/>
  <c r="H987" i="15"/>
  <c r="H98" i="15"/>
  <c r="H274" i="15"/>
  <c r="H450" i="15"/>
  <c r="H626" i="15"/>
  <c r="H802" i="15"/>
  <c r="H978" i="15"/>
  <c r="H175" i="15"/>
  <c r="H351" i="15"/>
  <c r="H527" i="15"/>
  <c r="H703" i="15"/>
  <c r="H879" i="15"/>
  <c r="H96" i="15"/>
  <c r="H448" i="15"/>
  <c r="H800" i="15"/>
  <c r="H173" i="15"/>
  <c r="H525" i="15"/>
  <c r="H877" i="15"/>
  <c r="H250" i="15"/>
  <c r="H602" i="15"/>
  <c r="H954" i="15"/>
  <c r="H327" i="15"/>
  <c r="H679" i="15"/>
  <c r="H120" i="15"/>
  <c r="H296" i="15"/>
  <c r="H472" i="15"/>
  <c r="H648" i="15"/>
  <c r="H824" i="15"/>
  <c r="H21" i="15"/>
  <c r="H197" i="15"/>
  <c r="H373" i="15"/>
  <c r="H549" i="15"/>
  <c r="H725" i="15"/>
  <c r="H901" i="15"/>
  <c r="H50" i="15"/>
  <c r="H138" i="15"/>
  <c r="H226" i="15"/>
  <c r="H314" i="15"/>
  <c r="H402" i="15"/>
  <c r="H490" i="15"/>
  <c r="H578" i="15"/>
  <c r="H666" i="15"/>
  <c r="H754" i="15"/>
  <c r="H842" i="15"/>
  <c r="H930" i="15"/>
  <c r="H184" i="15"/>
  <c r="H536" i="15"/>
  <c r="H888" i="15"/>
  <c r="H261" i="15"/>
  <c r="H613" i="15"/>
  <c r="H965" i="15"/>
  <c r="H338" i="15"/>
  <c r="H690" i="15"/>
  <c r="H63" i="15"/>
  <c r="H415" i="15"/>
  <c r="H767" i="15"/>
  <c r="H164" i="15"/>
  <c r="H340" i="15"/>
  <c r="H516" i="15"/>
  <c r="H692" i="15"/>
  <c r="H868" i="15"/>
  <c r="H65" i="15"/>
  <c r="H241" i="15"/>
  <c r="H417" i="15"/>
  <c r="H593" i="15"/>
  <c r="H769" i="15"/>
  <c r="H945" i="15"/>
  <c r="H61" i="15"/>
  <c r="H149" i="15"/>
  <c r="H237" i="15"/>
  <c r="H325" i="15"/>
  <c r="H413" i="15"/>
  <c r="H501" i="15"/>
  <c r="H589" i="15"/>
  <c r="H677" i="15"/>
  <c r="H765" i="15"/>
  <c r="H853" i="15"/>
  <c r="H941" i="15"/>
  <c r="H228" i="15"/>
  <c r="H580" i="15"/>
  <c r="H932" i="15"/>
  <c r="H305" i="15"/>
  <c r="H657" i="15"/>
  <c r="H30" i="15"/>
  <c r="H382" i="15"/>
  <c r="H734" i="15"/>
  <c r="H107" i="15"/>
  <c r="H459" i="15"/>
  <c r="H811" i="15"/>
  <c r="H10" i="15"/>
  <c r="H186" i="15"/>
  <c r="H362" i="15"/>
  <c r="H538" i="15"/>
  <c r="H714" i="15"/>
  <c r="H890" i="15"/>
  <c r="H87" i="15"/>
  <c r="H263" i="15"/>
  <c r="H439" i="15"/>
  <c r="H615" i="15"/>
  <c r="H791" i="15"/>
  <c r="H967" i="15"/>
  <c r="H72" i="15"/>
  <c r="H160" i="15"/>
  <c r="H248" i="15"/>
  <c r="H336" i="15"/>
  <c r="H424" i="15"/>
  <c r="H512" i="15"/>
  <c r="H600" i="15"/>
  <c r="H688" i="15"/>
  <c r="H776" i="15"/>
  <c r="H864" i="15"/>
  <c r="H952" i="15"/>
  <c r="H272" i="15"/>
  <c r="H624" i="15"/>
  <c r="H976" i="15"/>
  <c r="H349" i="15"/>
  <c r="H701" i="15"/>
  <c r="H74" i="15"/>
  <c r="H426" i="15"/>
  <c r="H778" i="15"/>
  <c r="H151" i="15"/>
  <c r="H503" i="15"/>
  <c r="H855" i="15"/>
  <c r="H32" i="15"/>
  <c r="H208" i="15"/>
  <c r="H384" i="15"/>
  <c r="H560" i="15"/>
  <c r="H736" i="15"/>
  <c r="H912" i="15"/>
  <c r="H109" i="15"/>
  <c r="H285" i="15"/>
  <c r="H461" i="15"/>
  <c r="H637" i="15"/>
  <c r="H813" i="15"/>
  <c r="H989" i="15"/>
  <c r="H83" i="15"/>
  <c r="H171" i="15"/>
  <c r="H259" i="15"/>
  <c r="H347" i="15"/>
  <c r="H435" i="15"/>
  <c r="H523" i="15"/>
  <c r="H611" i="15"/>
  <c r="H699" i="15"/>
  <c r="H787" i="15"/>
  <c r="H875" i="15"/>
  <c r="H963" i="15"/>
  <c r="H316" i="15"/>
  <c r="H668" i="15"/>
  <c r="H41" i="15"/>
  <c r="H393" i="15"/>
  <c r="H745" i="15"/>
  <c r="H118" i="15"/>
  <c r="H470" i="15"/>
  <c r="H822" i="15"/>
  <c r="H195" i="15"/>
  <c r="H547" i="15"/>
  <c r="H899" i="15"/>
  <c r="H54" i="15"/>
  <c r="H230" i="15"/>
  <c r="H406" i="15"/>
  <c r="H582" i="15"/>
  <c r="H758" i="15"/>
  <c r="H934" i="15"/>
  <c r="H131" i="15"/>
  <c r="H307" i="15"/>
  <c r="H483" i="15"/>
  <c r="H659" i="15"/>
  <c r="H835" i="15"/>
  <c r="H6" i="15"/>
  <c r="H94" i="15"/>
  <c r="H182" i="15"/>
  <c r="H270" i="15"/>
  <c r="H358" i="15"/>
  <c r="H446" i="15"/>
  <c r="H534" i="15"/>
  <c r="H622" i="15"/>
  <c r="H710" i="15"/>
  <c r="H798" i="15"/>
  <c r="H886" i="15"/>
  <c r="H8" i="15"/>
  <c r="H360" i="15"/>
  <c r="H712" i="15"/>
  <c r="H85" i="15"/>
  <c r="H437" i="15"/>
  <c r="H789" i="15"/>
  <c r="H162" i="15"/>
  <c r="H514" i="15"/>
  <c r="H866" i="15"/>
  <c r="H239" i="15"/>
  <c r="H591" i="15"/>
  <c r="H76" i="15"/>
  <c r="H252" i="15"/>
  <c r="H428" i="15"/>
  <c r="H604" i="15"/>
  <c r="H780" i="15"/>
  <c r="H956" i="15"/>
  <c r="H153" i="15"/>
  <c r="H329" i="15"/>
  <c r="H505" i="15"/>
  <c r="H681" i="15"/>
  <c r="L101" i="12"/>
  <c r="L271" i="12"/>
  <c r="L257" i="12"/>
  <c r="F352" i="13"/>
  <c r="F348" i="13"/>
  <c r="L3" i="12"/>
  <c r="L234" i="12"/>
  <c r="F31" i="13"/>
  <c r="F260" i="13"/>
  <c r="L203" i="12"/>
  <c r="F168" i="13"/>
  <c r="L243" i="12"/>
  <c r="L27" i="12"/>
  <c r="L71" i="12"/>
  <c r="L315" i="12"/>
  <c r="D5026" i="23"/>
  <c r="D5047" i="23"/>
  <c r="D5032" i="23"/>
  <c r="D5042" i="23"/>
  <c r="D5045" i="23"/>
  <c r="D5050" i="23"/>
  <c r="L311" i="12"/>
  <c r="F490" i="13"/>
  <c r="L317" i="12"/>
  <c r="Z19" i="9"/>
  <c r="AA19" i="9" s="1"/>
  <c r="O19" i="9" s="1"/>
  <c r="Z20" i="9"/>
  <c r="AA20" i="9" s="1"/>
  <c r="O323" i="9" s="1"/>
  <c r="Z21" i="9"/>
  <c r="AA21" i="9" s="1"/>
  <c r="O21" i="9" s="1"/>
  <c r="Z22" i="9"/>
  <c r="AA22" i="9" s="1"/>
  <c r="O22" i="9" s="1"/>
  <c r="Z15" i="9"/>
  <c r="AA15" i="9" s="1"/>
  <c r="O116" i="9" s="1"/>
  <c r="Z23" i="9"/>
  <c r="AA23" i="9" s="1"/>
  <c r="O326" i="9" s="1"/>
  <c r="Z16" i="9"/>
  <c r="AA16" i="9" s="1"/>
  <c r="O117" i="9" s="1"/>
  <c r="Z14" i="9"/>
  <c r="AA14" i="9" s="1"/>
  <c r="O115" i="9" s="1"/>
  <c r="Z17" i="9"/>
  <c r="AA17" i="9" s="1"/>
  <c r="O219" i="9" s="1"/>
  <c r="Z18" i="9"/>
  <c r="AA18" i="9" s="1"/>
  <c r="O220" i="9" s="1"/>
  <c r="Z27" i="9"/>
  <c r="AA27" i="9" s="1"/>
  <c r="O229" i="9" s="1"/>
  <c r="Z26" i="9"/>
  <c r="AA26" i="9" s="1"/>
  <c r="O228" i="9" s="1"/>
  <c r="Z33" i="9"/>
  <c r="AA33" i="9" s="1"/>
  <c r="O134" i="9" s="1"/>
  <c r="Z25" i="9"/>
  <c r="AA25" i="9" s="1"/>
  <c r="O227" i="9" s="1"/>
  <c r="Z32" i="9"/>
  <c r="AA32" i="9" s="1"/>
  <c r="O133" i="9" s="1"/>
  <c r="Z24" i="9"/>
  <c r="AA24" i="9" s="1"/>
  <c r="O327" i="9" s="1"/>
  <c r="Z31" i="9"/>
  <c r="AA31" i="9" s="1"/>
  <c r="O334" i="9" s="1"/>
  <c r="Z30" i="9"/>
  <c r="AA30" i="9" s="1"/>
  <c r="O131" i="9" s="1"/>
  <c r="Z29" i="9"/>
  <c r="AA29" i="9" s="1"/>
  <c r="O332" i="9" s="1"/>
  <c r="Z28" i="9"/>
  <c r="AA28" i="9" s="1"/>
  <c r="O230" i="9" s="1"/>
  <c r="Z6" i="9"/>
  <c r="Z7" i="9"/>
  <c r="Z8" i="9"/>
  <c r="Z9" i="9"/>
  <c r="Z10" i="9"/>
  <c r="Z11" i="9"/>
  <c r="Z4" i="9"/>
  <c r="Z12" i="9"/>
  <c r="Z5" i="9"/>
  <c r="Z13" i="9"/>
  <c r="Z71" i="9"/>
  <c r="Z72" i="9"/>
  <c r="Z65" i="9"/>
  <c r="AA65" i="9" s="1"/>
  <c r="O368" i="9" s="1"/>
  <c r="Z73" i="9"/>
  <c r="AA73" i="9" s="1"/>
  <c r="O73" i="9" s="1"/>
  <c r="Z66" i="9"/>
  <c r="AA66" i="9" s="1"/>
  <c r="O167" i="9" s="1"/>
  <c r="Z64" i="9"/>
  <c r="AA64" i="9" s="1"/>
  <c r="O367" i="9" s="1"/>
  <c r="Z67" i="9"/>
  <c r="Z68" i="9"/>
  <c r="AA68" i="9" s="1"/>
  <c r="O270" i="9" s="1"/>
  <c r="Z69" i="9"/>
  <c r="AA69" i="9" s="1"/>
  <c r="O170" i="9" s="1"/>
  <c r="Z70" i="9"/>
  <c r="Z87" i="9"/>
  <c r="AA87" i="9" s="1"/>
  <c r="O188" i="9" s="1"/>
  <c r="Z88" i="9"/>
  <c r="AA88" i="9" s="1"/>
  <c r="O189" i="9" s="1"/>
  <c r="Z89" i="9"/>
  <c r="AA89" i="9" s="1"/>
  <c r="O89" i="9" s="1"/>
  <c r="Z90" i="9"/>
  <c r="AA90" i="9" s="1"/>
  <c r="O393" i="9" s="1"/>
  <c r="Z91" i="9"/>
  <c r="AA91" i="9" s="1"/>
  <c r="O394" i="9" s="1"/>
  <c r="Z92" i="9"/>
  <c r="Z85" i="9"/>
  <c r="AA85" i="9" s="1"/>
  <c r="O85" i="9" s="1"/>
  <c r="Z93" i="9"/>
  <c r="Z86" i="9"/>
  <c r="AA86" i="9" s="1"/>
  <c r="O187" i="9" s="1"/>
  <c r="Z84" i="9"/>
  <c r="Z59" i="9"/>
  <c r="AA59" i="9" s="1"/>
  <c r="O362" i="9" s="1"/>
  <c r="Z60" i="9"/>
  <c r="Z61" i="9"/>
  <c r="Z62" i="9"/>
  <c r="AA62" i="9" s="1"/>
  <c r="O365" i="9" s="1"/>
  <c r="Z55" i="9"/>
  <c r="Z63" i="9"/>
  <c r="AA63" i="9" s="1"/>
  <c r="O164" i="9" s="1"/>
  <c r="Z56" i="9"/>
  <c r="Z54" i="9"/>
  <c r="AA54" i="9" s="1"/>
  <c r="O357" i="9" s="1"/>
  <c r="Z57" i="9"/>
  <c r="AA57" i="9" s="1"/>
  <c r="O360" i="9" s="1"/>
  <c r="Z58" i="9"/>
  <c r="AA58" i="9" s="1"/>
  <c r="O361" i="9" s="1"/>
  <c r="Z99" i="9"/>
  <c r="AA99" i="9" s="1"/>
  <c r="O301" i="9" s="1"/>
  <c r="Z100" i="9"/>
  <c r="Z101" i="9"/>
  <c r="Z102" i="9"/>
  <c r="Z95" i="9"/>
  <c r="AA95" i="9" s="1"/>
  <c r="O95" i="9" s="1"/>
  <c r="Z103" i="9"/>
  <c r="AA103" i="9" s="1"/>
  <c r="O305" i="9" s="1"/>
  <c r="Z96" i="9"/>
  <c r="Z94" i="9"/>
  <c r="AA94" i="9" s="1"/>
  <c r="O195" i="9" s="1"/>
  <c r="Z97" i="9"/>
  <c r="AA97" i="9" s="1"/>
  <c r="O400" i="9" s="1"/>
  <c r="Z98" i="9"/>
  <c r="Z74" i="9"/>
  <c r="Z82" i="9"/>
  <c r="AA82" i="9" s="1"/>
  <c r="O183" i="9" s="1"/>
  <c r="Z75" i="9"/>
  <c r="Z83" i="9"/>
  <c r="AA83" i="9" s="1"/>
  <c r="O83" i="9" s="1"/>
  <c r="Z76" i="9"/>
  <c r="Z77" i="9"/>
  <c r="AA77" i="9" s="1"/>
  <c r="O77" i="9" s="1"/>
  <c r="Z78" i="9"/>
  <c r="Z79" i="9"/>
  <c r="AA79" i="9" s="1"/>
  <c r="O180" i="9" s="1"/>
  <c r="Z80" i="9"/>
  <c r="AA80" i="9" s="1"/>
  <c r="O282" i="9" s="1"/>
  <c r="Z81" i="9"/>
  <c r="Z43" i="9"/>
  <c r="AA43" i="9" s="1"/>
  <c r="O245" i="9" s="1"/>
  <c r="Z35" i="9"/>
  <c r="AA35" i="9" s="1"/>
  <c r="O237" i="9" s="1"/>
  <c r="Z42" i="9"/>
  <c r="Z34" i="9"/>
  <c r="AA34" i="9" s="1"/>
  <c r="O337" i="9" s="1"/>
  <c r="Z41" i="9"/>
  <c r="AA41" i="9" s="1"/>
  <c r="O142" i="9" s="1"/>
  <c r="Z40" i="9"/>
  <c r="AA40" i="9" s="1"/>
  <c r="O242" i="9" s="1"/>
  <c r="Z39" i="9"/>
  <c r="AA39" i="9" s="1"/>
  <c r="O39" i="9" s="1"/>
  <c r="Z38" i="9"/>
  <c r="AA38" i="9" s="1"/>
  <c r="O240" i="9" s="1"/>
  <c r="Z37" i="9"/>
  <c r="AA37" i="9" s="1"/>
  <c r="O239" i="9" s="1"/>
  <c r="Z36" i="9"/>
  <c r="AA36" i="9" s="1"/>
  <c r="O339" i="9" s="1"/>
  <c r="Z47" i="9"/>
  <c r="AA47" i="9" s="1"/>
  <c r="O148" i="9" s="1"/>
  <c r="Z48" i="9"/>
  <c r="AA48" i="9" s="1"/>
  <c r="O351" i="9" s="1"/>
  <c r="Z49" i="9"/>
  <c r="AA49" i="9" s="1"/>
  <c r="O352" i="9" s="1"/>
  <c r="Z50" i="9"/>
  <c r="AA50" i="9" s="1"/>
  <c r="O252" i="9" s="1"/>
  <c r="Z51" i="9"/>
  <c r="AA51" i="9" s="1"/>
  <c r="O354" i="9" s="1"/>
  <c r="Z52" i="9"/>
  <c r="AA52" i="9" s="1"/>
  <c r="O153" i="9" s="1"/>
  <c r="Z45" i="9"/>
  <c r="AA45" i="9" s="1"/>
  <c r="O146" i="9" s="1"/>
  <c r="Z53" i="9"/>
  <c r="AA53" i="9" s="1"/>
  <c r="O255" i="9" s="1"/>
  <c r="Z46" i="9"/>
  <c r="AA46" i="9" s="1"/>
  <c r="O248" i="9" s="1"/>
  <c r="Z44" i="9"/>
  <c r="AA44" i="9" s="1"/>
  <c r="O347" i="9" s="1"/>
  <c r="L143" i="12"/>
  <c r="L115" i="12"/>
  <c r="L163" i="12"/>
  <c r="L123" i="12"/>
  <c r="L303" i="12"/>
  <c r="L347" i="12"/>
  <c r="L274" i="12"/>
  <c r="L72" i="12"/>
  <c r="L35" i="12"/>
  <c r="L117" i="12"/>
  <c r="L43" i="12"/>
  <c r="L108" i="12"/>
  <c r="L355" i="12"/>
  <c r="L34" i="12"/>
  <c r="L75" i="12"/>
  <c r="L103" i="12"/>
  <c r="L283" i="12"/>
  <c r="L74" i="12"/>
  <c r="L36" i="12"/>
  <c r="L278" i="12"/>
  <c r="L343" i="12"/>
  <c r="L83" i="12"/>
  <c r="L67" i="12"/>
  <c r="L154" i="12"/>
  <c r="L236" i="12"/>
  <c r="L38" i="12"/>
  <c r="L60" i="12"/>
  <c r="L63" i="12"/>
  <c r="L147" i="12"/>
  <c r="L194" i="12"/>
  <c r="L356" i="12"/>
  <c r="L77" i="12"/>
  <c r="L118" i="12"/>
  <c r="F77" i="13"/>
  <c r="F445" i="13"/>
  <c r="L26" i="12"/>
  <c r="F491" i="13"/>
  <c r="F169" i="13"/>
  <c r="L304" i="12"/>
  <c r="L237" i="12"/>
  <c r="L238" i="12"/>
  <c r="L197" i="12"/>
  <c r="L156" i="12"/>
  <c r="L277" i="12"/>
  <c r="L158" i="12"/>
  <c r="L157" i="12"/>
  <c r="L76" i="12"/>
  <c r="L186" i="12"/>
  <c r="L345" i="12"/>
  <c r="L185" i="12"/>
  <c r="L146" i="12"/>
  <c r="F26" i="13"/>
  <c r="F302" i="13"/>
  <c r="L137" i="12"/>
  <c r="L217" i="12"/>
  <c r="L262" i="12"/>
  <c r="L97" i="12"/>
  <c r="L142" i="12"/>
  <c r="L342" i="12"/>
  <c r="L22" i="12"/>
  <c r="L95" i="12"/>
  <c r="F244" i="13"/>
  <c r="F49" i="13"/>
  <c r="F233" i="13"/>
  <c r="L233" i="12"/>
  <c r="L353" i="12"/>
  <c r="L195" i="12"/>
  <c r="L33" i="12"/>
  <c r="L73" i="12"/>
  <c r="L193" i="12"/>
  <c r="L198" i="12"/>
  <c r="L318" i="12"/>
  <c r="L116" i="12"/>
  <c r="L357" i="12"/>
  <c r="L358" i="12"/>
  <c r="L113" i="12"/>
  <c r="L114" i="12"/>
  <c r="L276" i="12"/>
  <c r="L196" i="12"/>
  <c r="L155" i="12"/>
  <c r="L153" i="12"/>
  <c r="L235" i="12"/>
  <c r="L273" i="12"/>
  <c r="L314" i="12"/>
  <c r="F507" i="13"/>
  <c r="F415" i="13"/>
  <c r="F323" i="13"/>
  <c r="F231" i="13"/>
  <c r="F139" i="13"/>
  <c r="F47" i="13"/>
  <c r="F461" i="13"/>
  <c r="F369" i="13"/>
  <c r="F277" i="13"/>
  <c r="F185" i="13"/>
  <c r="F93" i="13"/>
  <c r="F225" i="13"/>
  <c r="F46" i="13"/>
  <c r="F276" i="13"/>
  <c r="F460" i="13"/>
  <c r="F368" i="13"/>
  <c r="F506" i="13"/>
  <c r="F414" i="13"/>
  <c r="F184" i="13"/>
  <c r="F92" i="13"/>
  <c r="F230" i="13"/>
  <c r="F322" i="13"/>
  <c r="F138" i="13"/>
  <c r="F496" i="13"/>
  <c r="L70" i="12"/>
  <c r="L349" i="12"/>
  <c r="L191" i="12"/>
  <c r="F456" i="13"/>
  <c r="F88" i="13"/>
  <c r="F410" i="13"/>
  <c r="F42" i="13"/>
  <c r="F364" i="13"/>
  <c r="F318" i="13"/>
  <c r="F272" i="13"/>
  <c r="F226" i="13"/>
  <c r="F180" i="13"/>
  <c r="F502" i="13"/>
  <c r="F134" i="13"/>
  <c r="L312" i="12"/>
  <c r="F501" i="13"/>
  <c r="F503" i="13"/>
  <c r="F135" i="13"/>
  <c r="F457" i="13"/>
  <c r="F89" i="13"/>
  <c r="F411" i="13"/>
  <c r="F43" i="13"/>
  <c r="F365" i="13"/>
  <c r="F319" i="13"/>
  <c r="F273" i="13"/>
  <c r="F227" i="13"/>
  <c r="F181" i="13"/>
  <c r="F82" i="13"/>
  <c r="L231" i="12"/>
  <c r="L32" i="12"/>
  <c r="L352" i="12"/>
  <c r="F179" i="13"/>
  <c r="F450" i="13"/>
  <c r="L112" i="12"/>
  <c r="F271" i="13"/>
  <c r="F174" i="13"/>
  <c r="F36" i="13"/>
  <c r="L310" i="12"/>
  <c r="L69" i="12"/>
  <c r="L31" i="12"/>
  <c r="L351" i="12"/>
  <c r="L152" i="12"/>
  <c r="F317" i="13"/>
  <c r="F358" i="13"/>
  <c r="F220" i="13"/>
  <c r="L230" i="12"/>
  <c r="L149" i="12"/>
  <c r="L192" i="12"/>
  <c r="F87" i="13"/>
  <c r="F363" i="13"/>
  <c r="F128" i="13"/>
  <c r="F404" i="13"/>
  <c r="L110" i="12"/>
  <c r="L29" i="12"/>
  <c r="L111" i="12"/>
  <c r="L232" i="12"/>
  <c r="F455" i="13"/>
  <c r="F41" i="13"/>
  <c r="L190" i="12"/>
  <c r="L109" i="12"/>
  <c r="F133" i="13"/>
  <c r="F123" i="13"/>
  <c r="L227" i="12"/>
  <c r="L270" i="12"/>
  <c r="L189" i="12"/>
  <c r="F405" i="13"/>
  <c r="F221" i="13"/>
  <c r="F37" i="13"/>
  <c r="F497" i="13"/>
  <c r="F129" i="13"/>
  <c r="F451" i="13"/>
  <c r="F267" i="13"/>
  <c r="F83" i="13"/>
  <c r="F313" i="13"/>
  <c r="F359" i="13"/>
  <c r="F175" i="13"/>
  <c r="L228" i="12"/>
  <c r="F307" i="13"/>
  <c r="L307" i="12"/>
  <c r="L350" i="12"/>
  <c r="L269" i="12"/>
  <c r="L28" i="12"/>
  <c r="L308" i="12"/>
  <c r="L107" i="12"/>
  <c r="L188" i="12"/>
  <c r="F353" i="13"/>
  <c r="F399" i="13"/>
  <c r="L187" i="12"/>
  <c r="L150" i="12"/>
  <c r="L229" i="12"/>
  <c r="L268" i="12"/>
  <c r="F215" i="13"/>
  <c r="L344" i="12"/>
  <c r="F360" i="13"/>
  <c r="F176" i="13"/>
  <c r="F406" i="13"/>
  <c r="F222" i="13"/>
  <c r="F38" i="13"/>
  <c r="F452" i="13"/>
  <c r="F268" i="13"/>
  <c r="F84" i="13"/>
  <c r="F498" i="13"/>
  <c r="F314" i="13"/>
  <c r="F130" i="13"/>
  <c r="L348" i="12"/>
  <c r="L68" i="12"/>
  <c r="F486" i="13"/>
  <c r="L21" i="12"/>
  <c r="F398" i="13"/>
  <c r="L23" i="12"/>
  <c r="L144" i="12"/>
  <c r="F210" i="13"/>
  <c r="F259" i="13"/>
  <c r="F394" i="13"/>
  <c r="F443" i="13"/>
  <c r="F72" i="13"/>
  <c r="F256" i="13"/>
  <c r="F214" i="13"/>
  <c r="L183" i="12"/>
  <c r="L104" i="12"/>
  <c r="F118" i="13"/>
  <c r="F440" i="13"/>
  <c r="F25" i="13"/>
  <c r="L61" i="12"/>
  <c r="F444" i="13"/>
  <c r="L263" i="12"/>
  <c r="L184" i="12"/>
  <c r="L140" i="12"/>
  <c r="L102" i="12"/>
  <c r="L20" i="12"/>
  <c r="L182" i="12"/>
  <c r="L222" i="12"/>
  <c r="L62" i="12"/>
  <c r="L58" i="12"/>
  <c r="F282" i="13"/>
  <c r="F141" i="13"/>
  <c r="F188" i="13"/>
  <c r="F3" i="13"/>
  <c r="L125" i="12"/>
  <c r="F279" i="13"/>
  <c r="L5" i="12"/>
  <c r="F287" i="13"/>
  <c r="L167" i="12"/>
  <c r="L247" i="12"/>
  <c r="F242" i="13"/>
  <c r="F156" i="13"/>
  <c r="L175" i="12"/>
  <c r="F247" i="13"/>
  <c r="L135" i="12"/>
  <c r="F60" i="13"/>
  <c r="F293" i="13"/>
  <c r="L295" i="12"/>
  <c r="F290" i="13"/>
  <c r="F155" i="13"/>
  <c r="F296" i="13"/>
  <c r="L296" i="12"/>
  <c r="F71" i="13"/>
  <c r="F20" i="13"/>
  <c r="F480" i="13"/>
  <c r="L180" i="12"/>
  <c r="F117" i="13"/>
  <c r="F342" i="13"/>
  <c r="L59" i="12"/>
  <c r="L100" i="12"/>
  <c r="F346" i="13"/>
  <c r="F202" i="13"/>
  <c r="F204" i="13"/>
  <c r="L216" i="12"/>
  <c r="L57" i="12"/>
  <c r="F434" i="13"/>
  <c r="L55" i="12"/>
  <c r="L297" i="12"/>
  <c r="L16" i="12"/>
  <c r="L14" i="12"/>
  <c r="F152" i="13"/>
  <c r="F14" i="13"/>
  <c r="F192" i="13"/>
  <c r="F195" i="13"/>
  <c r="F280" i="13"/>
  <c r="F284" i="13"/>
  <c r="L325" i="12"/>
  <c r="L205" i="12"/>
  <c r="F187" i="13"/>
  <c r="L85" i="12"/>
  <c r="L285" i="12"/>
  <c r="L45" i="12"/>
  <c r="F144" i="13"/>
  <c r="L245" i="12"/>
  <c r="L260" i="12"/>
  <c r="L221" i="12"/>
  <c r="L145" i="12"/>
  <c r="L106" i="12"/>
  <c r="F397" i="13"/>
  <c r="L300" i="12"/>
  <c r="F70" i="13"/>
  <c r="L261" i="12"/>
  <c r="F309" i="13"/>
  <c r="F492" i="13"/>
  <c r="F124" i="13"/>
  <c r="F354" i="13"/>
  <c r="F355" i="13"/>
  <c r="F262" i="13"/>
  <c r="F263" i="13"/>
  <c r="F401" i="13"/>
  <c r="F400" i="13"/>
  <c r="F33" i="13"/>
  <c r="F32" i="13"/>
  <c r="F447" i="13"/>
  <c r="F79" i="13"/>
  <c r="F170" i="13"/>
  <c r="F493" i="13"/>
  <c r="F125" i="13"/>
  <c r="F308" i="13"/>
  <c r="F171" i="13"/>
  <c r="F446" i="13"/>
  <c r="F78" i="13"/>
  <c r="F217" i="13"/>
  <c r="F216" i="13"/>
  <c r="L225" i="12"/>
  <c r="L346" i="12"/>
  <c r="L266" i="12"/>
  <c r="F122" i="13"/>
  <c r="F306" i="13"/>
  <c r="F29" i="13"/>
  <c r="L224" i="12"/>
  <c r="L340" i="12"/>
  <c r="F162" i="13"/>
  <c r="L341" i="12"/>
  <c r="L105" i="12"/>
  <c r="L305" i="12"/>
  <c r="F351" i="13"/>
  <c r="F213" i="13"/>
  <c r="F209" i="13"/>
  <c r="L265" i="12"/>
  <c r="L66" i="12"/>
  <c r="F30" i="13"/>
  <c r="F75" i="13"/>
  <c r="L264" i="12"/>
  <c r="L25" i="12"/>
  <c r="L226" i="12"/>
  <c r="F121" i="13"/>
  <c r="F305" i="13"/>
  <c r="L24" i="12"/>
  <c r="L141" i="12"/>
  <c r="F489" i="13"/>
  <c r="L19" i="12"/>
  <c r="L339" i="12"/>
  <c r="F487" i="13"/>
  <c r="F303" i="13"/>
  <c r="F119" i="13"/>
  <c r="F27" i="13"/>
  <c r="F441" i="13"/>
  <c r="F257" i="13"/>
  <c r="F73" i="13"/>
  <c r="F395" i="13"/>
  <c r="F211" i="13"/>
  <c r="F165" i="13"/>
  <c r="F349" i="13"/>
  <c r="L96" i="12"/>
  <c r="L177" i="12"/>
  <c r="L99" i="12"/>
  <c r="F254" i="13"/>
  <c r="F208" i="13"/>
  <c r="F301" i="13"/>
  <c r="F255" i="13"/>
  <c r="L301" i="12"/>
  <c r="F21" i="13"/>
  <c r="L176" i="12"/>
  <c r="L139" i="12"/>
  <c r="F438" i="13"/>
  <c r="F392" i="13"/>
  <c r="F485" i="13"/>
  <c r="F439" i="13"/>
  <c r="F159" i="13"/>
  <c r="L256" i="12"/>
  <c r="L17" i="12"/>
  <c r="L179" i="12"/>
  <c r="F24" i="13"/>
  <c r="F163" i="13"/>
  <c r="F67" i="13"/>
  <c r="L336" i="12"/>
  <c r="L219" i="12"/>
  <c r="F116" i="13"/>
  <c r="F347" i="13"/>
  <c r="F297" i="13"/>
  <c r="L259" i="12"/>
  <c r="F300" i="13"/>
  <c r="L56" i="12"/>
  <c r="L173" i="12"/>
  <c r="F106" i="13"/>
  <c r="F294" i="13"/>
  <c r="F158" i="13"/>
  <c r="F250" i="13"/>
  <c r="F251" i="13"/>
  <c r="L133" i="12"/>
  <c r="F63" i="13"/>
  <c r="F248" i="13"/>
  <c r="F112" i="13"/>
  <c r="F205" i="13"/>
  <c r="F109" i="13"/>
  <c r="F18" i="13"/>
  <c r="F66" i="13"/>
  <c r="F17" i="13"/>
  <c r="F110" i="13"/>
  <c r="F113" i="13"/>
  <c r="L15" i="12"/>
  <c r="F432" i="13"/>
  <c r="L93" i="12"/>
  <c r="F386" i="13"/>
  <c r="L138" i="12"/>
  <c r="F479" i="13"/>
  <c r="F65" i="13"/>
  <c r="L213" i="12"/>
  <c r="F433" i="13"/>
  <c r="F481" i="13"/>
  <c r="F160" i="13"/>
  <c r="F22" i="13"/>
  <c r="F206" i="13"/>
  <c r="F252" i="13"/>
  <c r="F298" i="13"/>
  <c r="F344" i="13"/>
  <c r="F390" i="13"/>
  <c r="F436" i="13"/>
  <c r="F68" i="13"/>
  <c r="F482" i="13"/>
  <c r="F114" i="13"/>
  <c r="L215" i="12"/>
  <c r="L218" i="12"/>
  <c r="L12" i="12"/>
  <c r="F249" i="13"/>
  <c r="F387" i="13"/>
  <c r="L298" i="12"/>
  <c r="L92" i="12"/>
  <c r="F203" i="13"/>
  <c r="F341" i="13"/>
  <c r="F435" i="13"/>
  <c r="L98" i="12"/>
  <c r="L172" i="12"/>
  <c r="F478" i="13"/>
  <c r="F19" i="13"/>
  <c r="F295" i="13"/>
  <c r="F389" i="13"/>
  <c r="L255" i="12"/>
  <c r="L178" i="12"/>
  <c r="L52" i="12"/>
  <c r="F201" i="13"/>
  <c r="F340" i="13"/>
  <c r="F157" i="13"/>
  <c r="L258" i="12"/>
  <c r="L18" i="12"/>
  <c r="F15" i="13"/>
  <c r="L94" i="12"/>
  <c r="L53" i="12"/>
  <c r="F107" i="13"/>
  <c r="L294" i="12"/>
  <c r="F62" i="13"/>
  <c r="L89" i="12"/>
  <c r="L286" i="12"/>
  <c r="L126" i="12"/>
  <c r="F236" i="13"/>
  <c r="F145" i="13"/>
  <c r="L49" i="12"/>
  <c r="L6" i="12"/>
  <c r="F53" i="13"/>
  <c r="L124" i="12"/>
  <c r="F196" i="13"/>
  <c r="L131" i="12"/>
  <c r="L212" i="12"/>
  <c r="L13" i="12"/>
  <c r="L293" i="12"/>
  <c r="F61" i="13"/>
  <c r="L211" i="12"/>
  <c r="L174" i="12"/>
  <c r="L291" i="12"/>
  <c r="L11" i="12"/>
  <c r="F58" i="13"/>
  <c r="L253" i="12"/>
  <c r="L91" i="12"/>
  <c r="F288" i="13"/>
  <c r="L50" i="12"/>
  <c r="L251" i="12"/>
  <c r="F16" i="13"/>
  <c r="L252" i="12"/>
  <c r="F108" i="13"/>
  <c r="L332" i="12"/>
  <c r="L289" i="12"/>
  <c r="F4" i="13"/>
  <c r="L166" i="12"/>
  <c r="F7" i="13"/>
  <c r="F103" i="13"/>
  <c r="L244" i="12"/>
  <c r="F286" i="13"/>
  <c r="F146" i="13"/>
  <c r="F241" i="13"/>
  <c r="L46" i="12"/>
  <c r="F50" i="13"/>
  <c r="F191" i="13"/>
  <c r="L324" i="12"/>
  <c r="F100" i="13"/>
  <c r="F234" i="13"/>
  <c r="L204" i="12"/>
  <c r="F9" i="13"/>
  <c r="F54" i="13"/>
  <c r="L84" i="12"/>
  <c r="L284" i="12"/>
  <c r="L326" i="12"/>
  <c r="F142" i="13"/>
  <c r="F99" i="13"/>
  <c r="L164" i="12"/>
  <c r="F11" i="13"/>
  <c r="L86" i="12"/>
  <c r="F283" i="13"/>
  <c r="L44" i="12"/>
  <c r="L130" i="12"/>
  <c r="L128" i="12"/>
  <c r="F102" i="13"/>
  <c r="L170" i="12"/>
  <c r="L8" i="12"/>
  <c r="F190" i="13"/>
  <c r="L250" i="12"/>
  <c r="L168" i="12"/>
  <c r="L330" i="12"/>
  <c r="L248" i="12"/>
  <c r="F238" i="13"/>
  <c r="F149" i="13"/>
  <c r="L129" i="12"/>
  <c r="L246" i="12"/>
  <c r="L87" i="12"/>
  <c r="L207" i="12"/>
  <c r="L327" i="12"/>
  <c r="F189" i="13"/>
  <c r="F10" i="13"/>
  <c r="L209" i="12"/>
  <c r="L287" i="12"/>
  <c r="F143" i="13"/>
  <c r="F97" i="13"/>
  <c r="F56" i="13"/>
  <c r="L9" i="12"/>
  <c r="L47" i="12"/>
  <c r="F98" i="13"/>
  <c r="F281" i="13"/>
  <c r="F5" i="13"/>
  <c r="F101" i="13"/>
  <c r="L249" i="12"/>
  <c r="L127" i="12"/>
  <c r="F6" i="13"/>
  <c r="F51" i="13"/>
  <c r="F55" i="13"/>
  <c r="L88" i="12"/>
  <c r="L329" i="12"/>
  <c r="F150" i="13"/>
  <c r="F240" i="13"/>
  <c r="F105" i="13"/>
  <c r="L210" i="12"/>
  <c r="F291" i="13"/>
  <c r="L171" i="12"/>
  <c r="L334" i="12"/>
  <c r="F285" i="13"/>
  <c r="F292" i="13"/>
  <c r="L48" i="12"/>
  <c r="L328" i="12"/>
  <c r="L132" i="12"/>
  <c r="F12" i="13"/>
  <c r="F194" i="13"/>
  <c r="F59" i="13"/>
  <c r="L290" i="12"/>
  <c r="F245" i="13"/>
  <c r="L54" i="12"/>
  <c r="F239" i="13"/>
  <c r="F246" i="13"/>
  <c r="F289" i="13"/>
  <c r="L10" i="12"/>
  <c r="F199" i="13"/>
  <c r="L51" i="12"/>
  <c r="L134" i="12"/>
  <c r="F193" i="13"/>
  <c r="F200" i="13"/>
  <c r="L208" i="12"/>
  <c r="F243" i="13"/>
  <c r="L214" i="12"/>
  <c r="F197" i="13"/>
  <c r="F151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B10" i="6"/>
  <c r="AA10" i="6"/>
  <c r="Z10" i="6"/>
  <c r="CS6" i="7"/>
  <c r="CS5" i="7"/>
  <c r="AA17" i="6"/>
  <c r="AB17" i="6"/>
  <c r="Z17" i="6"/>
  <c r="CW6" i="7"/>
  <c r="CW5" i="7"/>
  <c r="AA5" i="6"/>
  <c r="AB5" i="6"/>
  <c r="Z5" i="6"/>
  <c r="Z6" i="6"/>
  <c r="AA6" i="6"/>
  <c r="AB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A15" i="6"/>
  <c r="AB15" i="6"/>
  <c r="Z15" i="6"/>
  <c r="CO6" i="7"/>
  <c r="CO5" i="7"/>
  <c r="AA12" i="6"/>
  <c r="Z12" i="6"/>
  <c r="AB12" i="6"/>
  <c r="Z21" i="6"/>
  <c r="AB21" i="6"/>
  <c r="AA21" i="6"/>
  <c r="CD6" i="7"/>
  <c r="CD5" i="7"/>
  <c r="AB20" i="6"/>
  <c r="Z20" i="6"/>
  <c r="AA20" i="6"/>
  <c r="AA4" i="6"/>
  <c r="AB4" i="6"/>
  <c r="Z4" i="6"/>
  <c r="CX5" i="7"/>
  <c r="CX6" i="7"/>
  <c r="Z8" i="6"/>
  <c r="AA8" i="6"/>
  <c r="AB8" i="6"/>
  <c r="CI5" i="7"/>
  <c r="CI6" i="7"/>
  <c r="CT6" i="7"/>
  <c r="CT5" i="7"/>
  <c r="BZ6" i="7"/>
  <c r="BZ5" i="7"/>
  <c r="CK5" i="7"/>
  <c r="CK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R6" i="7"/>
  <c r="CR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L6" i="7"/>
  <c r="CL5" i="7"/>
  <c r="CC6" i="7"/>
  <c r="CC5" i="7"/>
  <c r="S31" i="19"/>
  <c r="CM5" i="7"/>
  <c r="CM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B19" i="6"/>
  <c r="AA19" i="6"/>
  <c r="Z19" i="6"/>
  <c r="CA6" i="7"/>
  <c r="CA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Q5" i="7"/>
  <c r="CQ6" i="7"/>
  <c r="AA3" i="6"/>
  <c r="AB3" i="6"/>
  <c r="Z3" i="6"/>
  <c r="CV5" i="7"/>
  <c r="CV6" i="7"/>
  <c r="AB16" i="6"/>
  <c r="Z16" i="6"/>
  <c r="AA16" i="6"/>
  <c r="CP6" i="7"/>
  <c r="CP5" i="7"/>
  <c r="Z18" i="6"/>
  <c r="AA18" i="6"/>
  <c r="AB18" i="6"/>
  <c r="Z22" i="6"/>
  <c r="AA22" i="6"/>
  <c r="AB22" i="6"/>
  <c r="AA9" i="6"/>
  <c r="Z9" i="6"/>
  <c r="AB9" i="6"/>
  <c r="CJ5" i="7"/>
  <c r="CJ6" i="7"/>
  <c r="CH5" i="7"/>
  <c r="CH6" i="7"/>
  <c r="CE5" i="7"/>
  <c r="CE6" i="7"/>
  <c r="CF6" i="7"/>
  <c r="CF5" i="7"/>
  <c r="CN5" i="7"/>
  <c r="CN6" i="7"/>
  <c r="AA7" i="6"/>
  <c r="AB7" i="6"/>
  <c r="Z7" i="6"/>
  <c r="CB6" i="7"/>
  <c r="CB5" i="7"/>
  <c r="CU5" i="7"/>
  <c r="CU6" i="7"/>
  <c r="Z11" i="6"/>
  <c r="AB11" i="6"/>
  <c r="AA11" i="6"/>
  <c r="CG5" i="7"/>
  <c r="CG6" i="7"/>
  <c r="Z14" i="6"/>
  <c r="AB14" i="6"/>
  <c r="AA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E357" i="13"/>
  <c r="E35" i="13"/>
  <c r="E403" i="13"/>
  <c r="X33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H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H4" i="5"/>
  <c r="AB7" i="5"/>
  <c r="Z3" i="5"/>
  <c r="AB3" i="5" s="1"/>
  <c r="Z6" i="5"/>
  <c r="AA6" i="5" s="1"/>
  <c r="O129" i="9"/>
  <c r="O279" i="9"/>
  <c r="O40" i="9"/>
  <c r="O225" i="9"/>
  <c r="O124" i="9"/>
  <c r="O336" i="9"/>
  <c r="O236" i="9"/>
  <c r="O292" i="9"/>
  <c r="O135" i="9"/>
  <c r="O34" i="9"/>
  <c r="O139" i="9"/>
  <c r="O52" i="9"/>
  <c r="O355" i="9"/>
  <c r="O267" i="9"/>
  <c r="O254" i="9"/>
  <c r="O389" i="9"/>
  <c r="O390" i="9"/>
  <c r="O87" i="9"/>
  <c r="O324" i="9"/>
  <c r="O291" i="9"/>
  <c r="O249" i="9"/>
  <c r="O128" i="9"/>
  <c r="O318" i="9"/>
  <c r="O29" i="9"/>
  <c r="O130" i="9"/>
  <c r="O122" i="9"/>
  <c r="O97" i="9"/>
  <c r="O330" i="9"/>
  <c r="O349" i="9"/>
  <c r="O223" i="9"/>
  <c r="O27" i="9"/>
  <c r="O231" i="9"/>
  <c r="O46" i="9"/>
  <c r="O217" i="9"/>
  <c r="O33" i="9"/>
  <c r="O147" i="9"/>
  <c r="O15" i="9"/>
  <c r="O235" i="9"/>
  <c r="O198" i="9"/>
  <c r="O386" i="9"/>
  <c r="O103" i="9"/>
  <c r="O285" i="9"/>
  <c r="O120" i="9"/>
  <c r="O166" i="9"/>
  <c r="O398" i="9"/>
  <c r="O406" i="9"/>
  <c r="O184" i="9"/>
  <c r="O65" i="9"/>
  <c r="O204" i="9"/>
  <c r="O256" i="9"/>
  <c r="O340" i="9"/>
  <c r="O54" i="9"/>
  <c r="O155" i="9"/>
  <c r="O289" i="9"/>
  <c r="O196" i="9"/>
  <c r="O288" i="9"/>
  <c r="O12" i="8"/>
  <c r="P12" i="8" s="1"/>
  <c r="E164" i="8" s="1"/>
  <c r="D4527" i="23"/>
  <c r="O342" i="9"/>
  <c r="O66" i="9"/>
  <c r="O13" i="8"/>
  <c r="P13" i="8" s="1"/>
  <c r="E165" i="8" s="1"/>
  <c r="D4528" i="23"/>
  <c r="O328" i="9"/>
  <c r="O343" i="9"/>
  <c r="O241" i="9"/>
  <c r="O86" i="9"/>
  <c r="O140" i="9"/>
  <c r="O20" i="8"/>
  <c r="P20" i="8" s="1"/>
  <c r="E19" i="8" s="1"/>
  <c r="D4535" i="23"/>
  <c r="O19" i="8"/>
  <c r="P19" i="8" s="1"/>
  <c r="E171" i="8" s="1"/>
  <c r="D4534" i="23"/>
  <c r="O15" i="8"/>
  <c r="P15" i="8" s="1"/>
  <c r="E116" i="8" s="1"/>
  <c r="D4530" i="23"/>
  <c r="O14" i="8"/>
  <c r="P14" i="8" s="1"/>
  <c r="E166" i="8" s="1"/>
  <c r="D4529" i="23"/>
  <c r="O17" i="8"/>
  <c r="P17" i="8" s="1"/>
  <c r="E16" i="8" s="1"/>
  <c r="D4532" i="23"/>
  <c r="O287" i="9"/>
  <c r="O268" i="9"/>
  <c r="O371" i="9"/>
  <c r="O21" i="8"/>
  <c r="P21" i="8" s="1"/>
  <c r="E173" i="8" s="1"/>
  <c r="D4536" i="23"/>
  <c r="O22" i="8"/>
  <c r="P22" i="8" s="1"/>
  <c r="E174" i="8" s="1"/>
  <c r="D4537" i="23"/>
  <c r="O23" i="8"/>
  <c r="D4538" i="23"/>
  <c r="O23" i="9"/>
  <c r="O25" i="9"/>
  <c r="O126" i="9"/>
  <c r="O141" i="9"/>
  <c r="O392" i="9"/>
  <c r="O181" i="9"/>
  <c r="O18" i="8"/>
  <c r="P18" i="8" s="1"/>
  <c r="E17" i="8" s="1"/>
  <c r="D4533" i="23"/>
  <c r="O16" i="8"/>
  <c r="P16" i="8" s="1"/>
  <c r="E66" i="8" s="1"/>
  <c r="D4531" i="23"/>
  <c r="O383" i="9"/>
  <c r="O190" i="9"/>
  <c r="O369" i="9"/>
  <c r="O297" i="9"/>
  <c r="O38" i="9"/>
  <c r="O48" i="9"/>
  <c r="O59" i="9"/>
  <c r="O321" i="9"/>
  <c r="O119" i="9"/>
  <c r="O350" i="9"/>
  <c r="O47" i="9"/>
  <c r="O335" i="9"/>
  <c r="O32" i="9"/>
  <c r="O259" i="9"/>
  <c r="O160" i="9"/>
  <c r="O218" i="9"/>
  <c r="O44" i="9"/>
  <c r="O158" i="9"/>
  <c r="O57" i="9"/>
  <c r="O341" i="9"/>
  <c r="O91" i="9"/>
  <c r="O234" i="9"/>
  <c r="O246" i="9"/>
  <c r="O261" i="9"/>
  <c r="O16" i="9"/>
  <c r="O149" i="9"/>
  <c r="O192" i="9"/>
  <c r="O293" i="9"/>
  <c r="O319" i="9"/>
  <c r="O145" i="9"/>
  <c r="O250" i="9"/>
  <c r="O290" i="9"/>
  <c r="O63" i="9"/>
  <c r="O88" i="9"/>
  <c r="O247" i="9"/>
  <c r="O28" i="9"/>
  <c r="O348" i="9"/>
  <c r="O391" i="9"/>
  <c r="O174" i="9"/>
  <c r="O224" i="9"/>
  <c r="O41" i="9"/>
  <c r="O275" i="9"/>
  <c r="O376" i="9"/>
  <c r="O127" i="9"/>
  <c r="O123" i="9"/>
  <c r="O45" i="9"/>
  <c r="O325" i="9"/>
  <c r="O344" i="9"/>
  <c r="O26" i="9"/>
  <c r="O329" i="9"/>
  <c r="O331" i="9"/>
  <c r="O243" i="9"/>
  <c r="O10" i="8"/>
  <c r="P10" i="8" s="1"/>
  <c r="E9" i="8" s="1"/>
  <c r="O9" i="8"/>
  <c r="P9" i="8" s="1"/>
  <c r="E59" i="8" s="1"/>
  <c r="O11" i="8"/>
  <c r="P11" i="8" s="1"/>
  <c r="E163" i="8" s="1"/>
  <c r="O346" i="9"/>
  <c r="O144" i="9"/>
  <c r="O251" i="9"/>
  <c r="O150" i="9"/>
  <c r="O138" i="9"/>
  <c r="O397" i="9"/>
  <c r="O380" i="9"/>
  <c r="O68" i="9"/>
  <c r="O37" i="9"/>
  <c r="O178" i="9"/>
  <c r="O94" i="9"/>
  <c r="O260" i="9"/>
  <c r="O43" i="9"/>
  <c r="O49" i="9"/>
  <c r="O159" i="9"/>
  <c r="O169" i="9"/>
  <c r="O296" i="9"/>
  <c r="O58" i="9"/>
  <c r="O79" i="9"/>
  <c r="O281" i="9"/>
  <c r="O232" i="9"/>
  <c r="O222" i="9"/>
  <c r="O121" i="9"/>
  <c r="O30" i="9"/>
  <c r="O18" i="9"/>
  <c r="O253" i="9"/>
  <c r="O20" i="9"/>
  <c r="O51" i="9"/>
  <c r="O382" i="9"/>
  <c r="O264" i="9"/>
  <c r="O163" i="9"/>
  <c r="O152" i="9"/>
  <c r="O333" i="9"/>
  <c r="O62" i="9"/>
  <c r="O322" i="9"/>
  <c r="O118" i="9"/>
  <c r="O31" i="9"/>
  <c r="O69" i="9"/>
  <c r="O200" i="9"/>
  <c r="O5" i="8"/>
  <c r="P5" i="8" s="1"/>
  <c r="E157" i="8" s="1"/>
  <c r="O320" i="9"/>
  <c r="O50" i="9"/>
  <c r="O99" i="9"/>
  <c r="O388" i="9"/>
  <c r="O4" i="8"/>
  <c r="P4" i="8" s="1"/>
  <c r="E3" i="8" s="1"/>
  <c r="O7" i="8"/>
  <c r="P7" i="8" s="1"/>
  <c r="E108" i="8" s="1"/>
  <c r="O6" i="8"/>
  <c r="P6" i="8" s="1"/>
  <c r="E56" i="8" s="1"/>
  <c r="O80" i="9"/>
  <c r="O338" i="9"/>
  <c r="O132" i="9"/>
  <c r="O151" i="9"/>
  <c r="O186" i="9"/>
  <c r="O8" i="8"/>
  <c r="P8" i="8" s="1"/>
  <c r="E160" i="8" s="1"/>
  <c r="O221" i="9"/>
  <c r="O17" i="9"/>
  <c r="O233" i="9"/>
  <c r="O372" i="9"/>
  <c r="O271" i="9"/>
  <c r="O353" i="9"/>
  <c r="O299" i="9"/>
  <c r="O402" i="9"/>
  <c r="O366" i="9"/>
  <c r="O24" i="9"/>
  <c r="O154" i="9"/>
  <c r="O137" i="9"/>
  <c r="O385" i="9"/>
  <c r="O284" i="9"/>
  <c r="O266" i="9"/>
  <c r="O317" i="9"/>
  <c r="O53" i="9"/>
  <c r="O265" i="9"/>
  <c r="O191" i="9"/>
  <c r="O125" i="9"/>
  <c r="O14" i="9"/>
  <c r="O165" i="9"/>
  <c r="O136" i="9"/>
  <c r="O35" i="9"/>
  <c r="O356" i="9"/>
  <c r="O82" i="9"/>
  <c r="O216" i="9"/>
  <c r="O90" i="9"/>
  <c r="O226" i="9"/>
  <c r="O238" i="9"/>
  <c r="O36" i="9"/>
  <c r="O64" i="9"/>
  <c r="AA81" i="9"/>
  <c r="O182" i="9" s="1"/>
  <c r="AA102" i="9"/>
  <c r="O203" i="9" s="1"/>
  <c r="AA12" i="9"/>
  <c r="O113" i="9" s="1"/>
  <c r="AA6" i="9"/>
  <c r="O208" i="9" s="1"/>
  <c r="AA74" i="9"/>
  <c r="O175" i="9" s="1"/>
  <c r="AA101" i="9"/>
  <c r="O303" i="9" s="1"/>
  <c r="AA55" i="9"/>
  <c r="O156" i="9" s="1"/>
  <c r="AA4" i="9"/>
  <c r="O307" i="9" s="1"/>
  <c r="AA98" i="9"/>
  <c r="O401" i="9" s="1"/>
  <c r="AA100" i="9"/>
  <c r="O403" i="9" s="1"/>
  <c r="AA84" i="9"/>
  <c r="O387" i="9" s="1"/>
  <c r="AA11" i="9"/>
  <c r="O11" i="9" s="1"/>
  <c r="AA78" i="9"/>
  <c r="O179" i="9" s="1"/>
  <c r="AA61" i="9"/>
  <c r="O263" i="9" s="1"/>
  <c r="AA10" i="9"/>
  <c r="O111" i="9" s="1"/>
  <c r="AA60" i="9"/>
  <c r="O161" i="9" s="1"/>
  <c r="AA93" i="9"/>
  <c r="O295" i="9" s="1"/>
  <c r="AA70" i="9"/>
  <c r="O171" i="9" s="1"/>
  <c r="AA72" i="9"/>
  <c r="O375" i="9" s="1"/>
  <c r="AA9" i="9"/>
  <c r="O110" i="9" s="1"/>
  <c r="AA76" i="9"/>
  <c r="O278" i="9" s="1"/>
  <c r="AA96" i="9"/>
  <c r="O399" i="9" s="1"/>
  <c r="AA71" i="9"/>
  <c r="O273" i="9" s="1"/>
  <c r="AA8" i="9"/>
  <c r="O8" i="9" s="1"/>
  <c r="AA92" i="9"/>
  <c r="O294" i="9" s="1"/>
  <c r="AA13" i="9"/>
  <c r="O316" i="9" s="1"/>
  <c r="AA42" i="9"/>
  <c r="O244" i="9" s="1"/>
  <c r="AA75" i="9"/>
  <c r="O378" i="9" s="1"/>
  <c r="AA56" i="9"/>
  <c r="AA67" i="9"/>
  <c r="O168" i="9" s="1"/>
  <c r="AA5" i="9"/>
  <c r="O5" i="9" s="1"/>
  <c r="AA7" i="9"/>
  <c r="O209" i="9" s="1"/>
  <c r="R18" i="19"/>
  <c r="D4121" i="23" s="1"/>
  <c r="S26" i="19"/>
  <c r="AE19" i="6" s="1"/>
  <c r="R27" i="19"/>
  <c r="D4130" i="23" s="1"/>
  <c r="S27" i="19"/>
  <c r="AE20" i="6" s="1"/>
  <c r="S30" i="19"/>
  <c r="S16" i="19"/>
  <c r="S21" i="19"/>
  <c r="AE14" i="6" s="1"/>
  <c r="R29" i="19"/>
  <c r="D4132" i="23" s="1"/>
  <c r="R8" i="19"/>
  <c r="D4111" i="23" s="1"/>
  <c r="S24" i="19"/>
  <c r="AE17" i="6" s="1"/>
  <c r="S6" i="19"/>
  <c r="R7" i="19"/>
  <c r="D4110" i="23" s="1"/>
  <c r="R12" i="19"/>
  <c r="D4115" i="23" s="1"/>
  <c r="S28" i="19"/>
  <c r="AE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E12" i="6" s="1"/>
  <c r="S25" i="19"/>
  <c r="AE18" i="6" s="1"/>
  <c r="R26" i="19"/>
  <c r="D4129" i="23" s="1"/>
  <c r="R17" i="19"/>
  <c r="D4120" i="23" s="1"/>
  <c r="R13" i="19"/>
  <c r="D4116" i="23" s="1"/>
  <c r="S29" i="19"/>
  <c r="AE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E15" i="6" s="1"/>
  <c r="R23" i="19"/>
  <c r="D4126" i="23" s="1"/>
  <c r="S23" i="19"/>
  <c r="AE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A5" i="5"/>
  <c r="AB5" i="5"/>
  <c r="AA4" i="5"/>
  <c r="AB4" i="5"/>
  <c r="AA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E33" i="13"/>
  <c r="E401" i="13"/>
  <c r="E355" i="13"/>
  <c r="X31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B6" i="5"/>
  <c r="E64" i="8"/>
  <c r="E13" i="8"/>
  <c r="E115" i="8"/>
  <c r="O114" i="9"/>
  <c r="O93" i="9"/>
  <c r="O309" i="9"/>
  <c r="O379" i="9"/>
  <c r="O215" i="9"/>
  <c r="O210" i="9"/>
  <c r="E54" i="8"/>
  <c r="E156" i="8"/>
  <c r="O109" i="9"/>
  <c r="E105" i="8"/>
  <c r="O311" i="9"/>
  <c r="O257" i="9"/>
  <c r="O310" i="9"/>
  <c r="O211" i="9"/>
  <c r="O101" i="9"/>
  <c r="O112" i="9"/>
  <c r="O185" i="9"/>
  <c r="O84" i="9"/>
  <c r="O286" i="9"/>
  <c r="O313" i="9"/>
  <c r="O106" i="9"/>
  <c r="O298" i="9"/>
  <c r="O4" i="9"/>
  <c r="O283" i="9"/>
  <c r="O207" i="9"/>
  <c r="O197" i="9"/>
  <c r="O10" i="9"/>
  <c r="O206" i="9"/>
  <c r="O6" i="9"/>
  <c r="O308" i="9"/>
  <c r="O107" i="9"/>
  <c r="O213" i="9"/>
  <c r="O98" i="9"/>
  <c r="O300" i="9"/>
  <c r="O76" i="9"/>
  <c r="O312" i="9"/>
  <c r="O199" i="9"/>
  <c r="O177" i="9"/>
  <c r="O9" i="9"/>
  <c r="O12" i="9"/>
  <c r="O96" i="9"/>
  <c r="O214" i="9"/>
  <c r="O7" i="9"/>
  <c r="O258" i="9"/>
  <c r="O359" i="9"/>
  <c r="O56" i="9"/>
  <c r="O173" i="9"/>
  <c r="O274" i="9"/>
  <c r="O363" i="9"/>
  <c r="O262" i="9"/>
  <c r="O404" i="9"/>
  <c r="O202" i="9"/>
  <c r="O108" i="9"/>
  <c r="O157" i="9"/>
  <c r="O345" i="9"/>
  <c r="O143" i="9"/>
  <c r="O42" i="9"/>
  <c r="O212" i="9"/>
  <c r="O314" i="9"/>
  <c r="O384" i="9"/>
  <c r="O81" i="9"/>
  <c r="O395" i="9"/>
  <c r="O92" i="9"/>
  <c r="O193" i="9"/>
  <c r="O70" i="9"/>
  <c r="O373" i="9"/>
  <c r="O272" i="9"/>
  <c r="O78" i="9"/>
  <c r="O280" i="9"/>
  <c r="O381" i="9"/>
  <c r="O377" i="9"/>
  <c r="O74" i="9"/>
  <c r="O276" i="9"/>
  <c r="O67" i="9"/>
  <c r="O370" i="9"/>
  <c r="O269" i="9"/>
  <c r="O75" i="9"/>
  <c r="O277" i="9"/>
  <c r="O176" i="9"/>
  <c r="O71" i="9"/>
  <c r="O172" i="9"/>
  <c r="O374" i="9"/>
  <c r="O105" i="9"/>
  <c r="O302" i="9"/>
  <c r="O201" i="9"/>
  <c r="O100" i="9"/>
  <c r="O315" i="9"/>
  <c r="O13" i="9"/>
  <c r="O194" i="9"/>
  <c r="O396" i="9"/>
  <c r="O55" i="9"/>
  <c r="O358" i="9"/>
  <c r="O364" i="9"/>
  <c r="O61" i="9"/>
  <c r="O304" i="9"/>
  <c r="O102" i="9"/>
  <c r="O405" i="9"/>
  <c r="O72" i="9"/>
  <c r="O60" i="9"/>
  <c r="O162" i="9"/>
  <c r="AD89" i="5"/>
  <c r="AD90" i="5"/>
  <c r="AD91" i="5"/>
  <c r="AD88" i="5"/>
  <c r="AD92" i="5"/>
  <c r="AD93" i="5"/>
  <c r="AD86" i="5"/>
  <c r="AD85" i="5"/>
  <c r="AD87" i="5"/>
  <c r="AD100" i="5"/>
  <c r="AD99" i="5"/>
  <c r="AD101" i="5"/>
  <c r="AD102" i="5"/>
  <c r="AD103" i="5"/>
  <c r="AD96" i="5"/>
  <c r="AD95" i="5"/>
  <c r="AD97" i="5"/>
  <c r="AD98" i="5"/>
  <c r="AD48" i="5"/>
  <c r="AD47" i="5"/>
  <c r="AD49" i="5"/>
  <c r="AD50" i="5"/>
  <c r="AD51" i="5"/>
  <c r="AD44" i="5"/>
  <c r="AD43" i="5"/>
  <c r="AD45" i="5"/>
  <c r="AD46" i="5"/>
  <c r="AD76" i="5"/>
  <c r="AD75" i="5"/>
  <c r="AD83" i="5"/>
  <c r="AD77" i="5"/>
  <c r="AD78" i="5"/>
  <c r="AD79" i="5"/>
  <c r="AD80" i="5"/>
  <c r="AD81" i="5"/>
  <c r="AD82" i="5"/>
  <c r="AD37" i="5"/>
  <c r="AD38" i="5"/>
  <c r="AD39" i="5"/>
  <c r="AD36" i="5"/>
  <c r="AD40" i="5"/>
  <c r="AD41" i="5"/>
  <c r="AD34" i="5"/>
  <c r="AD33" i="5"/>
  <c r="AD35" i="5"/>
  <c r="AD72" i="5"/>
  <c r="AD71" i="5"/>
  <c r="AD73" i="5"/>
  <c r="AD66" i="5"/>
  <c r="AD65" i="5"/>
  <c r="AD67" i="5"/>
  <c r="AD68" i="5"/>
  <c r="AD69" i="5"/>
  <c r="AD70" i="5"/>
  <c r="AD15" i="5"/>
  <c r="AD14" i="5"/>
  <c r="AD16" i="5"/>
  <c r="AD17" i="5"/>
  <c r="AD18" i="5"/>
  <c r="AD13" i="5"/>
  <c r="AD19" i="5"/>
  <c r="AD20" i="5"/>
  <c r="AD21" i="5"/>
  <c r="AD26" i="5"/>
  <c r="AD27" i="5"/>
  <c r="AD25" i="5"/>
  <c r="AD28" i="5"/>
  <c r="AD29" i="5"/>
  <c r="AD30" i="5"/>
  <c r="AD31" i="5"/>
  <c r="AD24" i="5"/>
  <c r="AD23" i="5"/>
  <c r="AD4" i="5"/>
  <c r="AD3" i="5"/>
  <c r="AD5" i="5"/>
  <c r="AD6" i="5"/>
  <c r="AD11" i="5"/>
  <c r="AD7" i="5"/>
  <c r="AD8" i="5"/>
  <c r="AD9" i="5"/>
  <c r="AD10" i="5"/>
  <c r="AD59" i="5"/>
  <c r="AD60" i="5"/>
  <c r="AD61" i="5"/>
  <c r="AD54" i="5"/>
  <c r="AD53" i="5"/>
  <c r="AD55" i="5"/>
  <c r="AD56" i="5"/>
  <c r="AD57" i="5"/>
  <c r="AD58" i="5"/>
  <c r="E21" i="8"/>
  <c r="E123" i="8"/>
  <c r="E72" i="8"/>
  <c r="E4" i="8"/>
  <c r="E55" i="8"/>
  <c r="E161" i="8"/>
  <c r="E167" i="8"/>
  <c r="E10" i="8"/>
  <c r="E117" i="8"/>
  <c r="E112" i="8"/>
  <c r="E106" i="8"/>
  <c r="E57" i="8"/>
  <c r="E159" i="8"/>
  <c r="E11" i="8"/>
  <c r="E65" i="8"/>
  <c r="E61" i="8"/>
  <c r="E8" i="8"/>
  <c r="E113" i="8"/>
  <c r="E110" i="8"/>
  <c r="E62" i="8"/>
  <c r="E15" i="8"/>
  <c r="E18" i="8"/>
  <c r="E168" i="8"/>
  <c r="E120" i="8"/>
  <c r="E69" i="8"/>
  <c r="E71" i="8"/>
  <c r="E121" i="8"/>
  <c r="E20" i="8"/>
  <c r="E122" i="8"/>
  <c r="E119" i="8"/>
  <c r="E109" i="8"/>
  <c r="E111" i="8"/>
  <c r="E158" i="8"/>
  <c r="E14" i="8"/>
  <c r="E6" i="8"/>
  <c r="E70" i="8"/>
  <c r="E172" i="8"/>
  <c r="E7" i="8"/>
  <c r="E118" i="8"/>
  <c r="E12" i="8"/>
  <c r="E60" i="8"/>
  <c r="E68" i="8"/>
  <c r="E5" i="8"/>
  <c r="E67" i="8"/>
  <c r="E114" i="8"/>
  <c r="E162" i="8"/>
  <c r="E107" i="8"/>
  <c r="E169" i="8"/>
  <c r="E63" i="8"/>
  <c r="E58" i="8"/>
  <c r="E170" i="8"/>
  <c r="X29" i="13"/>
  <c r="E31" i="13"/>
  <c r="E353" i="13"/>
  <c r="E399" i="13"/>
  <c r="E397" i="13" l="1"/>
  <c r="E351" i="13"/>
  <c r="E29" i="13"/>
  <c r="X27" i="13"/>
  <c r="X25" i="13" l="1"/>
  <c r="E349" i="13"/>
  <c r="E27" i="13"/>
  <c r="E395" i="13"/>
  <c r="E25" i="13" l="1"/>
  <c r="E393" i="13"/>
  <c r="E347" i="13"/>
  <c r="X23" i="13"/>
  <c r="E23" i="13" l="1"/>
  <c r="E391" i="13"/>
  <c r="E345" i="13"/>
  <c r="X21" i="13"/>
  <c r="E389" i="13" l="1"/>
  <c r="E343" i="13"/>
  <c r="E21" i="13"/>
  <c r="X19" i="13"/>
  <c r="X17" i="13" l="1"/>
  <c r="E341" i="13"/>
  <c r="E19" i="13"/>
  <c r="E387" i="13"/>
  <c r="E17" i="13" l="1"/>
  <c r="E385" i="13"/>
  <c r="E339" i="13"/>
  <c r="X15" i="13"/>
  <c r="X13" i="13" l="1"/>
  <c r="E15" i="13"/>
  <c r="E337" i="13"/>
  <c r="E383" i="13"/>
  <c r="E381" i="13" l="1"/>
  <c r="E335" i="13"/>
  <c r="E13" i="13"/>
  <c r="X11" i="13"/>
  <c r="X9" i="13" l="1"/>
  <c r="E333" i="13"/>
  <c r="E11" i="13"/>
  <c r="E379" i="13"/>
  <c r="E9" i="13" l="1"/>
  <c r="E377" i="13"/>
  <c r="E331" i="13"/>
  <c r="X5" i="13"/>
  <c r="X7" i="13"/>
  <c r="E373" i="13" l="1"/>
  <c r="E327" i="13"/>
  <c r="E5" i="13"/>
  <c r="E7" i="13"/>
  <c r="E329" i="13"/>
  <c r="E375" i="13"/>
  <c r="F128" i="18"/>
  <c r="F55" i="18"/>
  <c r="F67" i="18"/>
  <c r="F72" i="18"/>
  <c r="F101" i="18"/>
  <c r="F68" i="18"/>
  <c r="F119" i="18"/>
  <c r="F90" i="18"/>
  <c r="F51" i="18"/>
  <c r="F63" i="18"/>
  <c r="F123" i="18"/>
  <c r="P23" i="8"/>
  <c r="E124" i="8" l="1"/>
  <c r="E73" i="8"/>
  <c r="E22" i="8"/>
  <c r="E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N431" i="3"/>
  <c r="N405" i="3"/>
  <c r="N154" i="3"/>
  <c r="N150" i="3"/>
  <c r="N50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288" i="3"/>
  <c r="N394" i="3"/>
  <c r="N420" i="3"/>
  <c r="N35" i="3"/>
  <c r="N252" i="3"/>
  <c r="N209" i="3"/>
  <c r="N180" i="3"/>
  <c r="N301" i="3"/>
  <c r="N387" i="3"/>
  <c r="N447" i="3"/>
  <c r="N454" i="3"/>
  <c r="N22" i="3"/>
  <c r="N115" i="3"/>
  <c r="N243" i="3"/>
  <c r="N184" i="3"/>
  <c r="N335" i="3"/>
  <c r="N350" i="3"/>
  <c r="N481" i="3"/>
  <c r="N488" i="3"/>
  <c r="N56" i="3"/>
  <c r="N149" i="3"/>
  <c r="N87" i="3"/>
  <c r="N144" i="3"/>
  <c r="N353" i="3"/>
  <c r="N312" i="3"/>
  <c r="N499" i="3"/>
  <c r="N257" i="3"/>
  <c r="N74" i="3"/>
  <c r="N167" i="3"/>
  <c r="N124" i="3"/>
  <c r="N136" i="3"/>
  <c r="N276" i="3"/>
  <c r="N292" i="3"/>
  <c r="N8" i="3"/>
  <c r="N11" i="3"/>
  <c r="N92" i="3"/>
  <c r="N185" i="3"/>
  <c r="N142" i="3"/>
  <c r="N263" i="3"/>
  <c r="N314" i="3"/>
  <c r="N368" i="3"/>
  <c r="N408" i="3"/>
  <c r="N29" i="3"/>
  <c r="N5" i="3"/>
  <c r="N203" i="3"/>
  <c r="N174" i="3"/>
  <c r="N274" i="3"/>
  <c r="N352" i="3"/>
  <c r="N425" i="3"/>
  <c r="N432" i="3"/>
  <c r="N47" i="3"/>
  <c r="N61" i="3"/>
  <c r="N221" i="3"/>
  <c r="N132" i="3"/>
  <c r="N404" i="3"/>
  <c r="N98" i="3"/>
  <c r="N3" i="3"/>
  <c r="N77" i="3"/>
  <c r="N111" i="3"/>
  <c r="N143" i="3"/>
  <c r="N159" i="3"/>
  <c r="N466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44" i="3"/>
  <c r="M40" i="3"/>
  <c r="N260" i="3"/>
  <c r="N285" i="3"/>
  <c r="N156" i="3"/>
  <c r="N133" i="3"/>
  <c r="N483" i="3"/>
  <c r="N160" i="3"/>
  <c r="N126" i="3"/>
  <c r="N187" i="3"/>
  <c r="N10" i="3"/>
  <c r="N18" i="3"/>
  <c r="N283" i="3"/>
  <c r="N371" i="3"/>
  <c r="N429" i="3"/>
  <c r="N436" i="3"/>
  <c r="N51" i="3"/>
  <c r="N93" i="3"/>
  <c r="N225" i="3"/>
  <c r="N148" i="3"/>
  <c r="N317" i="3"/>
  <c r="N403" i="3"/>
  <c r="N463" i="3"/>
  <c r="N470" i="3"/>
  <c r="N38" i="3"/>
  <c r="N131" i="3"/>
  <c r="N67" i="3"/>
  <c r="N146" i="3"/>
  <c r="N351" i="3"/>
  <c r="N296" i="3"/>
  <c r="N497" i="3"/>
  <c r="N255" i="3"/>
  <c r="N72" i="3"/>
  <c r="N165" i="3"/>
  <c r="N122" i="3"/>
  <c r="N236" i="3"/>
  <c r="N272" i="3"/>
  <c r="N375" i="3"/>
  <c r="N6" i="3"/>
  <c r="N398" i="3"/>
  <c r="N90" i="3"/>
  <c r="N183" i="3"/>
  <c r="N134" i="3"/>
  <c r="N261" i="3"/>
  <c r="N298" i="3"/>
  <c r="N367" i="3"/>
  <c r="N402" i="3"/>
  <c r="N27" i="3"/>
  <c r="N382" i="3"/>
  <c r="N201" i="3"/>
  <c r="N242" i="3"/>
  <c r="N266" i="3"/>
  <c r="N344" i="3"/>
  <c r="N423" i="3"/>
  <c r="N430" i="3"/>
  <c r="N45" i="3"/>
  <c r="N410" i="3"/>
  <c r="N219" i="3"/>
  <c r="N238" i="3"/>
  <c r="N295" i="3"/>
  <c r="N381" i="3"/>
  <c r="N441" i="3"/>
  <c r="N448" i="3"/>
  <c r="N16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D2" i="3" s="1"/>
  <c r="G2" i="3" s="1"/>
  <c r="M4" i="3"/>
  <c r="D4" i="3" s="1"/>
  <c r="M3" i="3"/>
  <c r="D3" i="3" s="1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380" i="3" l="1"/>
  <c r="N205" i="3"/>
  <c r="N152" i="3"/>
  <c r="N355" i="3"/>
  <c r="D305" i="3"/>
  <c r="W305" i="3"/>
  <c r="D477" i="3"/>
  <c r="W477" i="3"/>
  <c r="D230" i="3"/>
  <c r="W230" i="3"/>
  <c r="D217" i="3"/>
  <c r="W217" i="3"/>
  <c r="D192" i="3"/>
  <c r="W192" i="3"/>
  <c r="D317" i="3"/>
  <c r="W317" i="3"/>
  <c r="D50" i="3"/>
  <c r="W50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W38" i="3"/>
  <c r="D485" i="3"/>
  <c r="W485" i="3"/>
  <c r="D386" i="3"/>
  <c r="W386" i="3"/>
  <c r="D256" i="3"/>
  <c r="W256" i="3"/>
  <c r="D390" i="3"/>
  <c r="W390" i="3"/>
  <c r="D394" i="3"/>
  <c r="W394" i="3"/>
  <c r="D409" i="3"/>
  <c r="W409" i="3"/>
  <c r="D369" i="3"/>
  <c r="W369" i="3"/>
  <c r="D19" i="3"/>
  <c r="W19" i="3"/>
  <c r="D423" i="3"/>
  <c r="W423" i="3"/>
  <c r="D85" i="3"/>
  <c r="W85" i="3"/>
  <c r="D393" i="3"/>
  <c r="W393" i="3"/>
  <c r="D322" i="3"/>
  <c r="W322" i="3"/>
  <c r="D301" i="3"/>
  <c r="W301" i="3"/>
  <c r="D179" i="3"/>
  <c r="W179" i="3"/>
  <c r="D377" i="3"/>
  <c r="W377" i="3"/>
  <c r="D70" i="3"/>
  <c r="W70" i="3"/>
  <c r="D84" i="3"/>
  <c r="W84" i="3"/>
  <c r="D497" i="3"/>
  <c r="W497" i="3"/>
  <c r="D264" i="3"/>
  <c r="W264" i="3"/>
  <c r="D388" i="3"/>
  <c r="W388" i="3"/>
  <c r="D149" i="3"/>
  <c r="W149" i="3"/>
  <c r="D164" i="3"/>
  <c r="W164" i="3"/>
  <c r="D83" i="3"/>
  <c r="W83" i="3"/>
  <c r="D8" i="3"/>
  <c r="W8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288" i="3"/>
  <c r="W288" i="3"/>
  <c r="D483" i="3"/>
  <c r="W483" i="3"/>
  <c r="D177" i="3"/>
  <c r="W177" i="3"/>
  <c r="D463" i="3"/>
  <c r="W463" i="3"/>
  <c r="D124" i="3"/>
  <c r="W124" i="3"/>
  <c r="D258" i="3"/>
  <c r="W258" i="3"/>
  <c r="D334" i="3"/>
  <c r="W334" i="3"/>
  <c r="D136" i="3"/>
  <c r="W136" i="3"/>
  <c r="W143" i="3"/>
  <c r="D143" i="3"/>
  <c r="D308" i="3"/>
  <c r="W308" i="3"/>
  <c r="D499" i="3"/>
  <c r="W499" i="3"/>
  <c r="D320" i="3"/>
  <c r="W320" i="3"/>
  <c r="D184" i="3"/>
  <c r="W184" i="3"/>
  <c r="D105" i="3"/>
  <c r="W105" i="3"/>
  <c r="D42" i="3"/>
  <c r="W42" i="3"/>
  <c r="D370" i="3"/>
  <c r="W370" i="3"/>
  <c r="W227" i="3"/>
  <c r="D227" i="3"/>
  <c r="D365" i="3"/>
  <c r="W365" i="3"/>
  <c r="D40" i="3"/>
  <c r="W40" i="3"/>
  <c r="D375" i="3"/>
  <c r="W375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W352" i="3"/>
  <c r="D171" i="3"/>
  <c r="W171" i="3"/>
  <c r="D203" i="3"/>
  <c r="W203" i="3"/>
  <c r="D487" i="3"/>
  <c r="W487" i="3"/>
  <c r="D199" i="3"/>
  <c r="W199" i="3"/>
  <c r="D350" i="3"/>
  <c r="W350" i="3"/>
  <c r="D492" i="3"/>
  <c r="W492" i="3"/>
  <c r="D36" i="3"/>
  <c r="W36" i="3"/>
  <c r="D495" i="3"/>
  <c r="W495" i="3"/>
  <c r="D135" i="3"/>
  <c r="W135" i="3"/>
  <c r="D22" i="3"/>
  <c r="W22" i="3"/>
  <c r="D180" i="3"/>
  <c r="W180" i="3"/>
  <c r="D69" i="3"/>
  <c r="W69" i="3"/>
  <c r="D72" i="3"/>
  <c r="W72" i="3"/>
  <c r="D252" i="3"/>
  <c r="W252" i="3"/>
  <c r="D162" i="3"/>
  <c r="W162" i="3"/>
  <c r="D339" i="3"/>
  <c r="W339" i="3"/>
  <c r="D426" i="3"/>
  <c r="W426" i="3"/>
  <c r="D462" i="3"/>
  <c r="W462" i="3"/>
  <c r="D348" i="3"/>
  <c r="W348" i="3"/>
  <c r="D296" i="3"/>
  <c r="W296" i="3"/>
  <c r="D410" i="3"/>
  <c r="W410" i="3"/>
  <c r="D63" i="3"/>
  <c r="W63" i="3"/>
  <c r="D236" i="3"/>
  <c r="W236" i="3"/>
  <c r="D205" i="3"/>
  <c r="W205" i="3"/>
  <c r="D266" i="3"/>
  <c r="W266" i="3"/>
  <c r="D474" i="3"/>
  <c r="W474" i="3"/>
  <c r="D460" i="3"/>
  <c r="W460" i="3"/>
  <c r="D102" i="3"/>
  <c r="W102" i="3"/>
  <c r="D399" i="3"/>
  <c r="W399" i="3"/>
  <c r="D466" i="3"/>
  <c r="W466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444" i="3"/>
  <c r="W444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27" i="3"/>
  <c r="W27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50" i="3"/>
  <c r="W150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314" i="3"/>
  <c r="W314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292" i="3"/>
  <c r="W292" i="3"/>
  <c r="D432" i="3"/>
  <c r="W432" i="3"/>
  <c r="D129" i="3"/>
  <c r="W129" i="3"/>
  <c r="D30" i="3"/>
  <c r="W30" i="3"/>
  <c r="D243" i="3"/>
  <c r="W243" i="3"/>
  <c r="D420" i="3"/>
  <c r="W420" i="3"/>
  <c r="D13" i="3"/>
  <c r="W13" i="3"/>
  <c r="D468" i="3"/>
  <c r="W468" i="3"/>
  <c r="D97" i="3"/>
  <c r="W97" i="3"/>
  <c r="W209" i="3"/>
  <c r="D209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5" i="3"/>
  <c r="W5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144" i="3"/>
  <c r="W144" i="3"/>
  <c r="D442" i="3"/>
  <c r="W442" i="3"/>
  <c r="D146" i="3"/>
  <c r="W146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D40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380" i="3"/>
  <c r="W380" i="3"/>
  <c r="D247" i="3"/>
  <c r="W247" i="3"/>
  <c r="D470" i="3"/>
  <c r="W470" i="3"/>
  <c r="D218" i="3"/>
  <c r="W218" i="3"/>
  <c r="D274" i="3"/>
  <c r="W274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185" i="3"/>
  <c r="W185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425" i="3"/>
  <c r="W425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54" i="3"/>
  <c r="W154" i="3"/>
  <c r="D106" i="3"/>
  <c r="W106" i="3"/>
  <c r="D152" i="3"/>
  <c r="W152" i="3"/>
  <c r="D76" i="3"/>
  <c r="W76" i="3"/>
  <c r="D202" i="3"/>
  <c r="W202" i="3"/>
  <c r="D49" i="3"/>
  <c r="W49" i="3"/>
  <c r="D491" i="3"/>
  <c r="W491" i="3"/>
  <c r="D402" i="3"/>
  <c r="W402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D481" i="3"/>
  <c r="W481" i="3"/>
  <c r="W140" i="3"/>
  <c r="D140" i="3"/>
  <c r="D163" i="3"/>
  <c r="W163" i="3"/>
  <c r="D35" i="3"/>
  <c r="W35" i="3"/>
  <c r="D43" i="3"/>
  <c r="W43" i="3"/>
  <c r="D441" i="3"/>
  <c r="W441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447" i="3"/>
  <c r="W447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36" i="3"/>
  <c r="W43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W61" i="3"/>
  <c r="D61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353" i="3"/>
  <c r="W353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430" i="3"/>
  <c r="W430" i="3"/>
  <c r="D335" i="3"/>
  <c r="W335" i="3"/>
  <c r="D319" i="3"/>
  <c r="W319" i="3"/>
  <c r="D151" i="3"/>
  <c r="W151" i="3"/>
  <c r="D167" i="3"/>
  <c r="W167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126" i="3"/>
  <c r="W126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488" i="3"/>
  <c r="W488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D111" i="3"/>
  <c r="W111" i="3"/>
  <c r="D295" i="3"/>
  <c r="W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W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O85" i="3" l="1"/>
  <c r="E85" i="3" s="1"/>
  <c r="G85" i="3" s="1"/>
  <c r="O172" i="3"/>
  <c r="E172" i="3" s="1"/>
  <c r="G172" i="3" s="1"/>
  <c r="O299" i="3"/>
  <c r="E299" i="3" s="1"/>
  <c r="G299" i="3" s="1"/>
  <c r="O131" i="3"/>
  <c r="E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O475" i="3"/>
  <c r="E475" i="3" s="1"/>
  <c r="G475" i="3" s="1"/>
  <c r="O177" i="3"/>
  <c r="E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O307" i="3"/>
  <c r="E307" i="3" s="1"/>
  <c r="G307" i="3" s="1"/>
  <c r="O120" i="3"/>
  <c r="E120" i="3" s="1"/>
  <c r="O31" i="3"/>
  <c r="E31" i="3" s="1"/>
  <c r="G31" i="3" s="1"/>
  <c r="O256" i="3"/>
  <c r="E256" i="3" s="1"/>
  <c r="O184" i="3"/>
  <c r="E184" i="3" s="1"/>
  <c r="G184" i="3" s="1"/>
  <c r="O183" i="3"/>
  <c r="E183" i="3" s="1"/>
  <c r="G183" i="3" s="1"/>
  <c r="O90" i="3"/>
  <c r="E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O268" i="3"/>
  <c r="E268" i="3" s="1"/>
  <c r="G268" i="3" s="1"/>
  <c r="O400" i="3"/>
  <c r="E400" i="3" s="1"/>
  <c r="O122" i="3"/>
  <c r="E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G61" i="3" s="1"/>
  <c r="O332" i="3"/>
  <c r="E332" i="3" s="1"/>
  <c r="O80" i="3"/>
  <c r="E80" i="3" s="1"/>
  <c r="G80" i="3" s="1"/>
  <c r="O181" i="3"/>
  <c r="E181" i="3" s="1"/>
  <c r="O323" i="3"/>
  <c r="E323" i="3" s="1"/>
  <c r="O203" i="3"/>
  <c r="E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O368" i="3"/>
  <c r="E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O365" i="3"/>
  <c r="E365" i="3" s="1"/>
  <c r="O348" i="3"/>
  <c r="E348" i="3" s="1"/>
  <c r="O366" i="3"/>
  <c r="E366" i="3" s="1"/>
  <c r="O457" i="3"/>
  <c r="E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O345" i="3"/>
  <c r="E345" i="3" s="1"/>
  <c r="G345" i="3" s="1"/>
  <c r="O194" i="3"/>
  <c r="E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O116" i="3"/>
  <c r="E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O133" i="3"/>
  <c r="E133" i="3" s="1"/>
  <c r="G133" i="3" s="1"/>
  <c r="O79" i="3"/>
  <c r="E79" i="3" s="1"/>
  <c r="G79" i="3" s="1"/>
  <c r="O132" i="3"/>
  <c r="E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O205" i="3"/>
  <c r="E205" i="3" s="1"/>
  <c r="G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O92" i="3"/>
  <c r="E92" i="3" s="1"/>
  <c r="O62" i="3"/>
  <c r="E62" i="3" s="1"/>
  <c r="G62" i="3" s="1"/>
  <c r="O4" i="3"/>
  <c r="E4" i="3" s="1"/>
  <c r="G4" i="3" s="1"/>
  <c r="O201" i="3"/>
  <c r="E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O208" i="3"/>
  <c r="E208" i="3" s="1"/>
  <c r="G208" i="3" s="1"/>
  <c r="O7" i="3"/>
  <c r="E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O156" i="3"/>
  <c r="E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O492" i="3"/>
  <c r="E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O476" i="3"/>
  <c r="E476" i="3" s="1"/>
  <c r="O191" i="3"/>
  <c r="E191" i="3" s="1"/>
  <c r="G191" i="3" s="1"/>
  <c r="O35" i="3"/>
  <c r="E35" i="3" s="1"/>
  <c r="G35" i="3" s="1"/>
  <c r="O9" i="3"/>
  <c r="E9" i="3" s="1"/>
  <c r="O158" i="3"/>
  <c r="E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G497" i="3" s="1"/>
  <c r="O118" i="3"/>
  <c r="E118" i="3" s="1"/>
  <c r="O236" i="3"/>
  <c r="E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O335" i="3"/>
  <c r="E335" i="3" s="1"/>
  <c r="G335" i="3" s="1"/>
  <c r="O474" i="3"/>
  <c r="E474" i="3" s="1"/>
  <c r="O232" i="3"/>
  <c r="E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O274" i="3"/>
  <c r="E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O372" i="3"/>
  <c r="E372" i="3" s="1"/>
  <c r="G372" i="3" s="1"/>
  <c r="O404" i="3"/>
  <c r="E404" i="3" s="1"/>
  <c r="O351" i="3"/>
  <c r="E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O145" i="3"/>
  <c r="E145" i="3" s="1"/>
  <c r="O295" i="3"/>
  <c r="E295" i="3" s="1"/>
  <c r="G295" i="3" s="1"/>
  <c r="O377" i="3"/>
  <c r="E377" i="3" s="1"/>
  <c r="O36" i="3"/>
  <c r="E36" i="3" s="1"/>
  <c r="O59" i="3"/>
  <c r="E59" i="3" s="1"/>
  <c r="O437" i="3"/>
  <c r="E437" i="3" s="1"/>
  <c r="O121" i="3"/>
  <c r="E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O119" i="3"/>
  <c r="E119" i="3" s="1"/>
  <c r="O304" i="3"/>
  <c r="E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O75" i="3"/>
  <c r="E75" i="3" s="1"/>
  <c r="O107" i="3"/>
  <c r="E107" i="3" s="1"/>
  <c r="O261" i="3"/>
  <c r="E261" i="3" s="1"/>
  <c r="G261" i="3" s="1"/>
  <c r="O143" i="3"/>
  <c r="E143" i="3" s="1"/>
  <c r="G143" i="3" s="1"/>
  <c r="O438" i="3"/>
  <c r="E438" i="3" s="1"/>
  <c r="O53" i="3"/>
  <c r="E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O68" i="3"/>
  <c r="E68" i="3" s="1"/>
  <c r="G68" i="3" s="1"/>
  <c r="O500" i="3"/>
  <c r="E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O187" i="3"/>
  <c r="E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G50" i="3" s="1"/>
  <c r="O266" i="3"/>
  <c r="E266" i="3" s="1"/>
  <c r="G266" i="3" s="1"/>
  <c r="O127" i="3"/>
  <c r="E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O32" i="3"/>
  <c r="E32" i="3" s="1"/>
  <c r="O72" i="3"/>
  <c r="E72" i="3" s="1"/>
  <c r="G72" i="3" s="1"/>
  <c r="O472" i="3"/>
  <c r="E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O123" i="3"/>
  <c r="E123" i="3" s="1"/>
  <c r="G123" i="3" s="1"/>
  <c r="O237" i="3"/>
  <c r="E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O49" i="3"/>
  <c r="E49" i="3" s="1"/>
  <c r="G49" i="3" s="1"/>
  <c r="O101" i="3"/>
  <c r="E101" i="3" s="1"/>
  <c r="O146" i="3"/>
  <c r="E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O412" i="3"/>
  <c r="E412" i="3" s="1"/>
  <c r="G412" i="3" s="1"/>
  <c r="O328" i="3"/>
  <c r="E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O250" i="3"/>
  <c r="E250" i="3" s="1"/>
  <c r="G250" i="3" s="1"/>
  <c r="O389" i="3"/>
  <c r="E389" i="3" s="1"/>
  <c r="G389" i="3" s="1"/>
  <c r="O239" i="3"/>
  <c r="E239" i="3" s="1"/>
  <c r="O285" i="3"/>
  <c r="E285" i="3" s="1"/>
  <c r="O241" i="3"/>
  <c r="E241" i="3" s="1"/>
  <c r="O309" i="3"/>
  <c r="E309" i="3" s="1"/>
  <c r="G309" i="3" s="1"/>
  <c r="O220" i="3"/>
  <c r="E220" i="3" s="1"/>
  <c r="G220" i="3" s="1"/>
  <c r="O484" i="3"/>
  <c r="E484" i="3" s="1"/>
  <c r="O450" i="3"/>
  <c r="E450" i="3" s="1"/>
  <c r="G450" i="3" s="1"/>
  <c r="O196" i="3"/>
  <c r="E196" i="3" s="1"/>
  <c r="G196" i="3" s="1"/>
  <c r="O16" i="3"/>
  <c r="E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O28" i="3"/>
  <c r="E28" i="3" s="1"/>
  <c r="G28" i="3" s="1"/>
  <c r="O434" i="3"/>
  <c r="E434" i="3" s="1"/>
  <c r="O39" i="3"/>
  <c r="E39" i="3" s="1"/>
  <c r="G39" i="3" s="1"/>
  <c r="O350" i="3"/>
  <c r="E350" i="3" s="1"/>
  <c r="G350" i="3" s="1"/>
  <c r="O243" i="3"/>
  <c r="E243" i="3" s="1"/>
  <c r="O264" i="3"/>
  <c r="E264" i="3" s="1"/>
  <c r="O233" i="3"/>
  <c r="E233" i="3" s="1"/>
  <c r="G233" i="3" s="1"/>
  <c r="O394" i="3"/>
  <c r="E394" i="3" s="1"/>
  <c r="G394" i="3" s="1"/>
  <c r="O430" i="3"/>
  <c r="E430" i="3" s="1"/>
  <c r="O310" i="3"/>
  <c r="E310" i="3" s="1"/>
  <c r="G310" i="3" s="1"/>
  <c r="O442" i="3"/>
  <c r="E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O55" i="3"/>
  <c r="E55" i="3" s="1"/>
  <c r="G55" i="3" s="1"/>
  <c r="O393" i="3"/>
  <c r="E393" i="3" s="1"/>
  <c r="G393" i="3" s="1"/>
  <c r="O115" i="3"/>
  <c r="E115" i="3" s="1"/>
  <c r="O48" i="3"/>
  <c r="E48" i="3" s="1"/>
  <c r="G48" i="3" s="1"/>
  <c r="O416" i="3"/>
  <c r="E416" i="3" s="1"/>
  <c r="G416" i="3" s="1"/>
  <c r="O140" i="3"/>
  <c r="E140" i="3" s="1"/>
  <c r="O242" i="3"/>
  <c r="E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O142" i="3"/>
  <c r="E142" i="3" s="1"/>
  <c r="O89" i="3"/>
  <c r="E89" i="3" s="1"/>
  <c r="G89" i="3" s="1"/>
  <c r="O378" i="3"/>
  <c r="E378" i="3" s="1"/>
  <c r="G378" i="3" s="1"/>
  <c r="O469" i="3"/>
  <c r="E469" i="3" s="1"/>
  <c r="O397" i="3"/>
  <c r="E397" i="3" s="1"/>
  <c r="G397" i="3" s="1"/>
  <c r="O292" i="3"/>
  <c r="E292" i="3" s="1"/>
  <c r="O23" i="3"/>
  <c r="E23" i="3" s="1"/>
  <c r="G23" i="3" s="1"/>
  <c r="O318" i="3"/>
  <c r="E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O417" i="3"/>
  <c r="E417" i="3" s="1"/>
  <c r="G417" i="3" s="1"/>
  <c r="O284" i="3"/>
  <c r="E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O129" i="3"/>
  <c r="E129" i="3" s="1"/>
  <c r="G129" i="3" s="1"/>
  <c r="O44" i="3"/>
  <c r="E44" i="3" s="1"/>
  <c r="O14" i="3"/>
  <c r="E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E251" i="3"/>
  <c r="G251" i="3" s="1"/>
  <c r="O441" i="3"/>
  <c r="E441" i="3" s="1"/>
  <c r="O207" i="3"/>
  <c r="E207" i="3" s="1"/>
  <c r="G207" i="3" s="1"/>
  <c r="O159" i="3"/>
  <c r="E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O357" i="3"/>
  <c r="E357" i="3" s="1"/>
  <c r="O151" i="3"/>
  <c r="E151" i="3" s="1"/>
  <c r="G151" i="3" s="1"/>
  <c r="O379" i="3"/>
  <c r="E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O479" i="3"/>
  <c r="E479" i="3" s="1"/>
  <c r="G479" i="3" s="1"/>
  <c r="O487" i="3"/>
  <c r="E487" i="3" s="1"/>
  <c r="O446" i="3"/>
  <c r="E446" i="3" s="1"/>
  <c r="G446" i="3" s="1"/>
  <c r="O358" i="3"/>
  <c r="E358" i="3" s="1"/>
  <c r="G358" i="3" s="1"/>
  <c r="O493" i="3"/>
  <c r="E493" i="3" s="1"/>
  <c r="O453" i="3"/>
  <c r="E453" i="3" s="1"/>
  <c r="G453" i="3" s="1"/>
  <c r="O333" i="3"/>
  <c r="E333" i="3" s="1"/>
  <c r="G333" i="3" s="1"/>
  <c r="O108" i="3"/>
  <c r="E108" i="3" s="1"/>
  <c r="O25" i="3"/>
  <c r="E25" i="3" s="1"/>
  <c r="O402" i="3"/>
  <c r="E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O313" i="3"/>
  <c r="E313" i="3" s="1"/>
  <c r="G313" i="3" s="1"/>
  <c r="O228" i="3"/>
  <c r="E228" i="3" s="1"/>
  <c r="O100" i="3"/>
  <c r="E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O247" i="3"/>
  <c r="E247" i="3" s="1"/>
  <c r="G247" i="3" s="1"/>
  <c r="O376" i="3"/>
  <c r="E376" i="3" s="1"/>
  <c r="G376" i="3" s="1"/>
  <c r="G484" i="3"/>
  <c r="G156" i="3"/>
  <c r="G53" i="3"/>
  <c r="G74" i="3"/>
  <c r="G241" i="3"/>
  <c r="G447" i="3"/>
  <c r="G242" i="3"/>
  <c r="G228" i="3"/>
  <c r="G141" i="3"/>
  <c r="G121" i="3"/>
  <c r="G231" i="3"/>
  <c r="G206" i="3"/>
  <c r="G140" i="3"/>
  <c r="G438" i="3"/>
  <c r="G274" i="3"/>
  <c r="G380" i="3"/>
  <c r="G498" i="3"/>
  <c r="G332" i="3"/>
  <c r="G115" i="3"/>
  <c r="G413" i="3"/>
  <c r="G437" i="3"/>
  <c r="G32" i="3"/>
  <c r="G285" i="3"/>
  <c r="G344" i="3"/>
  <c r="G146" i="3"/>
  <c r="G489" i="3"/>
  <c r="G100" i="3"/>
  <c r="G284" i="3"/>
  <c r="G97" i="3"/>
  <c r="G243" i="3"/>
  <c r="G292" i="3"/>
  <c r="G496" i="3"/>
  <c r="G92" i="3"/>
  <c r="G351" i="3"/>
  <c r="G116" i="3"/>
  <c r="G343" i="3"/>
  <c r="G476" i="3"/>
  <c r="G165" i="3"/>
  <c r="G109" i="3"/>
  <c r="G443" i="3"/>
  <c r="G263" i="3"/>
  <c r="G198" i="3"/>
  <c r="G469" i="3"/>
  <c r="G293" i="3"/>
  <c r="G59" i="3"/>
  <c r="G486" i="3"/>
  <c r="G195" i="3"/>
  <c r="G7" i="3"/>
  <c r="G460" i="3"/>
  <c r="G236" i="3"/>
  <c r="G348" i="3"/>
  <c r="G162" i="3"/>
  <c r="G180" i="3"/>
  <c r="G36" i="3"/>
  <c r="G487" i="3"/>
  <c r="G434" i="3"/>
  <c r="G368" i="3"/>
  <c r="G325" i="3"/>
  <c r="G282" i="3"/>
  <c r="G43" i="3"/>
  <c r="G402" i="3"/>
  <c r="G179" i="3"/>
  <c r="G159" i="3"/>
  <c r="G457" i="3"/>
  <c r="G441" i="3"/>
  <c r="G232" i="3"/>
  <c r="G160" i="3"/>
  <c r="G239" i="3"/>
  <c r="G202" i="3"/>
  <c r="G154" i="3"/>
  <c r="G237" i="3"/>
  <c r="G465" i="3"/>
  <c r="G201" i="3"/>
  <c r="G107" i="3"/>
  <c r="G425" i="3"/>
  <c r="G24" i="3"/>
  <c r="G185" i="3"/>
  <c r="G42" i="3"/>
  <c r="G499" i="3"/>
  <c r="G334" i="3"/>
  <c r="G177" i="3"/>
  <c r="G119" i="3"/>
  <c r="G90" i="3"/>
  <c r="G264" i="3"/>
  <c r="G377" i="3"/>
  <c r="G369" i="3"/>
  <c r="G256" i="3"/>
  <c r="G194" i="3"/>
  <c r="G210" i="3"/>
  <c r="G181" i="3"/>
  <c r="G238" i="3"/>
  <c r="G192" i="3"/>
  <c r="G44" i="3"/>
  <c r="G304" i="3"/>
  <c r="G175" i="3"/>
  <c r="G58" i="3"/>
  <c r="G357" i="3"/>
  <c r="G330" i="3"/>
  <c r="G366" i="3"/>
  <c r="G271" i="3"/>
  <c r="G167" i="3"/>
  <c r="G430" i="3"/>
  <c r="G25" i="3"/>
  <c r="G458" i="3"/>
  <c r="G187" i="3"/>
  <c r="G338" i="3"/>
  <c r="G400" i="3"/>
  <c r="G14" i="3"/>
  <c r="G118" i="3"/>
  <c r="G235" i="3"/>
  <c r="G379" i="3"/>
  <c r="G327" i="3"/>
  <c r="G132" i="3"/>
  <c r="G117" i="3"/>
  <c r="G273" i="3"/>
  <c r="G127" i="3"/>
  <c r="G407" i="3"/>
  <c r="G472" i="3"/>
  <c r="G176" i="3"/>
  <c r="G190" i="3"/>
  <c r="G323" i="3"/>
  <c r="G158" i="3"/>
  <c r="G442" i="3"/>
  <c r="G272" i="3"/>
  <c r="G189" i="3"/>
  <c r="G16" i="3"/>
  <c r="G468" i="3"/>
  <c r="G9" i="3"/>
  <c r="G500" i="3"/>
  <c r="G385" i="3"/>
  <c r="G131" i="3"/>
  <c r="G314" i="3"/>
  <c r="G20" i="3"/>
  <c r="G57" i="3"/>
  <c r="G312" i="3"/>
  <c r="G346" i="3"/>
  <c r="G142" i="3"/>
  <c r="G75" i="3"/>
  <c r="G267" i="3"/>
  <c r="G145" i="3"/>
  <c r="G122" i="3"/>
  <c r="G471" i="3"/>
  <c r="G404" i="3"/>
  <c r="G120" i="3"/>
  <c r="G234" i="3"/>
  <c r="G108" i="3"/>
  <c r="G466" i="3"/>
  <c r="G474" i="3"/>
  <c r="G63" i="3"/>
  <c r="G252" i="3"/>
  <c r="G22" i="3"/>
  <c r="G492" i="3"/>
  <c r="G203" i="3"/>
  <c r="G493" i="3"/>
  <c r="G318" i="3"/>
  <c r="G52" i="3"/>
  <c r="G101" i="3"/>
  <c r="G328" i="3"/>
  <c r="G361" i="3"/>
  <c r="G365" i="3"/>
  <c r="O31" i="2"/>
  <c r="T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R17" i="4" l="1"/>
  <c r="R3" i="4" s="1"/>
  <c r="Q3" i="4" s="1"/>
  <c r="V17" i="4"/>
  <c r="V16" i="4" s="1"/>
  <c r="U16" i="4" s="1"/>
  <c r="T3" i="4"/>
  <c r="S3" i="4" s="1"/>
  <c r="T7" i="4"/>
  <c r="S7" i="4" s="1"/>
  <c r="T4" i="4"/>
  <c r="S4" i="4" s="1"/>
  <c r="T12" i="4"/>
  <c r="S12" i="4" s="1"/>
  <c r="T16" i="4"/>
  <c r="S16" i="4" s="1"/>
  <c r="T6" i="4"/>
  <c r="S6" i="4" s="1"/>
  <c r="T13" i="4"/>
  <c r="S13" i="4" s="1"/>
  <c r="S17" i="4"/>
  <c r="T8" i="4"/>
  <c r="S8" i="4" s="1"/>
  <c r="T11" i="4"/>
  <c r="S11" i="4" s="1"/>
  <c r="T10" i="4"/>
  <c r="S10" i="4" s="1"/>
  <c r="T5" i="4"/>
  <c r="S5" i="4" s="1"/>
  <c r="T14" i="4"/>
  <c r="S14" i="4" s="1"/>
  <c r="T15" i="4"/>
  <c r="S15" i="4" s="1"/>
  <c r="T9" i="4"/>
  <c r="S9" i="4" s="1"/>
  <c r="U17" i="4"/>
  <c r="R15" i="4"/>
  <c r="Q15" i="4" s="1"/>
  <c r="V6" i="4"/>
  <c r="U6" i="4" s="1"/>
  <c r="V7" i="4"/>
  <c r="U7" i="4" s="1"/>
  <c r="R14" i="4"/>
  <c r="Q14" i="4" s="1"/>
  <c r="R5" i="4"/>
  <c r="Q5" i="4" s="1"/>
  <c r="V11" i="4"/>
  <c r="U11" i="4" s="1"/>
  <c r="V13" i="4"/>
  <c r="U13" i="4" s="1"/>
  <c r="Q17" i="4"/>
  <c r="AA3" i="4"/>
  <c r="J3" i="4"/>
  <c r="V10" i="4"/>
  <c r="U10" i="4" s="1"/>
  <c r="V3" i="4"/>
  <c r="U3" i="4" s="1"/>
  <c r="R9" i="4"/>
  <c r="Q9" i="4" s="1"/>
  <c r="V4" i="4"/>
  <c r="U4" i="4" s="1"/>
  <c r="V9" i="4"/>
  <c r="U9" i="4" s="1"/>
  <c r="R13" i="4"/>
  <c r="Q13" i="4" s="1"/>
  <c r="V14" i="4"/>
  <c r="U14" i="4" s="1"/>
  <c r="R12" i="4"/>
  <c r="Q12" i="4" s="1"/>
  <c r="R16" i="4"/>
  <c r="Q16" i="4" s="1"/>
  <c r="V5" i="4"/>
  <c r="U5" i="4" s="1"/>
  <c r="V12" i="4"/>
  <c r="U12" i="4" s="1"/>
  <c r="R7" i="4"/>
  <c r="Q7" i="4" s="1"/>
  <c r="V8" i="4"/>
  <c r="U8" i="4" s="1"/>
  <c r="R11" i="4"/>
  <c r="Q11" i="4" s="1"/>
  <c r="R8" i="4"/>
  <c r="Q8" i="4" s="1"/>
  <c r="V15" i="4"/>
  <c r="U15" i="4" s="1"/>
  <c r="R10" i="4"/>
  <c r="Q10" i="4" s="1"/>
  <c r="R6" i="4"/>
  <c r="Q6" i="4" s="1"/>
  <c r="R4" i="4"/>
  <c r="Q4" i="4" s="1"/>
  <c r="AA13" i="4" l="1"/>
  <c r="J13" i="4"/>
  <c r="J11" i="4"/>
  <c r="AA11" i="4"/>
  <c r="AA7" i="4"/>
  <c r="J7" i="4"/>
  <c r="AA4" i="4"/>
  <c r="J4" i="4"/>
  <c r="AA9" i="4"/>
  <c r="J9" i="4"/>
  <c r="AA5" i="4"/>
  <c r="J5" i="4"/>
  <c r="AA6" i="4"/>
  <c r="J6" i="4"/>
  <c r="J14" i="4"/>
  <c r="AA14" i="4"/>
  <c r="J10" i="4"/>
  <c r="AA10" i="4"/>
  <c r="AA16" i="4"/>
  <c r="J16" i="4"/>
  <c r="AA17" i="4"/>
  <c r="J17" i="4"/>
  <c r="AA12" i="4"/>
  <c r="J12" i="4"/>
  <c r="AA8" i="4"/>
  <c r="J8" i="4"/>
  <c r="AD2" i="4"/>
  <c r="AC2" i="4"/>
  <c r="J15" i="4"/>
  <c r="AA15" i="4"/>
  <c r="AD16" i="4" l="1"/>
  <c r="AC16" i="4"/>
  <c r="AD5" i="4"/>
  <c r="AC5" i="4"/>
  <c r="AC6" i="4"/>
  <c r="AD6" i="4"/>
  <c r="AD11" i="4"/>
  <c r="AC11" i="4"/>
  <c r="AC3" i="4"/>
  <c r="AD3" i="4"/>
  <c r="AC10" i="4"/>
  <c r="AD10" i="4"/>
  <c r="AC14" i="4"/>
  <c r="AD14" i="4"/>
  <c r="AD15" i="4"/>
  <c r="AC15" i="4"/>
  <c r="AD4" i="4"/>
  <c r="AC4" i="4"/>
  <c r="AD9" i="4"/>
  <c r="AC9" i="4"/>
  <c r="AD13" i="4"/>
  <c r="AC13" i="4"/>
  <c r="AD7" i="4"/>
  <c r="AC7" i="4"/>
  <c r="AC8" i="4"/>
  <c r="AD8" i="4"/>
  <c r="AD12" i="4"/>
  <c r="AC12" i="4"/>
  <c r="K31" i="19" l="1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J30" i="19"/>
  <c r="D4187" i="23" s="1"/>
  <c r="J15" i="19"/>
  <c r="D4172" i="23" s="1"/>
  <c r="J16" i="19"/>
  <c r="D4173" i="23" s="1"/>
  <c r="J17" i="19"/>
  <c r="D4174" i="23" s="1"/>
  <c r="J14" i="19"/>
  <c r="D4171" i="23" s="1"/>
  <c r="K13" i="19"/>
  <c r="K15" i="19"/>
  <c r="AE5" i="4" s="1"/>
  <c r="K9" i="19"/>
  <c r="AE3" i="4" s="1"/>
  <c r="K27" i="19"/>
  <c r="J6" i="19"/>
  <c r="D4163" i="23" s="1"/>
  <c r="K7" i="19"/>
  <c r="AC5" i="6"/>
  <c r="K19" i="19"/>
  <c r="AE7" i="4" s="1"/>
  <c r="K29" i="19"/>
  <c r="K14" i="19"/>
  <c r="AC21" i="6"/>
  <c r="K28" i="19"/>
  <c r="AE15" i="4" s="1"/>
  <c r="K6" i="19"/>
  <c r="AE2" i="4" s="1"/>
  <c r="K18" i="19"/>
  <c r="K16" i="19"/>
  <c r="AC17" i="6"/>
  <c r="K4" i="19"/>
  <c r="J5" i="19"/>
  <c r="D4162" i="23" s="1"/>
  <c r="K23" i="19"/>
  <c r="AE10" i="4" s="1"/>
  <c r="K20" i="19"/>
  <c r="K12" i="19"/>
  <c r="AE4" i="4" s="1"/>
  <c r="K21" i="19"/>
  <c r="AE8" i="4" s="1"/>
  <c r="K5" i="19"/>
  <c r="J29" i="19"/>
  <c r="D4186" i="23" s="1"/>
  <c r="AC3" i="6"/>
  <c r="AC18" i="6"/>
  <c r="AC15" i="6"/>
  <c r="K17" i="19"/>
  <c r="AE6" i="4" s="1"/>
  <c r="K11" i="19"/>
  <c r="K10" i="19"/>
  <c r="K8" i="19"/>
  <c r="J12" i="19"/>
  <c r="D4169" i="23" s="1"/>
  <c r="K26" i="19"/>
  <c r="AE13" i="4" s="1"/>
  <c r="K22" i="19"/>
  <c r="K30" i="19"/>
  <c r="K24" i="19"/>
  <c r="AE11" i="4" s="1"/>
  <c r="K25" i="19"/>
  <c r="N9" i="19"/>
  <c r="N30" i="19"/>
  <c r="N10" i="19"/>
  <c r="N11" i="19"/>
  <c r="N5" i="19"/>
  <c r="N17" i="19"/>
  <c r="AD9" i="6" s="1"/>
  <c r="N12" i="19"/>
  <c r="AD4" i="6" s="1"/>
  <c r="N4" i="19"/>
  <c r="N27" i="19"/>
  <c r="AD20" i="6" s="1"/>
  <c r="N24" i="19"/>
  <c r="N6" i="19"/>
  <c r="N21" i="19"/>
  <c r="AD14" i="6" s="1"/>
  <c r="N18" i="19"/>
  <c r="AD10" i="6" s="1"/>
  <c r="N28" i="19"/>
  <c r="AD21" i="6" s="1"/>
  <c r="N8" i="19"/>
  <c r="N14" i="19"/>
  <c r="N26" i="19"/>
  <c r="N25" i="19"/>
  <c r="AD18" i="6" s="1"/>
  <c r="AD6" i="6"/>
  <c r="N16" i="19"/>
  <c r="AD8" i="6" s="1"/>
  <c r="N20" i="19"/>
  <c r="AD12" i="6" s="1"/>
  <c r="N19" i="19"/>
  <c r="AD11" i="6" s="1"/>
  <c r="N13" i="19"/>
  <c r="AD5" i="6" s="1"/>
  <c r="N29" i="19"/>
  <c r="AD22" i="6" s="1"/>
  <c r="O30" i="19"/>
  <c r="O22" i="19"/>
  <c r="O26" i="19"/>
  <c r="AF13" i="4" s="1"/>
  <c r="O9" i="19"/>
  <c r="AF3" i="4" s="1"/>
  <c r="L3" i="4" s="1"/>
  <c r="O5" i="19"/>
  <c r="O4" i="19"/>
  <c r="O21" i="19"/>
  <c r="AF8" i="4" s="1"/>
  <c r="O8" i="19"/>
  <c r="O10" i="19"/>
  <c r="O16" i="19"/>
  <c r="O24" i="19"/>
  <c r="AF11" i="4" s="1"/>
  <c r="O12" i="19"/>
  <c r="AF4" i="4" s="1"/>
  <c r="O25" i="19"/>
  <c r="AF12" i="4" s="1"/>
  <c r="O14" i="19"/>
  <c r="O11" i="19"/>
  <c r="O29" i="19"/>
  <c r="AF16" i="4" s="1"/>
  <c r="O27" i="19"/>
  <c r="AF14" i="4" s="1"/>
  <c r="O20" i="19"/>
  <c r="N23" i="19"/>
  <c r="AD16" i="6" s="1"/>
  <c r="O7" i="19"/>
  <c r="N7" i="19"/>
  <c r="N22" i="19"/>
  <c r="AD15" i="6" s="1"/>
  <c r="O15" i="19"/>
  <c r="AF5" i="4" s="1"/>
  <c r="O6" i="19"/>
  <c r="AF2" i="4" s="1"/>
  <c r="O19" i="19"/>
  <c r="AF7" i="4" s="1"/>
  <c r="N15" i="19"/>
  <c r="O28" i="19"/>
  <c r="AF15" i="4" s="1"/>
  <c r="O13" i="19"/>
  <c r="O17" i="19"/>
  <c r="AF6" i="4" s="1"/>
  <c r="O18" i="19"/>
  <c r="O23" i="19"/>
  <c r="AF10" i="4" s="1"/>
  <c r="AF9" i="4"/>
  <c r="AC31" i="5" l="1"/>
  <c r="I31" i="5" s="1"/>
  <c r="J5" i="6"/>
  <c r="AC6" i="6"/>
  <c r="L4" i="4"/>
  <c r="AC20" i="6"/>
  <c r="AC101" i="5"/>
  <c r="I101" i="5" s="1"/>
  <c r="L7" i="4"/>
  <c r="AC71" i="5"/>
  <c r="I71" i="5" s="1"/>
  <c r="AC14" i="6"/>
  <c r="J14" i="6" s="1"/>
  <c r="L15" i="4"/>
  <c r="L11" i="4"/>
  <c r="J6" i="6"/>
  <c r="AC8" i="6"/>
  <c r="AC10" i="6"/>
  <c r="J10" i="6" s="1"/>
  <c r="AC10" i="5"/>
  <c r="I10" i="5" s="1"/>
  <c r="AC11" i="5"/>
  <c r="AC7" i="6"/>
  <c r="J21" i="6"/>
  <c r="AC37" i="5"/>
  <c r="I37" i="5" s="1"/>
  <c r="AC82" i="5"/>
  <c r="I82" i="5" s="1"/>
  <c r="AC14" i="5"/>
  <c r="I14" i="5" s="1"/>
  <c r="J18" i="6"/>
  <c r="AC11" i="6"/>
  <c r="J11" i="6" s="1"/>
  <c r="AC50" i="5"/>
  <c r="I50" i="5" s="1"/>
  <c r="AC56" i="5"/>
  <c r="I56" i="5" s="1"/>
  <c r="AC33" i="5"/>
  <c r="I33" i="5" s="1"/>
  <c r="AC49" i="5"/>
  <c r="I49" i="5" s="1"/>
  <c r="AC44" i="5"/>
  <c r="I44" i="5" s="1"/>
  <c r="AC53" i="5"/>
  <c r="I53" i="5" s="1"/>
  <c r="AC12" i="6"/>
  <c r="J12" i="6" s="1"/>
  <c r="L13" i="4"/>
  <c r="AC19" i="6"/>
  <c r="AC80" i="5"/>
  <c r="I80" i="5" s="1"/>
  <c r="AC83" i="5"/>
  <c r="I83" i="5" s="1"/>
  <c r="AC8" i="5"/>
  <c r="I8" i="5" s="1"/>
  <c r="AC19" i="5"/>
  <c r="I19" i="5" s="1"/>
  <c r="AC28" i="5"/>
  <c r="I28" i="5" s="1"/>
  <c r="AC55" i="5"/>
  <c r="I55" i="5" s="1"/>
  <c r="AC4" i="5"/>
  <c r="I4" i="5" s="1"/>
  <c r="AC103" i="5"/>
  <c r="I103" i="5" s="1"/>
  <c r="J15" i="6"/>
  <c r="AC16" i="6"/>
  <c r="J16" i="6" s="1"/>
  <c r="AC102" i="5"/>
  <c r="I102" i="5" s="1"/>
  <c r="AC60" i="5"/>
  <c r="I60" i="5" s="1"/>
  <c r="AC46" i="5"/>
  <c r="I46" i="5" s="1"/>
  <c r="AC27" i="5"/>
  <c r="I27" i="5" s="1"/>
  <c r="L5" i="4"/>
  <c r="L6" i="4"/>
  <c r="AC70" i="5"/>
  <c r="I70" i="5" s="1"/>
  <c r="AC2" i="6"/>
  <c r="AC90" i="5"/>
  <c r="I90" i="5" s="1"/>
  <c r="AC73" i="5"/>
  <c r="I73" i="5" s="1"/>
  <c r="AC61" i="5"/>
  <c r="I61" i="5" s="1"/>
  <c r="AC54" i="5"/>
  <c r="I54" i="5" s="1"/>
  <c r="L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J8" i="6"/>
  <c r="AC76" i="5"/>
  <c r="I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C15" i="5"/>
  <c r="I15" i="5" s="1"/>
  <c r="AC16" i="5"/>
  <c r="I16" i="5" s="1"/>
  <c r="AE14" i="4"/>
  <c r="L14" i="4" s="1"/>
  <c r="D4642" i="23"/>
  <c r="D4993" i="23"/>
  <c r="D4643" i="23"/>
  <c r="D4994" i="23"/>
  <c r="AC66" i="5"/>
  <c r="I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C100" i="5"/>
  <c r="I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C81" i="5"/>
  <c r="I81" i="5" s="1"/>
  <c r="AC51" i="5"/>
  <c r="I51" i="5" s="1"/>
  <c r="AC25" i="5"/>
  <c r="I25" i="5" s="1"/>
  <c r="AC40" i="5"/>
  <c r="I40" i="5" s="1"/>
  <c r="AC29" i="5"/>
  <c r="I29" i="5" s="1"/>
  <c r="AC57" i="5"/>
  <c r="I57" i="5" s="1"/>
  <c r="AC30" i="5"/>
  <c r="I30" i="5" s="1"/>
  <c r="AC26" i="5"/>
  <c r="I26" i="5" s="1"/>
  <c r="AC23" i="5"/>
  <c r="I23" i="5" s="1"/>
  <c r="AE16" i="4"/>
  <c r="L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C93" i="5"/>
  <c r="I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C59" i="5"/>
  <c r="I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C77" i="5"/>
  <c r="I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C79" i="5"/>
  <c r="I79" i="5" s="1"/>
  <c r="AC9" i="5"/>
  <c r="I9" i="5" s="1"/>
  <c r="AC5" i="5"/>
  <c r="I5" i="5" s="1"/>
  <c r="AC99" i="5"/>
  <c r="I99" i="5" s="1"/>
  <c r="AC3" i="5"/>
  <c r="I3" i="5" s="1"/>
  <c r="AC6" i="5"/>
  <c r="I6" i="5" s="1"/>
  <c r="AC86" i="5"/>
  <c r="I86" i="5" s="1"/>
  <c r="AC78" i="5"/>
  <c r="I78" i="5" s="1"/>
  <c r="AC87" i="5"/>
  <c r="I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C65" i="5"/>
  <c r="I65" i="5" s="1"/>
  <c r="AC34" i="5"/>
  <c r="I34" i="5" s="1"/>
  <c r="AC7" i="5"/>
  <c r="I7" i="5" s="1"/>
  <c r="AC72" i="5"/>
  <c r="I72" i="5" s="1"/>
  <c r="AC92" i="5"/>
  <c r="I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C35" i="5"/>
  <c r="I35" i="5" s="1"/>
  <c r="AC17" i="5"/>
  <c r="I17" i="5" s="1"/>
  <c r="AC21" i="5"/>
  <c r="I21" i="5" s="1"/>
  <c r="AC68" i="5"/>
  <c r="I68" i="5" s="1"/>
  <c r="AC36" i="5"/>
  <c r="I36" i="5" s="1"/>
  <c r="AC38" i="5"/>
  <c r="I38" i="5" s="1"/>
  <c r="AE9" i="4"/>
  <c r="L9" i="4" s="1"/>
  <c r="L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J20" i="6"/>
  <c r="AC67" i="5"/>
  <c r="I67" i="5" s="1"/>
  <c r="AC4" i="6"/>
  <c r="J4" i="6" s="1"/>
  <c r="D4623" i="23"/>
  <c r="D4974" i="23"/>
  <c r="D4986" i="23"/>
  <c r="D4635" i="23"/>
  <c r="D4644" i="23"/>
  <c r="D4995" i="23"/>
  <c r="D4997" i="23"/>
  <c r="D4646" i="23"/>
  <c r="AC9" i="6"/>
  <c r="J9" i="6" s="1"/>
  <c r="AC85" i="5"/>
  <c r="I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C47" i="5"/>
  <c r="I47" i="5" s="1"/>
  <c r="AC39" i="5"/>
  <c r="I39" i="5" s="1"/>
  <c r="AC69" i="5"/>
  <c r="I69" i="5" s="1"/>
  <c r="AC88" i="5"/>
  <c r="I88" i="5" s="1"/>
  <c r="AC41" i="5"/>
  <c r="I41" i="5" s="1"/>
  <c r="AC96" i="5"/>
  <c r="I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C95" i="5"/>
  <c r="I95" i="5" s="1"/>
  <c r="AC45" i="5"/>
  <c r="I45" i="5" s="1"/>
  <c r="AD7" i="6"/>
  <c r="J7" i="6" s="1"/>
  <c r="D4980" i="23"/>
  <c r="D4629" i="23"/>
  <c r="D4621" i="23"/>
  <c r="D4972" i="23"/>
  <c r="D4636" i="23"/>
  <c r="D4987" i="23"/>
  <c r="D4985" i="23"/>
  <c r="D4634" i="23"/>
  <c r="AD19" i="6"/>
  <c r="AD2" i="6"/>
  <c r="J2" i="6" s="1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C43" i="5"/>
  <c r="I43" i="5" s="1"/>
  <c r="AC58" i="5"/>
  <c r="I58" i="5" s="1"/>
  <c r="AC48" i="5"/>
  <c r="I48" i="5" s="1"/>
  <c r="AC75" i="5"/>
  <c r="I75" i="5" s="1"/>
  <c r="AC24" i="5"/>
  <c r="I24" i="5" s="1"/>
  <c r="AC98" i="5"/>
  <c r="I98" i="5" s="1"/>
  <c r="AC91" i="5"/>
  <c r="I91" i="5" s="1"/>
  <c r="AC89" i="5"/>
  <c r="I89" i="5" s="1"/>
  <c r="AE12" i="4"/>
  <c r="L12" i="4" s="1"/>
  <c r="D4633" i="23"/>
  <c r="D4984" i="23"/>
  <c r="D4641" i="23"/>
  <c r="D4992" i="23"/>
  <c r="L2" i="4"/>
  <c r="D4990" i="23"/>
  <c r="D4639" i="23"/>
  <c r="D4632" i="23"/>
  <c r="D4983" i="23"/>
  <c r="D4637" i="23"/>
  <c r="D4988" i="23"/>
  <c r="AD17" i="6"/>
  <c r="J17" i="6" s="1"/>
  <c r="D4627" i="23"/>
  <c r="D4978" i="23"/>
  <c r="AD3" i="6"/>
  <c r="J3" i="6" s="1"/>
  <c r="AC22" i="6"/>
  <c r="J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C18" i="5"/>
  <c r="I18" i="5" s="1"/>
  <c r="AC97" i="5"/>
  <c r="I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C13" i="5"/>
  <c r="I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C20" i="5"/>
  <c r="I20" i="5" s="1"/>
  <c r="J19" i="6" l="1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C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N2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<sst xmlns="http://schemas.openxmlformats.org/spreadsheetml/2006/main" count="17762" uniqueCount="4079">
  <si>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</si>
  <si>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</si>
  <si>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</si>
  <si>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</si>
  <si>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</si>
  <si>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</si>
  <si>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</si>
  <si>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</si>
  <si>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</si>
  <si>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</si>
  <si>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</si>
  <si>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</si>
  <si>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</si>
  <si>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</si>
  <si>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</si>
  <si>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</si>
  <si>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</si>
  <si>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</si>
  <si>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</si>
  <si>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</si>
  <si>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</si>
  <si>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</si>
  <si>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</si>
  <si>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</si>
  <si>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</si>
  <si>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</si>
  <si>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</si>
  <si>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</si>
  <si>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</si>
  <si>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</si>
  <si>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</si>
  <si>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</si>
  <si>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</si>
  <si>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</si>
  <si>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</si>
  <si>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</si>
  <si>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</si>
  <si>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</si>
  <si>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</si>
  <si>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</si>
  <si>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</si>
  <si>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</si>
  <si>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</si>
  <si>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</si>
  <si>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</si>
  <si>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</si>
  <si>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</si>
  <si>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</si>
  <si>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</si>
  <si>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</si>
  <si>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</si>
  <si>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</si>
  <si>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</si>
  <si>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</si>
  <si>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</si>
  <si>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</si>
  <si>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</si>
  <si>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</si>
  <si>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</si>
  <si>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</si>
  <si>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</si>
  <si>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</si>
  <si>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</si>
  <si>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</si>
  <si>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</si>
  <si>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</si>
  <si>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</si>
  <si>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</si>
  <si>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</si>
  <si>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</si>
  <si>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</si>
  <si>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</si>
  <si>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</si>
  <si>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</si>
  <si>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</si>
  <si>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</si>
  <si>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</si>
  <si>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</si>
  <si>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</si>
  <si>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</si>
  <si>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打怪爆率1%</t>
    <phoneticPr fontId="1" type="noConversion"/>
  </si>
  <si>
    <t>八品骑士</t>
    <phoneticPr fontId="1" type="noConversion"/>
  </si>
  <si>
    <t>打怪爆率2%</t>
  </si>
  <si>
    <t>七品前锋</t>
    <phoneticPr fontId="1" type="noConversion"/>
  </si>
  <si>
    <t>打怪爆率3%</t>
  </si>
  <si>
    <t>六品护卫</t>
    <phoneticPr fontId="1" type="noConversion"/>
  </si>
  <si>
    <t>打怪爆率5%</t>
  </si>
  <si>
    <t>战士</t>
    <phoneticPr fontId="1" type="noConversion"/>
  </si>
  <si>
    <t>五品佐领</t>
    <phoneticPr fontId="1" type="noConversion"/>
  </si>
  <si>
    <t>打怪爆率7%</t>
  </si>
  <si>
    <t>法师</t>
    <phoneticPr fontId="1" type="noConversion"/>
  </si>
  <si>
    <t>四品参将</t>
    <phoneticPr fontId="1" type="noConversion"/>
  </si>
  <si>
    <t>打怪爆率9%</t>
  </si>
  <si>
    <t>道士</t>
    <phoneticPr fontId="1" type="noConversion"/>
  </si>
  <si>
    <t>三品大将</t>
    <phoneticPr fontId="1" type="noConversion"/>
  </si>
  <si>
    <t>打怪爆率11%</t>
    <phoneticPr fontId="1" type="noConversion"/>
  </si>
  <si>
    <t>二品将军</t>
    <phoneticPr fontId="1" type="noConversion"/>
  </si>
  <si>
    <t>打怪爆率13%</t>
    <phoneticPr fontId="1" type="noConversion"/>
  </si>
  <si>
    <t>一品统帅</t>
    <phoneticPr fontId="1" type="noConversion"/>
  </si>
  <si>
    <t>打怪爆率15%</t>
    <phoneticPr fontId="1" type="noConversion"/>
  </si>
  <si>
    <t>辅国公</t>
    <phoneticPr fontId="1" type="noConversion"/>
  </si>
  <si>
    <t>打怪爆率17%</t>
    <phoneticPr fontId="1" type="noConversion"/>
  </si>
  <si>
    <t>大都督</t>
    <phoneticPr fontId="1" type="noConversion"/>
  </si>
  <si>
    <t>打怪爆率20%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</si>
  <si>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</si>
  <si>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</si>
  <si>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</si>
  <si>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</si>
  <si>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</si>
  <si>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</si>
  <si>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</si>
  <si>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</si>
  <si>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</si>
  <si>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</si>
  <si>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</si>
  <si>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</si>
  <si>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</si>
  <si>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</si>
  <si>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</si>
  <si>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</si>
  <si>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</si>
  <si>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</si>
  <si>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</si>
  <si>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</si>
  <si>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</si>
  <si>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</si>
  <si>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</si>
  <si>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</si>
  <si>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</si>
  <si>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</si>
  <si>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</si>
  <si>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</si>
  <si>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</si>
  <si>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</si>
  <si>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</si>
  <si>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</si>
  <si>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</si>
  <si>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</si>
  <si>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</si>
  <si>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</si>
  <si>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</si>
  <si>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</si>
  <si>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</si>
  <si>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</si>
  <si>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</si>
  <si>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</si>
  <si>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</si>
  <si>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</si>
  <si>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</si>
  <si>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</si>
  <si>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</si>
  <si>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</si>
  <si>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</si>
  <si>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</si>
  <si>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</si>
  <si>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</si>
  <si>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</si>
  <si>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</si>
  <si>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</si>
  <si>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</si>
  <si>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</si>
  <si>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</si>
  <si>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</si>
  <si>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</si>
  <si>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</si>
  <si>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</si>
  <si>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</si>
  <si>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</si>
  <si>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</si>
  <si>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</si>
  <si>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</si>
  <si>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</si>
  <si>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</si>
  <si>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</si>
  <si>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</si>
  <si>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</si>
  <si>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</si>
  <si>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</si>
  <si>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</si>
  <si>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</si>
  <si>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</si>
  <si>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</si>
  <si>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</si>
  <si>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</si>
  <si>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</si>
  <si>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</si>
  <si>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</si>
  <si>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</si>
  <si>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</si>
  <si>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</si>
  <si>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</si>
  <si>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</si>
  <si>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</si>
  <si>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</si>
  <si>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</si>
  <si>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</si>
  <si>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</si>
  <si>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</si>
  <si>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</si>
  <si>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</si>
  <si>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</si>
  <si>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</si>
  <si>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</si>
  <si>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</si>
  <si>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</si>
  <si>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</si>
  <si>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</si>
  <si>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</si>
  <si>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</si>
  <si>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</si>
  <si>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</si>
  <si>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</si>
  <si>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</si>
  <si>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</si>
  <si>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</si>
  <si>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</si>
  <si>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</si>
  <si>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</si>
  <si>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</si>
  <si>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</si>
  <si>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</si>
  <si>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</si>
  <si>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</si>
  <si>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</si>
  <si>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</si>
  <si>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</si>
  <si>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</si>
  <si>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</si>
  <si>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</si>
  <si>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</si>
  <si>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</si>
  <si>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</si>
  <si>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</si>
  <si>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</si>
  <si>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</si>
  <si>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</si>
  <si>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</si>
  <si>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</si>
  <si>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</si>
  <si>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</si>
  <si>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</si>
  <si>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</si>
  <si>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</si>
  <si>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</si>
  <si>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</si>
  <si>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</si>
  <si>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</si>
  <si>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</si>
  <si>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</si>
  <si>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</si>
  <si>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</si>
  <si>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</si>
  <si>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</si>
  <si>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</si>
  <si>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</si>
  <si>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</si>
  <si>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</si>
  <si>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</si>
  <si>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</si>
  <si>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</si>
  <si>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</si>
  <si>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</si>
  <si>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</si>
  <si>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</si>
  <si>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</si>
  <si>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</si>
  <si>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</si>
  <si>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</si>
  <si>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</si>
  <si>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</si>
  <si>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</si>
  <si>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</si>
  <si>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</si>
  <si>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</si>
  <si>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</si>
  <si>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</si>
  <si>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</si>
  <si>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</si>
  <si>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</si>
  <si>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</si>
  <si>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</si>
  <si>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</si>
  <si>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</si>
  <si>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</si>
  <si>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</si>
  <si>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</si>
  <si>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</si>
  <si>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</si>
  <si>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</si>
  <si>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</si>
  <si>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</si>
  <si>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</si>
  <si>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</si>
  <si>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</si>
  <si>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</si>
  <si>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</si>
  <si>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</si>
  <si>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</si>
  <si>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</si>
  <si>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</si>
  <si>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</si>
  <si>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</si>
  <si>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</si>
  <si>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</si>
  <si>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</si>
  <si>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</si>
  <si>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</si>
  <si>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</si>
  <si>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</si>
  <si>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</si>
  <si>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</si>
  <si>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</si>
  <si>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</si>
  <si>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</si>
  <si>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</si>
  <si>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</si>
  <si>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</si>
  <si>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</si>
  <si>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</si>
  <si>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</si>
  <si>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</si>
  <si>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</si>
  <si>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</si>
  <si>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</si>
  <si>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</si>
  <si>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</si>
  <si>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</si>
  <si>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</si>
  <si>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</si>
  <si>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</si>
  <si>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</si>
  <si>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</si>
  <si>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</si>
  <si>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</si>
  <si>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</si>
  <si>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</si>
  <si>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</si>
  <si>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</si>
  <si>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</si>
  <si>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</si>
  <si>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</si>
  <si>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</si>
  <si>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</si>
  <si>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</si>
  <si>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</si>
  <si>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</si>
  <si>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</si>
  <si>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</si>
  <si>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</si>
  <si>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</si>
  <si>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</si>
  <si>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</si>
  <si>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</si>
  <si>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</si>
  <si>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</si>
  <si>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</si>
  <si>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</si>
  <si>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</si>
  <si>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</si>
  <si>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</si>
  <si>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</si>
  <si>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</si>
  <si>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</si>
  <si>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</si>
  <si>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</si>
  <si>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</si>
  <si>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</si>
  <si>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</si>
  <si>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</si>
  <si>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</si>
  <si>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</si>
  <si>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</si>
  <si>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</si>
  <si>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</si>
  <si>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</si>
  <si>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</si>
  <si>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</si>
  <si>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</si>
  <si>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</si>
  <si>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</si>
  <si>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</si>
  <si>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</si>
  <si>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</si>
  <si>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</si>
  <si>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</si>
  <si>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</si>
  <si>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</si>
  <si>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</si>
  <si>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</si>
  <si>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</si>
  <si>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</si>
  <si>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</si>
  <si>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</si>
  <si>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</si>
  <si>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</si>
  <si>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</si>
  <si>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</si>
  <si>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</si>
  <si>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</si>
  <si>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</si>
  <si>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</si>
  <si>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</si>
  <si>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</si>
  <si>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</si>
  <si>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</si>
  <si>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</si>
  <si>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</si>
  <si>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</si>
  <si>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</si>
  <si>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</si>
  <si>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</si>
  <si>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</si>
  <si>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</si>
  <si>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</si>
  <si>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</si>
  <si>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</si>
  <si>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</si>
  <si>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</si>
  <si>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</si>
  <si>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</si>
  <si>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</si>
  <si>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</si>
  <si>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</si>
  <si>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</si>
  <si>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</si>
  <si>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</si>
  <si>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</si>
  <si>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</si>
  <si>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</si>
  <si>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</si>
  <si>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</si>
  <si>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</si>
  <si>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</si>
  <si>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</si>
  <si>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</si>
  <si>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</si>
  <si>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</si>
  <si>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</si>
  <si>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</si>
  <si>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</si>
  <si>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</si>
  <si>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</si>
  <si>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</si>
  <si>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</si>
  <si>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</si>
  <si>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</si>
  <si>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</si>
  <si>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</si>
  <si>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</si>
  <si>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</si>
  <si>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</si>
  <si>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</si>
  <si>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</si>
  <si>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</si>
  <si>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</si>
  <si>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</si>
  <si>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</si>
  <si>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</si>
  <si>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</si>
  <si>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</si>
  <si>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</si>
  <si>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</si>
  <si>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</si>
  <si>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</si>
  <si>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</si>
  <si>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</si>
  <si>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</si>
  <si>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</si>
  <si>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</si>
  <si>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</si>
  <si>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</si>
  <si>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</si>
  <si>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</si>
  <si>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</si>
  <si>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</si>
  <si>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</si>
  <si>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</si>
  <si>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</si>
  <si>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</si>
  <si>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</si>
  <si>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</si>
  <si>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</si>
  <si>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</si>
  <si>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</si>
  <si>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</si>
  <si>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</si>
  <si>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</si>
  <si>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</si>
  <si>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</si>
  <si>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</si>
  <si>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</si>
  <si>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</si>
  <si>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</si>
  <si>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</si>
  <si>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</si>
  <si>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</si>
  <si>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</si>
  <si>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</si>
  <si>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</si>
  <si>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</si>
  <si>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</si>
  <si>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</si>
  <si>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</si>
  <si>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</si>
  <si>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</si>
  <si>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</si>
  <si>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</si>
  <si>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</si>
  <si>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</si>
  <si>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</si>
  <si>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</si>
  <si>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</si>
  <si>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</si>
  <si>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</si>
  <si>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</si>
  <si>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</si>
  <si>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</si>
  <si>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</si>
  <si>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</si>
  <si>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</si>
  <si>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</si>
  <si>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</si>
  <si>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</si>
  <si>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</si>
  <si>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</si>
  <si>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</si>
  <si>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</si>
  <si>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</si>
  <si>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</si>
  <si>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</si>
  <si>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</si>
  <si>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</si>
  <si>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</si>
  <si>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</si>
  <si>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</si>
  <si>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</si>
  <si>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</si>
  <si>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</si>
  <si>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</si>
  <si>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</si>
  <si>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</si>
  <si>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</si>
  <si>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</si>
  <si>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</si>
  <si>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</si>
  <si>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</si>
  <si>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</si>
  <si>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</si>
  <si>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</si>
  <si>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</si>
  <si>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</si>
  <si>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</si>
  <si>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</si>
  <si>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</si>
  <si>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</si>
  <si>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</si>
  <si>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</si>
  <si>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</si>
  <si>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</si>
  <si>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</si>
  <si>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</si>
  <si>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</si>
  <si>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</si>
  <si>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</si>
  <si>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</si>
  <si>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</si>
  <si>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</si>
  <si>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</si>
  <si>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</si>
  <si>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</si>
  <si>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</si>
  <si>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</si>
  <si>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</si>
  <si>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</si>
  <si>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</si>
  <si>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</si>
  <si>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</si>
  <si>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</si>
  <si>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</si>
  <si>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</si>
  <si>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</si>
  <si>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</si>
  <si>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</si>
  <si>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</si>
  <si>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</si>
  <si>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</si>
  <si>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</si>
  <si>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</si>
  <si>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</si>
  <si>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</si>
  <si>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</si>
  <si>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</si>
  <si>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</si>
  <si>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</si>
  <si>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</si>
  <si>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</si>
  <si>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</si>
  <si>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</si>
  <si>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</si>
  <si>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</si>
  <si>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</si>
  <si>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</si>
  <si>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</si>
  <si>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</si>
  <si>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</si>
  <si>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</si>
  <si>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</si>
  <si>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</si>
  <si>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</si>
  <si>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</si>
  <si>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</si>
  <si>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</si>
  <si>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</si>
  <si>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</si>
  <si>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</si>
  <si>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</si>
  <si>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</si>
  <si>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</si>
  <si>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</si>
  <si>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</si>
  <si>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</si>
  <si>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</si>
  <si>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</si>
  <si>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</si>
  <si>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</si>
  <si>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</si>
  <si>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</si>
  <si>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</si>
  <si>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</si>
  <si>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</si>
  <si>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</si>
  <si>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</si>
  <si>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</si>
  <si>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</si>
  <si>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</si>
  <si>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</si>
  <si>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</si>
  <si>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</si>
  <si>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</si>
  <si>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</si>
  <si>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</si>
  <si>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</si>
  <si>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</si>
  <si>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</si>
  <si>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</si>
  <si>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</si>
  <si>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</si>
  <si>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</si>
  <si>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</si>
  <si>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</si>
  <si>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</si>
  <si>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</si>
  <si>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</si>
  <si>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</si>
  <si>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</si>
  <si>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</si>
  <si>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</si>
  <si>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</si>
  <si>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</si>
  <si>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</si>
  <si>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</si>
  <si>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</si>
  <si>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</si>
  <si>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</si>
  <si>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</si>
  <si>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</si>
  <si>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</si>
  <si>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</si>
  <si>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</si>
  <si>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</si>
  <si>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</si>
  <si>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</si>
  <si>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</si>
  <si>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</si>
  <si>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</si>
  <si>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</si>
  <si>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</si>
  <si>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</si>
  <si>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</si>
  <si>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</si>
  <si>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</si>
  <si>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</si>
  <si>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</si>
  <si>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</si>
  <si>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</si>
  <si>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</si>
  <si>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</si>
  <si>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</si>
  <si>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</si>
  <si>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</si>
  <si>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</si>
  <si>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</si>
  <si>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</si>
  <si>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</si>
  <si>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</si>
  <si>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</si>
  <si>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</si>
  <si>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</si>
  <si>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</si>
  <si>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</si>
  <si>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</si>
  <si>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</si>
  <si>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</si>
  <si>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</si>
  <si>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</si>
  <si>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</si>
  <si>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</si>
  <si>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</si>
  <si>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</si>
  <si>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</si>
  <si>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</si>
  <si>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</si>
  <si>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</si>
  <si>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</si>
  <si>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</si>
  <si>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</si>
  <si>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</si>
  <si>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</si>
  <si>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</si>
  <si>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</si>
  <si>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</si>
  <si>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</si>
  <si>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</si>
  <si>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</si>
  <si>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</si>
  <si>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</si>
  <si>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</si>
  <si>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</si>
  <si>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</si>
  <si>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</si>
  <si>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</si>
  <si>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</si>
  <si>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</si>
  <si>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</si>
  <si>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</si>
  <si>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</si>
  <si>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</si>
  <si>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</si>
  <si>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</si>
  <si>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</si>
  <si>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</si>
  <si>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</si>
  <si>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</si>
  <si>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</si>
  <si>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</si>
  <si>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</si>
  <si>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</si>
  <si>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</si>
  <si>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</si>
  <si>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</si>
  <si>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</si>
  <si>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</si>
  <si>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</si>
  <si>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</si>
  <si>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</si>
  <si>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</si>
  <si>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</si>
  <si>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</si>
  <si>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</si>
  <si>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</si>
  <si>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</si>
  <si>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</si>
  <si>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</si>
  <si>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</si>
  <si>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</si>
  <si>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</si>
  <si>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</si>
  <si>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</si>
  <si>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</si>
  <si>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</si>
  <si>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</si>
  <si>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</si>
  <si>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</si>
  <si>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</si>
  <si>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</si>
  <si>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</si>
  <si>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</si>
  <si>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</si>
  <si>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</si>
  <si>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</si>
  <si>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</si>
  <si>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</si>
  <si>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</si>
  <si>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</si>
  <si>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</si>
  <si>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</si>
  <si>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</si>
  <si>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</si>
  <si>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</si>
  <si>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</si>
  <si>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</si>
  <si>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</si>
  <si>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</si>
  <si>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</si>
  <si>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</si>
  <si>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</si>
  <si>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</si>
  <si>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</si>
  <si>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</si>
  <si>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</si>
  <si>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</si>
  <si>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</si>
  <si>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</si>
  <si>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</si>
  <si>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</si>
  <si>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</si>
  <si>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</si>
  <si>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</si>
  <si>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</si>
  <si>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</si>
  <si>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</si>
  <si>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</si>
  <si>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</si>
  <si>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</si>
  <si>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</si>
  <si>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</si>
  <si>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</si>
  <si>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</si>
  <si>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</si>
  <si>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</si>
  <si>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</si>
  <si>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</si>
  <si>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</si>
  <si>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</si>
  <si>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</si>
  <si>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</si>
  <si>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</si>
  <si>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</si>
  <si>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</si>
  <si>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</si>
  <si>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</si>
  <si>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</si>
  <si>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</si>
  <si>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</si>
  <si>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</si>
  <si>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</si>
  <si>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</si>
  <si>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</si>
  <si>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</si>
  <si>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</si>
  <si>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</si>
  <si>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</si>
  <si>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</si>
  <si>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</si>
  <si>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</si>
  <si>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</si>
  <si>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</si>
  <si>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</si>
  <si>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</si>
  <si>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</si>
  <si>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</si>
  <si>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</si>
  <si>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</si>
  <si>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</si>
  <si>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</si>
  <si>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</si>
  <si>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</si>
  <si>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</si>
  <si>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</si>
  <si>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</si>
  <si>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</si>
  <si>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</si>
  <si>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</si>
  <si>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</si>
  <si>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</si>
  <si>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</si>
  <si>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</si>
  <si>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</si>
  <si>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</si>
  <si>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</si>
  <si>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</si>
  <si>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</si>
  <si>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</si>
  <si>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</si>
  <si>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</si>
  <si>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</si>
  <si>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</si>
  <si>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</si>
  <si>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</si>
  <si>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</si>
  <si>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</si>
  <si>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</si>
  <si>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</si>
  <si>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</si>
  <si>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</si>
  <si>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</si>
  <si>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</si>
  <si>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</si>
  <si>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</si>
  <si>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</si>
  <si>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</si>
  <si>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</si>
  <si>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</si>
  <si>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</si>
  <si>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</si>
  <si>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</si>
  <si>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</si>
  <si>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</si>
  <si>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</si>
  <si>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</si>
  <si>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</si>
  <si>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</si>
  <si>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</si>
  <si>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</si>
  <si>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</si>
  <si>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</si>
  <si>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</si>
  <si>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</si>
  <si>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</si>
  <si>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</si>
  <si>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</si>
  <si>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</si>
  <si>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</si>
  <si>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</si>
  <si>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</si>
  <si>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</si>
  <si>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</si>
  <si>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</si>
  <si>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</si>
  <si>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</si>
  <si>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</si>
  <si>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</si>
  <si>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</si>
  <si>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</si>
  <si>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</si>
  <si>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</si>
  <si>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</si>
  <si>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</si>
  <si>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</si>
  <si>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</si>
  <si>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</si>
  <si>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</si>
  <si>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</si>
  <si>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</si>
  <si>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</si>
  <si>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</si>
  <si>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</si>
  <si>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</si>
  <si>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</si>
  <si>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</si>
  <si>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</si>
  <si>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</si>
  <si>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</si>
  <si>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</si>
  <si>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</si>
  <si>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</si>
  <si>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</si>
  <si>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</si>
  <si>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</si>
  <si>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</si>
  <si>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</si>
  <si>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</si>
  <si>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</si>
  <si>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</si>
  <si>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</si>
  <si>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</si>
  <si>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</si>
  <si>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</si>
  <si>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</si>
  <si>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</si>
  <si>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</si>
  <si>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</si>
  <si>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</si>
  <si>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</si>
  <si>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</si>
  <si>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</si>
  <si>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</si>
  <si>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</si>
  <si>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</si>
  <si>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</si>
  <si>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</si>
  <si>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</si>
  <si>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</si>
  <si>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</si>
  <si>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</si>
  <si>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</si>
  <si>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</si>
  <si>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</si>
  <si>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</si>
  <si>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</si>
  <si>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</si>
  <si>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</si>
  <si>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</si>
  <si>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</si>
  <si>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</si>
  <si>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</si>
  <si>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</si>
  <si>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</si>
  <si>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</si>
  <si>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</si>
  <si>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</si>
  <si>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</si>
  <si>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</si>
  <si>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</si>
  <si>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</si>
  <si>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</si>
  <si>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</si>
  <si>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</si>
  <si>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</si>
  <si>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</si>
  <si>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</si>
  <si>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</si>
  <si>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</si>
  <si>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</si>
  <si>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</si>
  <si>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</si>
  <si>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</si>
  <si>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</si>
  <si>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</si>
  <si>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</si>
  <si>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</si>
  <si>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</si>
  <si>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</si>
  <si>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</si>
  <si>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</si>
  <si>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</si>
  <si>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</si>
  <si>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</si>
  <si>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</si>
  <si>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</si>
  <si>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</si>
  <si>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</si>
  <si>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</si>
  <si>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</si>
  <si>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</si>
  <si>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</si>
  <si>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</si>
  <si>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</si>
  <si>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</si>
  <si>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</si>
  <si>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</si>
  <si>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</si>
  <si>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</si>
  <si>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</si>
  <si>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</si>
  <si>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</si>
  <si>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</si>
  <si>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</si>
  <si>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</si>
  <si>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</si>
  <si>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</si>
  <si>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</si>
  <si>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</si>
  <si>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</si>
  <si>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</si>
  <si>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</si>
  <si>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</si>
  <si>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</si>
  <si>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</si>
  <si>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</si>
  <si>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</si>
  <si>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</si>
  <si>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</si>
  <si>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</si>
  <si>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</si>
  <si>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</si>
  <si>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</si>
  <si>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</si>
  <si>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</si>
  <si>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</si>
  <si>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</si>
  <si>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</si>
  <si>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</si>
  <si>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</si>
  <si>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</si>
  <si>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</si>
  <si>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</si>
  <si>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</si>
  <si>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</si>
  <si>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</si>
  <si>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</si>
  <si>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</si>
  <si>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</si>
  <si>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</si>
  <si>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</si>
  <si>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</si>
  <si>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</si>
  <si>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</si>
  <si>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</si>
  <si>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</si>
  <si>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</si>
  <si>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</si>
  <si>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</si>
  <si>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</si>
  <si>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</si>
  <si>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</si>
  <si>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</si>
  <si>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</si>
  <si>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</si>
  <si>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</si>
  <si>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</si>
  <si>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</si>
  <si>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</si>
  <si>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</si>
  <si>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</si>
  <si>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</si>
  <si>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</si>
  <si>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</si>
  <si>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</si>
  <si>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</si>
  <si>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</si>
  <si>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</si>
  <si>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</si>
  <si>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</si>
  <si>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</si>
  <si>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</si>
  <si>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</si>
  <si>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</si>
  <si>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</si>
  <si>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</si>
  <si>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</si>
  <si>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</si>
  <si>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</si>
  <si>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</si>
  <si>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</si>
  <si>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</si>
  <si>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</si>
  <si>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</si>
  <si>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</si>
  <si>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</si>
  <si>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</si>
  <si>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</si>
  <si>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</si>
  <si>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</si>
  <si>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</si>
  <si>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</si>
  <si>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</si>
  <si>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</si>
  <si>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</si>
  <si>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</si>
  <si>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</si>
  <si>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</si>
  <si>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</si>
  <si>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</si>
  <si>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</si>
  <si>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</si>
  <si>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</si>
  <si>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</si>
  <si>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</si>
  <si>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</si>
  <si>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</si>
  <si>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</si>
  <si>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</si>
  <si>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</si>
  <si>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</si>
  <si>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</si>
  <si>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</si>
  <si>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</si>
  <si>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</si>
  <si>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</si>
  <si>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</si>
  <si>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</si>
  <si>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</si>
  <si>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</si>
  <si>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</si>
  <si>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</si>
  <si>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</si>
  <si>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</si>
  <si>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</si>
  <si>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</si>
  <si>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</si>
  <si>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</si>
  <si>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</si>
  <si>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</si>
  <si>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</si>
  <si>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</si>
  <si>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</si>
  <si>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</si>
  <si>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</si>
  <si>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</si>
  <si>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</si>
  <si>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</si>
  <si>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</si>
  <si>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</si>
  <si>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</si>
  <si>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</si>
  <si>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</si>
  <si>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</si>
  <si>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</si>
  <si>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</si>
  <si>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</si>
  <si>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</si>
  <si>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</si>
  <si>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</si>
  <si>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</si>
  <si>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</si>
  <si>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</si>
  <si>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</si>
  <si>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</si>
  <si>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</si>
  <si>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</si>
  <si>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</si>
  <si>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</si>
  <si>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</si>
  <si>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</si>
  <si>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</si>
  <si>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</si>
  <si>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</si>
  <si>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</si>
  <si>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</si>
  <si>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</si>
  <si>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</si>
  <si>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</si>
  <si>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</si>
  <si>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</si>
  <si>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</si>
  <si>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</si>
  <si>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</si>
  <si>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</si>
  <si>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</si>
  <si>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</si>
  <si>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</si>
  <si>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</si>
  <si>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</si>
  <si>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</si>
  <si>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</si>
  <si>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</si>
  <si>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</si>
  <si>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</si>
  <si>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</si>
  <si>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</si>
  <si>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</si>
  <si>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</si>
  <si>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</si>
  <si>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</si>
  <si>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</si>
  <si>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</si>
  <si>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</si>
  <si>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</si>
  <si>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</si>
  <si>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</si>
  <si>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</si>
  <si>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</si>
  <si>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</si>
  <si>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</si>
  <si>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</si>
  <si>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</si>
  <si>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</si>
  <si>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</si>
  <si>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</si>
  <si>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</si>
  <si>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</si>
  <si>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</si>
  <si>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</si>
  <si>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</si>
  <si>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</si>
  <si>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</si>
  <si>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</si>
  <si>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</si>
  <si>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</si>
  <si>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</si>
  <si>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</si>
  <si>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</si>
  <si>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</si>
  <si>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</si>
  <si>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</si>
  <si>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</si>
  <si>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</si>
  <si>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</si>
  <si>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</si>
  <si>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</si>
  <si>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</si>
  <si>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</si>
  <si>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</si>
  <si>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</si>
  <si>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</si>
  <si>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</si>
  <si>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</si>
  <si>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</si>
  <si>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</si>
  <si>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</si>
  <si>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</si>
  <si>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</si>
  <si>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</si>
  <si>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</si>
  <si>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</si>
  <si>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</si>
  <si>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</si>
  <si>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</si>
  <si>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</si>
  <si>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</si>
  <si>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</si>
  <si>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</si>
  <si>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</si>
  <si>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</si>
  <si>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</si>
  <si>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</si>
  <si>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</si>
  <si>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</si>
  <si>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</si>
  <si>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</si>
  <si>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</si>
  <si>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</si>
  <si>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</si>
  <si>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</si>
  <si>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</si>
  <si>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</si>
  <si>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</si>
  <si>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</si>
  <si>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</si>
  <si>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</si>
  <si>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</si>
  <si>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</si>
  <si>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</si>
  <si>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</si>
  <si>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</si>
  <si>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</si>
  <si>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</si>
  <si>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</si>
  <si>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</si>
  <si>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</si>
  <si>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</si>
  <si>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</si>
  <si>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</si>
  <si>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</si>
  <si>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</si>
  <si>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</si>
  <si>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</si>
  <si>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</si>
  <si>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</si>
  <si>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</si>
  <si>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</si>
  <si>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</si>
  <si>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</si>
  <si>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</si>
  <si>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</si>
  <si>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</si>
  <si>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</si>
  <si>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</si>
  <si>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</si>
  <si>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</si>
  <si>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</si>
  <si>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</si>
  <si>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</si>
  <si>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</si>
  <si>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</si>
  <si>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</si>
  <si>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</si>
  <si>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</si>
  <si>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</si>
  <si>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</si>
  <si>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</si>
  <si>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</si>
  <si>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</si>
  <si>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</si>
  <si>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</si>
  <si>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</si>
  <si>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</si>
  <si>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</si>
  <si>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</si>
  <si>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</si>
  <si>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</si>
  <si>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</si>
  <si>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</si>
  <si>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</si>
  <si>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</si>
  <si>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</si>
  <si>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</si>
  <si>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</si>
  <si>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</si>
  <si>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</si>
  <si>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</si>
  <si>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</si>
  <si>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</si>
  <si>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</si>
  <si>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</si>
  <si>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</si>
  <si>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</si>
  <si>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</si>
  <si>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</si>
  <si>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</si>
  <si>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</si>
  <si>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</si>
  <si>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</si>
  <si>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</si>
  <si>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</si>
  <si>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</si>
  <si>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</si>
  <si>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</si>
  <si>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</si>
  <si>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</si>
  <si>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</si>
  <si>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</si>
  <si>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</si>
  <si>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</si>
  <si>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</si>
  <si>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</si>
  <si>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</si>
  <si>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</si>
  <si>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</si>
  <si>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</si>
  <si>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</si>
  <si>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</si>
  <si>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</si>
  <si>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</si>
  <si>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</si>
  <si>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</si>
  <si>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</si>
  <si>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</si>
  <si>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</si>
  <si>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</si>
  <si>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</si>
  <si>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</si>
  <si>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</si>
  <si>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</si>
  <si>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</si>
  <si>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</si>
  <si>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</si>
  <si>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</si>
  <si>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</si>
  <si>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</si>
  <si>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</si>
  <si>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</si>
  <si>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</si>
  <si>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</si>
  <si>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</si>
  <si>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</si>
  <si>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</si>
  <si>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</si>
  <si>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</si>
  <si>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</si>
  <si>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</si>
  <si>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</si>
  <si>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</si>
  <si>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</si>
  <si>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</si>
  <si>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</si>
  <si>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</si>
  <si>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</si>
  <si>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</si>
  <si>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</si>
  <si>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</si>
  <si>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</si>
  <si>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</si>
  <si>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</si>
  <si>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</si>
  <si>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</si>
  <si>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</si>
  <si>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</si>
  <si>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</si>
  <si>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</si>
  <si>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</si>
  <si>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</si>
  <si>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</si>
  <si>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</si>
  <si>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</si>
  <si>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</si>
  <si>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</si>
  <si>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</si>
  <si>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</si>
  <si>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</si>
  <si>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</si>
  <si>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</si>
  <si>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</si>
  <si>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</si>
  <si>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</si>
  <si>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</si>
  <si>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</si>
  <si>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</si>
  <si>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</si>
  <si>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</si>
  <si>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</si>
  <si>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</si>
  <si>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</si>
  <si>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</si>
  <si>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</si>
  <si>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</si>
  <si>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</si>
  <si>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</si>
  <si>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</si>
  <si>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</si>
  <si>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</si>
  <si>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</si>
  <si>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</si>
  <si>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</si>
  <si>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</si>
  <si>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</si>
  <si>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</si>
  <si>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</si>
  <si>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</si>
  <si>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</si>
  <si>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</si>
  <si>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</si>
  <si>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</si>
  <si>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</si>
  <si>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</si>
  <si>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</si>
  <si>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</si>
  <si>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</si>
  <si>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</si>
  <si>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</si>
  <si>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</si>
  <si>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</si>
  <si>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</si>
  <si>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</si>
  <si>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</si>
  <si>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</si>
  <si>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</si>
  <si>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</si>
  <si>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</si>
  <si>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</si>
  <si>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</si>
  <si>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</si>
  <si>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</si>
  <si>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</si>
  <si>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</si>
  <si>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</si>
  <si>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</si>
  <si>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</si>
  <si>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</si>
  <si>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</si>
  <si>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</si>
  <si>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</si>
  <si>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</si>
  <si>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</si>
  <si>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</si>
  <si>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</si>
  <si>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</si>
  <si>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</si>
  <si>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</si>
  <si>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</si>
  <si>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</si>
  <si>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</si>
  <si>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</si>
  <si>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</si>
  <si>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</si>
  <si>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</si>
  <si>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</si>
  <si>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</si>
  <si>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</si>
  <si>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</si>
  <si>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</si>
  <si>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</si>
  <si>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</si>
  <si>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</si>
  <si>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</si>
  <si>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</si>
  <si>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</si>
  <si>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</si>
  <si>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</si>
  <si>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</si>
  <si>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</si>
  <si>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</si>
  <si>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</si>
  <si>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</si>
  <si>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</si>
  <si>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</si>
  <si>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</si>
  <si>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</si>
  <si>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</si>
  <si>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</si>
  <si>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</si>
  <si>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</si>
  <si>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</si>
  <si>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</si>
  <si>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</si>
  <si>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</si>
  <si>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</si>
  <si>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</si>
  <si>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</si>
  <si>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</si>
  <si>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</si>
  <si>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</si>
  <si>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</si>
  <si>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</si>
  <si>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</si>
  <si>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</si>
  <si>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</si>
  <si>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</si>
  <si>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</si>
  <si>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</si>
  <si>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</si>
  <si>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</si>
  <si>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</si>
  <si>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</si>
  <si>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</si>
  <si>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</si>
  <si>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</si>
  <si>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</si>
  <si>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</si>
  <si>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</si>
  <si>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</si>
  <si>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</si>
  <si>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</si>
  <si>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</si>
  <si>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</si>
  <si>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</si>
  <si>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</si>
  <si>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</si>
  <si>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</si>
  <si>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</si>
  <si>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</si>
  <si>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</si>
  <si>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</si>
  <si>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</si>
  <si>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</si>
  <si>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</si>
  <si>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</si>
  <si>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</si>
  <si>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</si>
  <si>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</si>
  <si>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</si>
  <si>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</si>
  <si>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</si>
  <si>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</si>
  <si>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</si>
  <si>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</si>
  <si>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</si>
  <si>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</si>
  <si>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</si>
  <si>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</si>
  <si>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</si>
  <si>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</si>
  <si>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</si>
  <si>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</si>
  <si>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</si>
  <si>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</si>
  <si>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</si>
  <si>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</si>
  <si>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</si>
  <si>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</si>
  <si>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</si>
  <si>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</si>
  <si>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</si>
  <si>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</si>
  <si>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</si>
  <si>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</si>
  <si>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</si>
  <si>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</si>
  <si>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</si>
  <si>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</si>
  <si>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</si>
  <si>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</si>
  <si>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</si>
  <si>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</si>
  <si>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</si>
  <si>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</si>
  <si>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</si>
  <si>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</si>
  <si>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</si>
  <si>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</si>
  <si>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</si>
  <si>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</si>
  <si>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</si>
  <si>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</si>
  <si>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</si>
  <si>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</si>
  <si>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</si>
  <si>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</si>
  <si>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</si>
  <si>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</si>
  <si>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</si>
  <si>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</si>
  <si>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</si>
  <si>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</si>
  <si>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</si>
  <si>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</si>
  <si>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</si>
  <si>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</si>
  <si>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</si>
  <si>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</si>
  <si>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</si>
  <si>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</si>
  <si>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</si>
  <si>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</si>
  <si>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</si>
  <si>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</si>
  <si>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</si>
  <si>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</si>
  <si>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</si>
  <si>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</si>
  <si>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</si>
  <si>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</si>
  <si>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</si>
  <si>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</si>
  <si>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</si>
  <si>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</si>
  <si>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</si>
  <si>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</si>
  <si>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</si>
  <si>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</si>
  <si>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</si>
  <si>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</si>
  <si>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</si>
  <si>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</si>
  <si>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</si>
  <si>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</si>
  <si>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</si>
  <si>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</si>
  <si>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</si>
  <si>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</si>
  <si>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</si>
  <si>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</si>
  <si>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</si>
  <si>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</si>
  <si>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</si>
  <si>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</si>
  <si>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</si>
  <si>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</si>
  <si>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</si>
  <si>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</si>
  <si>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</si>
  <si>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</si>
  <si>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</si>
  <si>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</si>
  <si>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</si>
  <si>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</si>
  <si>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</si>
  <si>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</si>
  <si>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</si>
  <si>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</si>
  <si>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</si>
  <si>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</si>
  <si>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</si>
  <si>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</si>
  <si>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</si>
  <si>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</si>
  <si>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</si>
  <si>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</si>
  <si>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</si>
  <si>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</si>
  <si>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</si>
  <si>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</si>
  <si>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</si>
  <si>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</si>
  <si>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</si>
  <si>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</si>
  <si>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</si>
  <si>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</si>
  <si>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</si>
  <si>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</si>
  <si>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</si>
  <si>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</si>
  <si>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</si>
  <si>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</si>
  <si>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</si>
  <si>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</si>
  <si>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</si>
  <si>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</si>
  <si>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</si>
  <si>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</si>
  <si>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</si>
  <si>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</si>
  <si>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</si>
  <si>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</si>
  <si>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</si>
  <si>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</si>
  <si>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</si>
  <si>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</si>
  <si>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</si>
  <si>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</si>
  <si>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</si>
  <si>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</si>
  <si>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</si>
  <si>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</si>
  <si>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</si>
  <si>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</si>
  <si>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</si>
  <si>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</si>
  <si>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</si>
  <si>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</si>
  <si>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</si>
  <si>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</si>
  <si>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</si>
  <si>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</si>
  <si>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</si>
  <si>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</si>
  <si>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</si>
  <si>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</si>
  <si>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</si>
  <si>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</si>
  <si>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</si>
  <si>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</si>
  <si>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</si>
  <si>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</si>
  <si>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</si>
  <si>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</si>
  <si>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</si>
  <si>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</si>
  <si>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</si>
  <si>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</si>
  <si>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</si>
  <si>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</si>
  <si>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</si>
  <si>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</si>
  <si>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</si>
  <si>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</si>
  <si>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</si>
  <si>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</si>
  <si>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</si>
  <si>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</si>
  <si>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</si>
  <si>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</si>
  <si>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</si>
  <si>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</si>
  <si>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</si>
  <si>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</si>
  <si>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</si>
  <si>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</si>
  <si>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</si>
  <si>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</si>
  <si>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</si>
  <si>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</si>
  <si>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</si>
  <si>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</si>
  <si>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</si>
  <si>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</si>
  <si>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</si>
  <si>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</si>
  <si>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</si>
  <si>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</si>
  <si>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</si>
  <si>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</si>
  <si>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</si>
  <si>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</si>
  <si>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</si>
  <si>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</si>
  <si>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</si>
  <si>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</si>
  <si>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</si>
  <si>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</si>
  <si>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</si>
  <si>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</si>
  <si>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</si>
  <si>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</si>
  <si>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</si>
  <si>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</si>
  <si>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</si>
  <si>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</si>
  <si>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</si>
  <si>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</si>
  <si>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</si>
  <si>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</si>
  <si>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</si>
  <si>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</si>
  <si>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</si>
  <si>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</si>
  <si>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</si>
  <si>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</si>
  <si>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</si>
  <si>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</si>
  <si>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</si>
  <si>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</si>
  <si>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</si>
  <si>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</si>
  <si>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</si>
  <si>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</si>
  <si>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</si>
  <si>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</si>
  <si>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</si>
  <si>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</si>
  <si>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</si>
  <si>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</si>
  <si>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</si>
  <si>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</si>
  <si>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</si>
  <si>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</si>
  <si>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</si>
  <si>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</si>
  <si>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</si>
  <si>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</si>
  <si>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</si>
  <si>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</si>
  <si>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</si>
  <si>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</si>
  <si>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</si>
  <si>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</si>
  <si>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</si>
  <si>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</si>
  <si>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</si>
  <si>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</si>
  <si>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</si>
  <si>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</si>
  <si>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</si>
  <si>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</si>
  <si>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</si>
  <si>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</si>
  <si>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</si>
  <si>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</si>
  <si>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</si>
  <si>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</si>
  <si>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</si>
  <si>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</si>
  <si>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</si>
  <si>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</si>
  <si>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</si>
  <si>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</si>
  <si>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</si>
  <si>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</si>
  <si>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</si>
  <si>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</si>
  <si>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</si>
  <si>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</si>
  <si>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</si>
  <si>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</si>
  <si>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</si>
  <si>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</si>
  <si>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</si>
  <si>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</si>
  <si>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</si>
  <si>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</si>
  <si>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</si>
  <si>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</si>
  <si>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</si>
  <si>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</si>
  <si>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</si>
  <si>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</si>
  <si>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</si>
  <si>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</si>
  <si>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</si>
  <si>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</si>
  <si>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</si>
  <si>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</si>
  <si>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</si>
  <si>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</si>
  <si>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</si>
  <si>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</si>
  <si>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</si>
  <si>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</si>
  <si>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</si>
  <si>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</si>
  <si>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</si>
  <si>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</si>
  <si>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</si>
  <si>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</si>
  <si>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</si>
  <si>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</si>
  <si>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</si>
  <si>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</si>
  <si>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</si>
  <si>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</si>
  <si>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</si>
  <si>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</si>
  <si>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</si>
  <si>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</si>
  <si>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</si>
  <si>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</si>
  <si>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</si>
  <si>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</si>
  <si>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</si>
  <si>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</si>
  <si>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</si>
  <si>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</si>
  <si>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</si>
  <si>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</si>
  <si>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</si>
  <si>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</si>
  <si>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</si>
  <si>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</si>
  <si>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</si>
  <si>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</si>
  <si>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</si>
  <si>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</si>
  <si>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</si>
  <si>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</si>
  <si>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</si>
  <si>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</si>
  <si>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</si>
  <si>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</si>
  <si>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</si>
  <si>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</si>
  <si>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</si>
  <si>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</si>
  <si>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</si>
  <si>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</si>
  <si>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</si>
  <si>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</si>
  <si>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</si>
  <si>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</si>
  <si>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</si>
  <si>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</si>
  <si>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</si>
  <si>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</si>
  <si>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</si>
  <si>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</si>
  <si>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</si>
  <si>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</si>
  <si>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</si>
  <si>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生命值50|吸血0.01%50</t>
  </si>
  <si>
    <t>龙头·二阶</t>
  </si>
  <si>
    <t>生命值100|吸血0.01%100</t>
  </si>
  <si>
    <t>龙头·三阶</t>
  </si>
  <si>
    <t>生命值150|吸血0.01%150</t>
  </si>
  <si>
    <t>龙头·四阶</t>
  </si>
  <si>
    <t>生命值200|吸血0.01%200</t>
  </si>
  <si>
    <t>龙头·五阶</t>
  </si>
  <si>
    <t>生命值250|吸血0.01%250</t>
  </si>
  <si>
    <t>龙头·六阶</t>
  </si>
  <si>
    <t>生命值300|吸血0.01%300</t>
  </si>
  <si>
    <t>龙头·七阶</t>
  </si>
  <si>
    <t>生命值350|吸血0.01%350</t>
  </si>
  <si>
    <t>龙头·八阶</t>
  </si>
  <si>
    <t>生命值400|吸血0.01%400</t>
  </si>
  <si>
    <t>龙头·九阶</t>
  </si>
  <si>
    <t>生命值450|吸血0.01%450</t>
  </si>
  <si>
    <t>龙头·十阶</t>
  </si>
  <si>
    <t>生命值500|吸血0.01%500</t>
  </si>
  <si>
    <t>龙头·十一阶</t>
  </si>
  <si>
    <t>生命值550|吸血0.01%550</t>
  </si>
  <si>
    <t>龙头·十二阶</t>
  </si>
  <si>
    <t>生命值600|吸血0.01%600</t>
  </si>
  <si>
    <t>龙头·十三阶</t>
  </si>
  <si>
    <t>生命值650|吸血0.01%650</t>
  </si>
  <si>
    <t>龙头·十四阶</t>
  </si>
  <si>
    <t>生命值700|吸血0.01%700</t>
  </si>
  <si>
    <t>龙头·十五阶</t>
  </si>
  <si>
    <t>生命值750|吸血0.01%750</t>
  </si>
  <si>
    <t>龙头·十六阶</t>
  </si>
  <si>
    <t>生命值800|吸血0.01%800</t>
  </si>
  <si>
    <t>龙头·十七阶</t>
  </si>
  <si>
    <t>生命值850|吸血0.01%850</t>
  </si>
  <si>
    <t>龙头·十八阶</t>
  </si>
  <si>
    <t>生命值900|吸血0.01%900</t>
  </si>
  <si>
    <t>龙头·十九阶</t>
  </si>
  <si>
    <t>生命值950|吸血0.01%950</t>
  </si>
  <si>
    <t>龙头·二十阶</t>
  </si>
  <si>
    <t>生命值1000|吸血0.01%1000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</si>
  <si>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</si>
  <si>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</si>
  <si>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</si>
  <si>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</si>
  <si>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</si>
  <si>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</si>
  <si>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</si>
  <si>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</si>
  <si>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</si>
  <si>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</si>
  <si>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</si>
  <si>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</si>
  <si>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</si>
  <si>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</si>
  <si>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</si>
  <si>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</si>
  <si>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</si>
  <si>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</si>
  <si>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</si>
  <si>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</si>
  <si>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</si>
  <si>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</si>
  <si>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</si>
  <si>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</si>
  <si>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</si>
  <si>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</si>
  <si>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</si>
  <si>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</si>
  <si>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</si>
  <si>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</si>
  <si>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</si>
  <si>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</si>
  <si>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</si>
  <si>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</si>
  <si>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</si>
  <si>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</si>
  <si>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</si>
  <si>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</si>
  <si>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</si>
  <si>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</si>
  <si>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</si>
  <si>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</si>
  <si>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</si>
  <si>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</si>
  <si>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</si>
  <si>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</si>
  <si>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</si>
  <si>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</si>
  <si>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</si>
  <si>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</si>
  <si>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</si>
  <si>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</si>
  <si>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</si>
  <si>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</si>
  <si>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</si>
  <si>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</si>
  <si>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</si>
  <si>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</si>
  <si>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</si>
  <si>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</si>
  <si>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</si>
  <si>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</si>
  <si>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</si>
  <si>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下防1|上防1|下魔防1|上魔防1|忽视防御1</t>
  </si>
  <si>
    <t>龙骨·二阶</t>
  </si>
  <si>
    <t>下防3|上防3|下魔防3|上魔防3|忽视防御2</t>
  </si>
  <si>
    <t>龙骨·三阶</t>
  </si>
  <si>
    <t>下防5|上防5|下魔防5|上魔防5|忽视防御3</t>
  </si>
  <si>
    <t>龙骨·四阶</t>
  </si>
  <si>
    <t>下防7|上防7|下魔防7|上魔防7|忽视防御4</t>
  </si>
  <si>
    <t>龙骨·五阶</t>
  </si>
  <si>
    <t>下防9|上防9|下魔防9|上魔防9|忽视防御5</t>
  </si>
  <si>
    <t>龙骨·六阶</t>
  </si>
  <si>
    <t>下防11|上防11|下魔防11|上魔防11|忽视防御6</t>
  </si>
  <si>
    <t>龙骨·七阶</t>
  </si>
  <si>
    <t>下防13|上防13|下魔防13|上魔防13|忽视防御7</t>
  </si>
  <si>
    <t>龙骨·八阶</t>
  </si>
  <si>
    <t>下防15|上防15|下魔防15|上魔防15|忽视防御8</t>
  </si>
  <si>
    <t>龙骨·九阶</t>
  </si>
  <si>
    <t>下防17|上防17|下魔防17|上魔防17|忽视防御9</t>
  </si>
  <si>
    <t>龙骨·十阶</t>
  </si>
  <si>
    <t>下防19|上防19|下魔防19|上魔防19|忽视防御10</t>
  </si>
  <si>
    <t>龙骨·十一阶</t>
  </si>
  <si>
    <t>下防21|上防21|下魔防21|上魔防21|忽视防御11</t>
  </si>
  <si>
    <t>龙骨·十二阶</t>
  </si>
  <si>
    <t>下防23|上防23|下魔防23|上魔防23|忽视防御12</t>
  </si>
  <si>
    <t>龙骨·十三阶</t>
  </si>
  <si>
    <t>下防25|上防25|下魔防25|上魔防25|忽视防御13</t>
  </si>
  <si>
    <t>龙骨·十四阶</t>
  </si>
  <si>
    <t>下防27|上防27|下魔防27|上魔防27|忽视防御14</t>
  </si>
  <si>
    <t>龙骨·十五阶</t>
  </si>
  <si>
    <t>下防29|上防29|下魔防29|上魔防29|忽视防御15</t>
  </si>
  <si>
    <t>龙骨·十六阶</t>
  </si>
  <si>
    <t>下防31|上防31|下魔防31|上魔防31|忽视防御16</t>
  </si>
  <si>
    <t>龙骨·十七阶</t>
  </si>
  <si>
    <t>下防33|上防33|下魔防33|上魔防33|忽视防御17</t>
  </si>
  <si>
    <t>龙骨·十八阶</t>
  </si>
  <si>
    <t>下防35|上防35|下魔防35|上魔防35|忽视防御18</t>
  </si>
  <si>
    <t>龙骨·十九阶</t>
  </si>
  <si>
    <t>下防37|上防37|下魔防37|上魔防37|忽视防御19</t>
  </si>
  <si>
    <t>龙骨·二十阶</t>
  </si>
  <si>
    <t>下防40|上防40|下魔防40|上魔防40|忽视防御20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</si>
  <si>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</si>
  <si>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</si>
  <si>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</si>
  <si>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</si>
  <si>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</si>
  <si>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</si>
  <si>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</si>
  <si>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</si>
  <si>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</si>
  <si>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</si>
  <si>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</si>
  <si>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</si>
  <si>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</si>
  <si>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</si>
  <si>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</si>
  <si>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</si>
  <si>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</si>
  <si>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</si>
  <si>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</si>
  <si>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</si>
  <si>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</si>
  <si>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</si>
  <si>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</si>
  <si>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</si>
  <si>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</si>
  <si>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</si>
  <si>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</si>
  <si>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</si>
  <si>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</si>
  <si>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</si>
  <si>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</si>
  <si>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</si>
  <si>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</si>
  <si>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</si>
  <si>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</si>
  <si>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</si>
  <si>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</si>
  <si>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</si>
  <si>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</si>
  <si>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</si>
  <si>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</si>
  <si>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</si>
  <si>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</si>
  <si>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</si>
  <si>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</si>
  <si>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</si>
  <si>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</si>
  <si>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</si>
  <si>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</si>
  <si>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</si>
  <si>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</si>
  <si>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</si>
  <si>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</si>
  <si>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</si>
  <si>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</si>
  <si>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</si>
  <si>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</si>
  <si>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</si>
  <si>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</si>
  <si>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</si>
  <si>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</si>
  <si>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</si>
  <si>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</si>
  <si>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下攻1|上攻1|魔下1|魔上1|道下1|道上1|伤害加成1</t>
  </si>
  <si>
    <t>龙尾·二阶</t>
  </si>
  <si>
    <t>下攻3|上攻3|魔下3|魔上3|道下3|道上3|伤害加成2</t>
  </si>
  <si>
    <t>龙尾·三阶</t>
  </si>
  <si>
    <t>下攻5|上攻5|魔下5|魔上5|道下5|道上5|伤害加成3</t>
  </si>
  <si>
    <t>龙尾·四阶</t>
  </si>
  <si>
    <t>下攻7|上攻7|魔下7|魔上7|道下7|道上7|伤害加成4</t>
  </si>
  <si>
    <t>龙尾·五阶</t>
  </si>
  <si>
    <t>下攻9|上攻9|魔下9|魔上9|道下9|道上9|伤害加成5</t>
  </si>
  <si>
    <t>龙尾·六阶</t>
  </si>
  <si>
    <t>下攻11|上攻11|魔下11|魔上11|道下11|道上11|伤害加成6</t>
  </si>
  <si>
    <t>龙尾·七阶</t>
  </si>
  <si>
    <t>下攻13|上攻13|魔下13|魔上13|道下13|道上13|伤害加成7</t>
  </si>
  <si>
    <t>龙尾·八阶</t>
  </si>
  <si>
    <t>下攻15|上攻15|魔下15|魔上15|道下15|道上15|伤害加成8</t>
  </si>
  <si>
    <t>龙尾·九阶</t>
  </si>
  <si>
    <t>下攻17|上攻17|魔下17|魔上17|道下17|道上17|伤害加成9</t>
  </si>
  <si>
    <t>龙尾·十阶</t>
  </si>
  <si>
    <t>下攻19|上攻19|魔下19|魔上19|道下19|道上19|伤害加成10</t>
  </si>
  <si>
    <t>龙尾·十一阶</t>
  </si>
  <si>
    <t>下攻21|上攻21|魔下21|魔上21|道下21|道上21|伤害加成11</t>
  </si>
  <si>
    <t>龙尾·十二阶</t>
  </si>
  <si>
    <t>下攻23|上攻23|魔下23|魔上23|道下23|道上23|伤害加成12</t>
  </si>
  <si>
    <t>龙尾·十三阶</t>
  </si>
  <si>
    <t>下攻25|上攻25|魔下25|魔上25|道下25|道上25|伤害加成13</t>
  </si>
  <si>
    <t>龙尾·十四阶</t>
  </si>
  <si>
    <t>下攻27|上攻27|魔下27|魔上27|道下27|道上27|伤害加成14</t>
  </si>
  <si>
    <t>龙尾·十五阶</t>
  </si>
  <si>
    <t>下攻29|上攻29|魔下29|魔上29|道下29|道上29|伤害加成15</t>
  </si>
  <si>
    <t>龙尾·十六阶</t>
  </si>
  <si>
    <t>下攻31|上攻31|魔下31|魔上31|道下31|道上31|伤害加成16</t>
  </si>
  <si>
    <t>龙尾·十七阶</t>
  </si>
  <si>
    <t>下攻33|上攻33|魔下33|魔上33|道下33|道上33|伤害加成17</t>
  </si>
  <si>
    <t>龙尾·十八阶</t>
  </si>
  <si>
    <t>下攻35|上攻35|魔下35|魔上35|道下35|道上35|伤害加成18</t>
  </si>
  <si>
    <t>龙尾·十九阶</t>
  </si>
  <si>
    <t>下攻37|上攻37|魔下37|魔上37|道下37|道上37|伤害加成19</t>
  </si>
  <si>
    <t>龙尾·二十阶</t>
  </si>
  <si>
    <t>下攻40|上攻40|魔下40|魔上40|道下40|道上40|伤害加成20</t>
  </si>
  <si>
    <t>龙尾·二十一阶</t>
  </si>
  <si>
    <t>下攻43|上攻43|魔下43|魔上43|道下43|道上43|伤害加成21</t>
  </si>
  <si>
    <t>龙尾·二十二阶</t>
  </si>
  <si>
    <t>下攻46|上攻46|魔下46|魔上46|道下46|道上46|伤害加成22</t>
  </si>
  <si>
    <t>龙尾·二十三阶</t>
  </si>
  <si>
    <t>下攻49|上攻49|魔下49|魔上49|道下49|道上49|伤害加成23</t>
  </si>
  <si>
    <t>龙尾·二十四阶</t>
  </si>
  <si>
    <t>下攻52|上攻52|魔下52|魔上52|道下52|道上52|伤害加成24</t>
  </si>
  <si>
    <t>龙尾·二十五阶</t>
  </si>
  <si>
    <t>下攻55|上攻55|魔下55|魔上55|道下55|道上55|伤害加成25</t>
  </si>
  <si>
    <t>龙尾·二十六阶</t>
  </si>
  <si>
    <t>下攻58|上攻58|魔下58|魔上58|道下58|道上58|伤害加成26</t>
  </si>
  <si>
    <t>龙尾·二十七阶</t>
  </si>
  <si>
    <t>下攻61|上攻61|魔下61|魔上61|道下61|道上61|伤害加成27</t>
  </si>
  <si>
    <t>龙尾·二十八阶</t>
  </si>
  <si>
    <t>下攻64|上攻64|魔下64|魔上64|道下64|道上64|伤害加成28</t>
  </si>
  <si>
    <t>龙尾·二十九阶</t>
  </si>
  <si>
    <t>下攻67|上攻67|魔下67|魔上67|道下67|道上67|伤害加成29</t>
  </si>
  <si>
    <t>龙尾·三十阶</t>
  </si>
  <si>
    <t>下攻70|上攻70|魔下70|魔上70|道下70|道上70|伤害加成30</t>
  </si>
  <si>
    <t>龙尾·三十一阶</t>
  </si>
  <si>
    <t>下攻73|上攻73|魔下73|魔上73|道下73|道上73|伤害加成31</t>
  </si>
  <si>
    <t>龙尾·三十二阶</t>
  </si>
  <si>
    <t>下攻76|上攻76|魔下76|魔上76|道下76|道上76|伤害加成32</t>
  </si>
  <si>
    <t>龙尾·三十三阶</t>
  </si>
  <si>
    <t>下攻79|上攻79|魔下79|魔上79|道下79|道上79|伤害加成33</t>
  </si>
  <si>
    <t>龙尾·三十四阶</t>
  </si>
  <si>
    <t>下攻82|上攻82|魔下82|魔上82|道下82|道上82|伤害加成34</t>
  </si>
  <si>
    <t>龙尾·三十五阶</t>
  </si>
  <si>
    <t>下攻85|上攻85|魔下85|魔上85|道下85|道上85|伤害加成35</t>
  </si>
  <si>
    <t>龙尾·三十六阶</t>
  </si>
  <si>
    <t>下攻88|上攻88|魔下88|魔上88|道下88|道上88|伤害加成36</t>
  </si>
  <si>
    <t>龙尾·三十七阶</t>
  </si>
  <si>
    <t>下攻91|上攻91|魔下91|魔上91|道下91|道上91|伤害加成37</t>
  </si>
  <si>
    <t>龙尾·三十八阶</t>
  </si>
  <si>
    <t>下攻94|上攻94|魔下94|魔上94|道下94|道上94|伤害加成38</t>
  </si>
  <si>
    <t>龙尾·三十九阶</t>
  </si>
  <si>
    <t>下攻97|上攻97|魔下97|魔上97|道下97|道上97|伤害加成39</t>
  </si>
  <si>
    <t>龙尾·四十阶</t>
  </si>
  <si>
    <t>下攻100|上攻100|魔下100|魔上100|道下100|道上100|伤害加成40</t>
  </si>
  <si>
    <t>龙尾·四十一阶</t>
  </si>
  <si>
    <t>下攻103|上攻103|魔下103|魔上103|道下103|道上103|伤害加成41</t>
  </si>
  <si>
    <t>龙尾·四十二阶</t>
  </si>
  <si>
    <t>下攻106|上攻106|魔下106|魔上106|道下106|道上106|伤害加成42</t>
  </si>
  <si>
    <t>龙尾·四十三阶</t>
  </si>
  <si>
    <t>下攻109|上攻109|魔下109|魔上109|道下109|道上109|伤害加成43</t>
  </si>
  <si>
    <t>龙尾·四十四阶</t>
  </si>
  <si>
    <t>下攻112|上攻112|魔下112|魔上112|道下112|道上112|伤害加成44</t>
  </si>
  <si>
    <t>龙尾·四十五阶</t>
  </si>
  <si>
    <t>下攻115|上攻115|魔下115|魔上115|道下115|道上115|伤害加成45</t>
  </si>
  <si>
    <t>龙尾·四十六阶</t>
  </si>
  <si>
    <t>下攻118|上攻118|魔下118|魔上118|道下118|道上118|伤害加成46</t>
  </si>
  <si>
    <t>龙尾·四十七阶</t>
  </si>
  <si>
    <t>下攻121|上攻121|魔下121|魔上121|道下121|道上121|伤害加成47</t>
  </si>
  <si>
    <t>龙尾·四十八阶</t>
  </si>
  <si>
    <t>下攻124|上攻124|魔下124|魔上124|道下124|道上124|伤害加成48</t>
  </si>
  <si>
    <t>龙尾·四十九阶</t>
  </si>
  <si>
    <t>下攻127|上攻127|魔下127|魔上127|道下127|道上127|伤害加成49</t>
  </si>
  <si>
    <t>龙尾·五十阶</t>
  </si>
  <si>
    <t>下攻130|上攻130|魔下130|魔上130|道下130|道上130|伤害加成50</t>
  </si>
  <si>
    <t>龙躯</t>
    <phoneticPr fontId="1" type="noConversion"/>
  </si>
  <si>
    <t>龙躯·未修炼</t>
  </si>
  <si>
    <t>龙躯·一阶</t>
  </si>
  <si>
    <t>准确2|受怪减伤100</t>
  </si>
  <si>
    <t>龙躯·二阶</t>
  </si>
  <si>
    <t>准确4|受怪减伤200</t>
  </si>
  <si>
    <t>龙躯·三阶</t>
  </si>
  <si>
    <t>准确6|受怪减伤300</t>
  </si>
  <si>
    <t>龙躯·四阶</t>
  </si>
  <si>
    <t>准确8|受怪减伤400</t>
  </si>
  <si>
    <t>龙躯·五阶</t>
  </si>
  <si>
    <t>准确10|受怪减伤500</t>
  </si>
  <si>
    <t>龙躯·六阶</t>
  </si>
  <si>
    <t>准确12|受怪减伤600</t>
  </si>
  <si>
    <t>龙躯·七阶</t>
  </si>
  <si>
    <t>准确14|受怪减伤700</t>
  </si>
  <si>
    <t>龙躯·八阶</t>
  </si>
  <si>
    <t>准确16|受怪减伤800</t>
  </si>
  <si>
    <t>龙躯·九阶</t>
  </si>
  <si>
    <t>准确18|受怪减伤900</t>
  </si>
  <si>
    <t>龙躯·十阶</t>
  </si>
  <si>
    <t>准确20|受怪减伤1000</t>
  </si>
  <si>
    <t>龙躯·十一阶</t>
  </si>
  <si>
    <t>准确22|受怪减伤1100</t>
  </si>
  <si>
    <t>龙躯·十二阶</t>
  </si>
  <si>
    <t>准确24|受怪减伤1200</t>
  </si>
  <si>
    <t>龙躯·十三阶</t>
  </si>
  <si>
    <t>准确26|受怪减伤1300</t>
  </si>
  <si>
    <t>龙躯·十四阶</t>
  </si>
  <si>
    <t>准确28|受怪减伤1400</t>
  </si>
  <si>
    <t>龙躯·十五阶</t>
  </si>
  <si>
    <t>准确30|受怪减伤1500</t>
  </si>
  <si>
    <t>龙躯·十六阶</t>
  </si>
  <si>
    <t>准确32|受怪减伤1600</t>
  </si>
  <si>
    <t>龙躯·十七阶</t>
  </si>
  <si>
    <t>准确34|受怪减伤1700</t>
  </si>
  <si>
    <t>龙躯·十八阶</t>
  </si>
  <si>
    <t>准确36|受怪减伤1800</t>
  </si>
  <si>
    <t>龙躯·十九阶</t>
  </si>
  <si>
    <t>准确38|受怪减伤1900</t>
  </si>
  <si>
    <t>龙躯·二十阶</t>
  </si>
  <si>
    <t>准确40|受怪减伤2000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</si>
  <si>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</si>
  <si>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</si>
  <si>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</si>
  <si>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</si>
  <si>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</si>
  <si>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</si>
  <si>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</si>
  <si>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</si>
  <si>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</si>
  <si>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</si>
  <si>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</si>
  <si>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</si>
  <si>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</si>
  <si>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</si>
  <si>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</si>
  <si>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</si>
  <si>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</si>
  <si>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</si>
  <si>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</si>
  <si>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</si>
  <si>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</si>
  <si>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</si>
  <si>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</si>
  <si>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</si>
  <si>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</si>
  <si>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</si>
  <si>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</si>
  <si>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</si>
  <si>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</si>
  <si>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</si>
  <si>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</si>
  <si>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</si>
  <si>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</si>
  <si>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</si>
  <si>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</si>
  <si>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</si>
  <si>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</si>
  <si>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</si>
  <si>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</si>
  <si>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</si>
  <si>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</si>
  <si>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</si>
  <si>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</si>
  <si>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</si>
  <si>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</si>
  <si>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</si>
  <si>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</si>
  <si>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</si>
  <si>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</si>
  <si>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</si>
  <si>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</si>
  <si>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</si>
  <si>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</si>
  <si>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</si>
  <si>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</si>
  <si>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</si>
  <si>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</si>
  <si>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</si>
  <si>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</si>
  <si>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</si>
  <si>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</si>
  <si>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</si>
  <si>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</si>
  <si>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</si>
  <si>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</si>
  <si>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</si>
  <si>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</si>
  <si>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</si>
  <si>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</si>
  <si>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</si>
  <si>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</si>
  <si>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</si>
  <si>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</si>
  <si>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</si>
  <si>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</si>
  <si>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</si>
  <si>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</si>
  <si>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</si>
  <si>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</si>
  <si>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HPMP + 5%</t>
    <phoneticPr fontId="1" type="noConversion"/>
  </si>
  <si>
    <t>火龙斗笠Lv.1(1星)</t>
  </si>
  <si>
    <t>HPMP + 5%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</si>
  <si>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</si>
  <si>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</si>
  <si>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</si>
  <si>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</si>
  <si>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</si>
  <si>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</si>
  <si>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</si>
  <si>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</si>
  <si>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</si>
  <si>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HPMP + 10%</t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</si>
  <si>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</si>
  <si>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</si>
  <si>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</si>
  <si>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</si>
  <si>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</si>
  <si>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</si>
  <si>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</si>
  <si>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</si>
  <si>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</si>
  <si>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</si>
  <si>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HPMP + 15%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</si>
  <si>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</si>
  <si>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</si>
  <si>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</si>
  <si>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</si>
  <si>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</si>
  <si>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</si>
  <si>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</si>
  <si>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</si>
  <si>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</si>
  <si>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</si>
  <si>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HPMP + 20%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</si>
  <si>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</si>
  <si>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</si>
  <si>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</si>
  <si>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</si>
  <si>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</si>
  <si>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</si>
  <si>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</si>
  <si>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</si>
  <si>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</si>
  <si>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</si>
  <si>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HPMP + 25%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</si>
  <si>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</si>
  <si>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</si>
  <si>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</si>
  <si>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</si>
  <si>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</si>
  <si>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</si>
  <si>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</si>
  <si>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</si>
  <si>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</si>
  <si>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</si>
  <si>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HPMP + 30%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</si>
  <si>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</si>
  <si>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</si>
  <si>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</si>
  <si>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</si>
  <si>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</si>
  <si>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</si>
  <si>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</si>
  <si>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</si>
  <si>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</si>
  <si>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</si>
  <si>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HPMP + 35%</t>
    <phoneticPr fontId="1" type="noConversion"/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</si>
  <si>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</si>
  <si>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</si>
  <si>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</si>
  <si>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</si>
  <si>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</si>
  <si>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</si>
  <si>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</si>
  <si>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</si>
  <si>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</si>
  <si>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</si>
  <si>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HPMP + 40%</t>
    <phoneticPr fontId="1" type="noConversion"/>
  </si>
  <si>
    <t>火龙斗笠Lv.8(1星)</t>
  </si>
  <si>
    <t>HPMP + 40%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</si>
  <si>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</si>
  <si>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</si>
  <si>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</si>
  <si>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</si>
  <si>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</si>
  <si>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</si>
  <si>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</si>
  <si>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</si>
  <si>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</si>
  <si>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HPMP + 45%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</si>
  <si>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</si>
  <si>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</si>
  <si>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</si>
  <si>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</si>
  <si>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</si>
  <si>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</si>
  <si>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</si>
  <si>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</si>
  <si>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</si>
  <si>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</si>
  <si>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HPMP + 50%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</si>
  <si>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</si>
  <si>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</si>
  <si>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</si>
  <si>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</si>
  <si>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</si>
  <si>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</si>
  <si>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</si>
  <si>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</si>
  <si>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</si>
  <si>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</si>
  <si>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</si>
  <si>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</si>
  <si>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HPMP + 1%忽视防御 + 1%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</si>
  <si>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</si>
  <si>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</si>
  <si>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</si>
  <si>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</si>
  <si>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</si>
  <si>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</si>
  <si>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</si>
  <si>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</si>
  <si>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</si>
  <si>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</si>
  <si>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HPMP + 2%忽视防御 + 2%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</si>
  <si>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</si>
  <si>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</si>
  <si>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</si>
  <si>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</si>
  <si>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</si>
  <si>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</si>
  <si>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</si>
  <si>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</si>
  <si>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</si>
  <si>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</si>
  <si>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HPMP + 3%忽视防御 + 3%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</si>
  <si>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</si>
  <si>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</si>
  <si>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</si>
  <si>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</si>
  <si>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</si>
  <si>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</si>
  <si>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</si>
  <si>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</si>
  <si>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</si>
  <si>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</si>
  <si>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HPMP + 4%忽视防御 + 4%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</si>
  <si>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</si>
  <si>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</si>
  <si>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</si>
  <si>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</si>
  <si>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</si>
  <si>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</si>
  <si>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</si>
  <si>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</si>
  <si>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</si>
  <si>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</si>
  <si>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HPMP + 5%忽视防御 + 5%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</si>
  <si>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</si>
  <si>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</si>
  <si>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</si>
  <si>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</si>
  <si>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</si>
  <si>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</si>
  <si>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</si>
  <si>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</si>
  <si>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</si>
  <si>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</si>
  <si>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HPMP + 6%忽视防御 + 6%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</si>
  <si>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</si>
  <si>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</si>
  <si>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</si>
  <si>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</si>
  <si>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</si>
  <si>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</si>
  <si>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</si>
  <si>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</si>
  <si>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</si>
  <si>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</si>
  <si>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HPMP + 7%忽视防御 + 7%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</si>
  <si>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</si>
  <si>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</si>
  <si>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</si>
  <si>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</si>
  <si>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</si>
  <si>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</si>
  <si>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</si>
  <si>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</si>
  <si>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</si>
  <si>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</si>
  <si>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HPMP + 8%忽视防御 + 8%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</si>
  <si>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</si>
  <si>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</si>
  <si>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</si>
  <si>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</si>
  <si>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</si>
  <si>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</si>
  <si>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</si>
  <si>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</si>
  <si>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</si>
  <si>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</si>
  <si>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HPMP + 9%忽视防御 + 9%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</si>
  <si>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</si>
  <si>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</si>
  <si>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</si>
  <si>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</si>
  <si>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</si>
  <si>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</si>
  <si>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</si>
  <si>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</si>
  <si>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</si>
  <si>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</si>
  <si>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HPMP + 10%忽视防御 + 10%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</si>
  <si>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</si>
  <si>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</si>
  <si>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</si>
  <si>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</si>
  <si>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</si>
  <si>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</si>
  <si>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</si>
  <si>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</si>
  <si>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</si>
  <si>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</si>
  <si>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</si>
  <si>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</si>
  <si>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物防 + 2%魔防 + 2%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</si>
  <si>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</si>
  <si>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</si>
  <si>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</si>
  <si>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</si>
  <si>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</si>
  <si>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</si>
  <si>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</si>
  <si>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</si>
  <si>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</si>
  <si>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</si>
  <si>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物防 + 4%魔防 + 4%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</si>
  <si>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</si>
  <si>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</si>
  <si>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</si>
  <si>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</si>
  <si>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</si>
  <si>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</si>
  <si>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</si>
  <si>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</si>
  <si>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</si>
  <si>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</si>
  <si>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物防 + 6%魔防 + 6%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</si>
  <si>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</si>
  <si>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</si>
  <si>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</si>
  <si>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</si>
  <si>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</si>
  <si>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</si>
  <si>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</si>
  <si>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</si>
  <si>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</si>
  <si>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</si>
  <si>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物防 + 8%魔防 + 8%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</si>
  <si>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</si>
  <si>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</si>
  <si>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</si>
  <si>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</si>
  <si>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</si>
  <si>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</si>
  <si>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</si>
  <si>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</si>
  <si>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</si>
  <si>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</si>
  <si>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物防 + 10%魔防 + 10%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</si>
  <si>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</si>
  <si>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</si>
  <si>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</si>
  <si>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</si>
  <si>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</si>
  <si>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</si>
  <si>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</si>
  <si>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</si>
  <si>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</si>
  <si>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</si>
  <si>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物防 + 12%魔防 + 12%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</si>
  <si>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</si>
  <si>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</si>
  <si>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</si>
  <si>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</si>
  <si>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</si>
  <si>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</si>
  <si>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</si>
  <si>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</si>
  <si>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</si>
  <si>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</si>
  <si>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物防 + 14%魔防 + 14%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</si>
  <si>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</si>
  <si>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</si>
  <si>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</si>
  <si>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</si>
  <si>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</si>
  <si>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</si>
  <si>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</si>
  <si>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</si>
  <si>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</si>
  <si>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</si>
  <si>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物防 + 16%魔防 + 16%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</si>
  <si>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</si>
  <si>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</si>
  <si>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</si>
  <si>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</si>
  <si>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</si>
  <si>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</si>
  <si>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</si>
  <si>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</si>
  <si>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</si>
  <si>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</si>
  <si>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物防 + 18%魔防 + 18%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</si>
  <si>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</si>
  <si>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</si>
  <si>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</si>
  <si>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</si>
  <si>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</si>
  <si>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</si>
  <si>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</si>
  <si>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</si>
  <si>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</si>
  <si>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</si>
  <si>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物防 + 20%魔防 + 20%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</si>
  <si>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</si>
  <si>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</si>
  <si>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</si>
  <si>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</si>
  <si>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</si>
  <si>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</si>
  <si>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</si>
  <si>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</si>
  <si>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</si>
  <si>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</si>
  <si>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</si>
  <si>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</si>
  <si>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HPMP + 1%攻魔道 + 1%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</si>
  <si>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</si>
  <si>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</si>
  <si>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</si>
  <si>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</si>
  <si>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</si>
  <si>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</si>
  <si>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</si>
  <si>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</si>
  <si>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</si>
  <si>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</si>
  <si>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HPMP + 2%攻魔道 + 2%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</si>
  <si>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</si>
  <si>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</si>
  <si>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</si>
  <si>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</si>
  <si>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</si>
  <si>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</si>
  <si>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</si>
  <si>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</si>
  <si>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</si>
  <si>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</si>
  <si>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HPMP + 3%攻魔道 + 3%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</si>
  <si>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</si>
  <si>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</si>
  <si>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</si>
  <si>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</si>
  <si>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</si>
  <si>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</si>
  <si>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</si>
  <si>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</si>
  <si>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</si>
  <si>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</si>
  <si>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HPMP + 4%攻魔道 + 4%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</si>
  <si>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</si>
  <si>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</si>
  <si>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</si>
  <si>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</si>
  <si>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</si>
  <si>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</si>
  <si>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</si>
  <si>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</si>
  <si>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</si>
  <si>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</si>
  <si>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HPMP + 5%攻魔道 + 5%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</si>
  <si>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</si>
  <si>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</si>
  <si>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</si>
  <si>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</si>
  <si>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</si>
  <si>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</si>
  <si>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</si>
  <si>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</si>
  <si>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</si>
  <si>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</si>
  <si>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HPMP + 6%攻魔道 + 6%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</si>
  <si>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</si>
  <si>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</si>
  <si>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</si>
  <si>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</si>
  <si>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</si>
  <si>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</si>
  <si>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</si>
  <si>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</si>
  <si>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</si>
  <si>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</si>
  <si>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HPMP + 7%攻魔道 + 7%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</si>
  <si>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</si>
  <si>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</si>
  <si>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</si>
  <si>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</si>
  <si>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</si>
  <si>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</si>
  <si>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</si>
  <si>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</si>
  <si>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</si>
  <si>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</si>
  <si>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HPMP + 8%攻魔道 + 8%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</si>
  <si>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</si>
  <si>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</si>
  <si>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</si>
  <si>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</si>
  <si>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</si>
  <si>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</si>
  <si>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</si>
  <si>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</si>
  <si>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</si>
  <si>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</si>
  <si>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HPMP + 10%攻魔道 + 10%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</si>
  <si>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</si>
  <si>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</si>
  <si>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</si>
  <si>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</si>
  <si>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</si>
  <si>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</si>
  <si>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</si>
  <si>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</si>
  <si>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</si>
  <si>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</si>
  <si>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HPMP + 12%攻魔道 + 12%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</si>
  <si>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</si>
  <si>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</si>
  <si>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</si>
  <si>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</si>
  <si>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</si>
  <si>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</si>
  <si>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</si>
  <si>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</si>
  <si>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</si>
  <si>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</si>
  <si>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</si>
  <si>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</si>
  <si>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</si>
  <si>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</si>
  <si>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</si>
  <si>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</si>
  <si>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</si>
  <si>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</si>
  <si>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</si>
  <si>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</si>
  <si>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</si>
  <si>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</si>
  <si>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</si>
  <si>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</si>
  <si>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</si>
  <si>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</si>
  <si>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</si>
  <si>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</si>
  <si>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</si>
  <si>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</si>
  <si>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</si>
  <si>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</si>
  <si>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</si>
  <si>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</si>
  <si>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</si>
  <si>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</si>
  <si>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</si>
  <si>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</si>
  <si>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</si>
  <si>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</si>
  <si>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</si>
  <si>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</si>
  <si>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</si>
  <si>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</si>
  <si>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</si>
  <si>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</si>
  <si>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</si>
  <si>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</si>
  <si>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</si>
  <si>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</si>
  <si>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</si>
  <si>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</si>
  <si>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</si>
  <si>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</si>
  <si>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</si>
  <si>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</si>
  <si>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</si>
  <si>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</si>
  <si>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</si>
  <si>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</si>
  <si>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</si>
  <si>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</si>
  <si>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</si>
  <si>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</si>
  <si>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</si>
  <si>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</si>
  <si>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</si>
  <si>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</si>
  <si>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</si>
  <si>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</si>
  <si>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</si>
  <si>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</si>
  <si>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</si>
  <si>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</si>
  <si>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</si>
  <si>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</si>
  <si>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</si>
  <si>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</si>
  <si>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</si>
  <si>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</si>
  <si>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</si>
  <si>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</si>
  <si>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</si>
  <si>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</si>
  <si>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</si>
  <si>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</si>
  <si>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</si>
  <si>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</si>
  <si>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</si>
  <si>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</si>
  <si>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</si>
  <si>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</si>
  <si>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</si>
  <si>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</si>
  <si>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</si>
  <si>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</si>
  <si>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</si>
  <si>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</si>
  <si>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</si>
  <si>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</si>
  <si>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</si>
  <si>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</si>
  <si>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</si>
  <si>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</si>
  <si>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</si>
  <si>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</si>
  <si>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</si>
  <si>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</si>
  <si>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</si>
  <si>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</si>
  <si>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</si>
  <si>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</si>
  <si>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</si>
  <si>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</si>
  <si>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</si>
  <si>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</si>
  <si>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</si>
  <si>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</si>
  <si>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</si>
  <si>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</si>
  <si>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</si>
  <si>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</si>
  <si>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</si>
  <si>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</si>
  <si>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</si>
  <si>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</si>
  <si>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</si>
  <si>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</si>
  <si>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</si>
  <si>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</si>
  <si>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</si>
  <si>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</si>
  <si>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</si>
  <si>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</si>
  <si>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</si>
  <si>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</si>
  <si>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</si>
  <si>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</si>
  <si>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</si>
  <si>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</si>
  <si>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</si>
  <si>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</si>
  <si>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</si>
  <si>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</si>
  <si>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</si>
  <si>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</si>
  <si>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</si>
  <si>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</si>
  <si>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</si>
  <si>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</si>
  <si>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</si>
  <si>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</si>
  <si>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</si>
  <si>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</si>
  <si>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</si>
  <si>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</si>
  <si>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</si>
  <si>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</si>
  <si>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</si>
  <si>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</si>
  <si>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</si>
  <si>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</si>
  <si>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</si>
  <si>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</si>
  <si>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</si>
  <si>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</si>
  <si>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</si>
  <si>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</si>
  <si>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</si>
  <si>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</si>
  <si>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</si>
  <si>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</si>
  <si>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</si>
  <si>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</si>
  <si>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</si>
  <si>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</si>
  <si>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</si>
  <si>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</si>
  <si>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</si>
  <si>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</si>
  <si>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</si>
  <si>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</si>
  <si>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</si>
  <si>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</si>
  <si>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</si>
  <si>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</si>
  <si>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</si>
  <si>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</si>
  <si>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</si>
  <si>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</si>
  <si>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</si>
  <si>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</si>
  <si>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</si>
  <si>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</si>
  <si>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</si>
  <si>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</si>
  <si>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</si>
  <si>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</si>
  <si>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</si>
  <si>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</si>
  <si>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</si>
  <si>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</si>
  <si>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</si>
  <si>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</si>
  <si>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</si>
  <si>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</si>
  <si>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</si>
  <si>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</si>
  <si>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</si>
  <si>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</si>
  <si>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</si>
  <si>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</si>
  <si>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</si>
  <si>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</si>
  <si>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</si>
  <si>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</si>
  <si>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</si>
  <si>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</si>
  <si>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</si>
  <si>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</si>
  <si>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</si>
  <si>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</si>
  <si>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</si>
  <si>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</si>
  <si>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</si>
  <si>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</si>
  <si>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</si>
  <si>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</si>
  <si>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</si>
  <si>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</si>
  <si>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</si>
  <si>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</si>
  <si>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</si>
  <si>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</si>
  <si>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</si>
  <si>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</si>
  <si>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</si>
  <si>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</si>
  <si>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</si>
  <si>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</si>
  <si>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</si>
  <si>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</si>
  <si>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</si>
  <si>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</si>
  <si>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</si>
  <si>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</si>
  <si>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</si>
  <si>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</si>
  <si>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</si>
  <si>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</si>
  <si>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</si>
  <si>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</si>
  <si>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</si>
  <si>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</si>
  <si>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</si>
  <si>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</si>
  <si>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</si>
  <si>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</si>
  <si>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</si>
  <si>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</si>
  <si>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</si>
  <si>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</si>
  <si>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</si>
  <si>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</si>
  <si>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</si>
  <si>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</si>
  <si>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</si>
  <si>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</si>
  <si>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</si>
  <si>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</si>
  <si>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</si>
  <si>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</si>
  <si>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</si>
  <si>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</si>
  <si>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</si>
  <si>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</si>
  <si>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</si>
  <si>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</si>
  <si>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</si>
  <si>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</si>
  <si>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</si>
  <si>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</si>
  <si>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</si>
  <si>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</si>
  <si>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</si>
  <si>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</si>
  <si>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</si>
  <si>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</si>
  <si>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</si>
  <si>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</si>
  <si>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</si>
  <si>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</si>
  <si>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</si>
  <si>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</si>
  <si>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</si>
  <si>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</si>
  <si>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</si>
  <si>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</si>
  <si>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</si>
  <si>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</si>
  <si>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</si>
  <si>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</si>
  <si>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</si>
  <si>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</si>
  <si>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</si>
  <si>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</si>
  <si>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</si>
  <si>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</si>
  <si>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</si>
  <si>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</si>
  <si>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</si>
  <si>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</si>
  <si>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</si>
  <si>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</si>
  <si>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</si>
  <si>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</si>
  <si>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</si>
  <si>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</si>
  <si>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</si>
  <si>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</si>
  <si>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</si>
  <si>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</si>
  <si>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</si>
  <si>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</si>
  <si>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</si>
  <si>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</si>
  <si>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</si>
  <si>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</si>
  <si>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</si>
  <si>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</si>
  <si>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</si>
  <si>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</si>
  <si>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</si>
  <si>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</si>
  <si>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</si>
  <si>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</si>
  <si>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伤害减免1%</t>
    <phoneticPr fontId="1" type="noConversion"/>
  </si>
  <si>
    <t>8星</t>
  </si>
  <si>
    <t>伤害减免2%</t>
    <phoneticPr fontId="1" type="noConversion"/>
  </si>
  <si>
    <t>9星</t>
  </si>
  <si>
    <t>伤害减免3%</t>
    <phoneticPr fontId="1" type="noConversion"/>
  </si>
  <si>
    <t>10星</t>
  </si>
  <si>
    <t>伤害减免4%</t>
    <phoneticPr fontId="1" type="noConversion"/>
  </si>
  <si>
    <t>11星</t>
  </si>
  <si>
    <t>伤害减免5%</t>
    <phoneticPr fontId="1" type="noConversion"/>
  </si>
  <si>
    <t>12星</t>
  </si>
  <si>
    <t>伤害减免6%</t>
    <phoneticPr fontId="1" type="noConversion"/>
  </si>
  <si>
    <t>13星</t>
  </si>
  <si>
    <t>14星</t>
  </si>
  <si>
    <t>15星</t>
  </si>
  <si>
    <t>16星</t>
  </si>
  <si>
    <t>17星</t>
  </si>
  <si>
    <t>18星</t>
  </si>
  <si>
    <t>伤害减免7%</t>
    <phoneticPr fontId="1" type="noConversion"/>
  </si>
  <si>
    <t>19星</t>
  </si>
  <si>
    <t>伤害减免8%</t>
    <phoneticPr fontId="1" type="noConversion"/>
  </si>
  <si>
    <t>20星</t>
  </si>
  <si>
    <t>21星</t>
  </si>
  <si>
    <t>伤害减免9%</t>
    <phoneticPr fontId="1" type="noConversion"/>
  </si>
  <si>
    <t>22星</t>
  </si>
  <si>
    <t>伤害减免10%</t>
    <phoneticPr fontId="1" type="noConversion"/>
  </si>
  <si>
    <t>23星</t>
  </si>
  <si>
    <t>伤害减免11%</t>
    <phoneticPr fontId="1" type="noConversion"/>
  </si>
  <si>
    <t>24星</t>
  </si>
  <si>
    <t>伤害减免12%</t>
    <phoneticPr fontId="1" type="noConversion"/>
  </si>
  <si>
    <t>25星</t>
  </si>
  <si>
    <t>26星</t>
  </si>
  <si>
    <t>27星</t>
  </si>
  <si>
    <t>28星</t>
  </si>
  <si>
    <t>29星</t>
  </si>
  <si>
    <t>30星</t>
  </si>
  <si>
    <t>31星</t>
  </si>
  <si>
    <t>伤害减免13%</t>
    <phoneticPr fontId="1" type="noConversion"/>
  </si>
  <si>
    <t>32星</t>
  </si>
  <si>
    <t>伤害减免14%</t>
    <phoneticPr fontId="1" type="noConversion"/>
  </si>
  <si>
    <t>33星</t>
  </si>
  <si>
    <t>伤害减免15%</t>
    <phoneticPr fontId="1" type="noConversion"/>
  </si>
  <si>
    <t>34星</t>
  </si>
  <si>
    <t>伤害减免16%</t>
    <phoneticPr fontId="1" type="noConversion"/>
  </si>
  <si>
    <t>35星</t>
  </si>
  <si>
    <t>伤害减免17%</t>
    <phoneticPr fontId="1" type="noConversion"/>
  </si>
  <si>
    <t>36星</t>
  </si>
  <si>
    <t>伤害减免18%</t>
    <phoneticPr fontId="1" type="noConversion"/>
  </si>
  <si>
    <t>37星</t>
  </si>
  <si>
    <t>38星</t>
  </si>
  <si>
    <t>39星</t>
  </si>
  <si>
    <t>伤害加成1%</t>
    <phoneticPr fontId="1" type="noConversion"/>
  </si>
  <si>
    <t>伤害加成2%</t>
    <phoneticPr fontId="1" type="noConversion"/>
  </si>
  <si>
    <t>伤害加成3%</t>
    <phoneticPr fontId="1" type="noConversion"/>
  </si>
  <si>
    <t>伤害加成4%</t>
    <phoneticPr fontId="1" type="noConversion"/>
  </si>
  <si>
    <t>伤害加成5%</t>
    <phoneticPr fontId="1" type="noConversion"/>
  </si>
  <si>
    <t>伤害加成6%</t>
    <phoneticPr fontId="1" type="noConversion"/>
  </si>
  <si>
    <t>伤害加成7%</t>
    <phoneticPr fontId="1" type="noConversion"/>
  </si>
  <si>
    <t>伤害加成8%</t>
    <phoneticPr fontId="1" type="noConversion"/>
  </si>
  <si>
    <t>伤害加成9%</t>
    <phoneticPr fontId="1" type="noConversion"/>
  </si>
  <si>
    <t>伤害加成10%</t>
    <phoneticPr fontId="1" type="noConversion"/>
  </si>
  <si>
    <t>伤害加成11%</t>
    <phoneticPr fontId="1" type="noConversion"/>
  </si>
  <si>
    <t>伤害加成12%</t>
    <phoneticPr fontId="1" type="noConversion"/>
  </si>
  <si>
    <t>伤害加成13%</t>
    <phoneticPr fontId="1" type="noConversion"/>
  </si>
  <si>
    <t>伤害加成14%</t>
    <phoneticPr fontId="1" type="noConversion"/>
  </si>
  <si>
    <t>伤害加成15%</t>
    <phoneticPr fontId="1" type="noConversion"/>
  </si>
  <si>
    <t>伤害加成16%</t>
    <phoneticPr fontId="1" type="noConversion"/>
  </si>
  <si>
    <t>伤害加成17%</t>
    <phoneticPr fontId="1" type="noConversion"/>
  </si>
  <si>
    <t>伤害加成18%</t>
    <phoneticPr fontId="1" type="noConversion"/>
  </si>
  <si>
    <t>伤害反弹1%</t>
  </si>
  <si>
    <t>伤害反弹2%</t>
  </si>
  <si>
    <t>伤害反弹3%</t>
  </si>
  <si>
    <t>伤害反弹4%</t>
  </si>
  <si>
    <t>伤害反弹5%</t>
  </si>
  <si>
    <t>伤害反弹6%</t>
  </si>
  <si>
    <t>伤害反弹7%</t>
  </si>
  <si>
    <t>伤害反弹8%</t>
  </si>
  <si>
    <t>伤害反弹9%</t>
  </si>
  <si>
    <t>伤害反弹10%</t>
  </si>
  <si>
    <t>伤害反弹11%</t>
  </si>
  <si>
    <t>伤害反弹12%</t>
  </si>
  <si>
    <t>伤害反弹13%</t>
  </si>
  <si>
    <t>伤害反弹14%</t>
  </si>
  <si>
    <t>伤害反弹15%</t>
  </si>
  <si>
    <t>伤害反弹16%</t>
  </si>
  <si>
    <t>伤害反弹17%</t>
  </si>
  <si>
    <t>伤害反弹18%</t>
  </si>
  <si>
    <t>暴击几率1%</t>
  </si>
  <si>
    <t>暴击几率2%</t>
  </si>
  <si>
    <t>暴击几率3%</t>
  </si>
  <si>
    <t>暴击几率4%</t>
  </si>
  <si>
    <t>暴击几率5%</t>
  </si>
  <si>
    <t>暴击几率6%</t>
  </si>
  <si>
    <t>暴击几率7%</t>
  </si>
  <si>
    <t>暴击几率8%</t>
  </si>
  <si>
    <t>暴击几率9%</t>
  </si>
  <si>
    <t>暴击几率10%</t>
  </si>
  <si>
    <t>暴击几率11%</t>
  </si>
  <si>
    <t>暴击几率12%</t>
  </si>
  <si>
    <t>暴击几率13%</t>
  </si>
  <si>
    <t>暴击几率14%</t>
  </si>
  <si>
    <t>暴击几率15%</t>
  </si>
  <si>
    <t>暴击几率16%</t>
  </si>
  <si>
    <t>暴击几率17%</t>
  </si>
  <si>
    <t>暴击几率18%</t>
  </si>
  <si>
    <t>防御加成1%</t>
  </si>
  <si>
    <t>防御加成2%</t>
  </si>
  <si>
    <t>防御加成3%</t>
  </si>
  <si>
    <t>防御加成4%</t>
  </si>
  <si>
    <t>防御加成5%</t>
  </si>
  <si>
    <t>防御加成6%</t>
  </si>
  <si>
    <t>防御加成7%</t>
  </si>
  <si>
    <t>防御加成8%</t>
  </si>
  <si>
    <t>防御加成9%</t>
  </si>
  <si>
    <t>防御加成10%</t>
  </si>
  <si>
    <t>防御加成11%</t>
  </si>
  <si>
    <t>防御加成12%</t>
  </si>
  <si>
    <t>防御加成13%</t>
  </si>
  <si>
    <t>防御加成14%</t>
  </si>
  <si>
    <t>防御加成15%</t>
  </si>
  <si>
    <t>防御加成16%</t>
  </si>
  <si>
    <t>防御加成17%</t>
  </si>
  <si>
    <t>防御加成18%</t>
  </si>
  <si>
    <t>攻击加成1%</t>
  </si>
  <si>
    <t>攻击加成2%</t>
  </si>
  <si>
    <t>攻击加成3%</t>
  </si>
  <si>
    <t>攻击加成4%</t>
  </si>
  <si>
    <t>攻击加成5%</t>
  </si>
  <si>
    <t>攻击加成6%</t>
  </si>
  <si>
    <t>攻击加成7%</t>
  </si>
  <si>
    <t>攻击加成8%</t>
  </si>
  <si>
    <t>攻击加成9%</t>
  </si>
  <si>
    <t>攻击加成10%</t>
  </si>
  <si>
    <t>攻击加成11%</t>
  </si>
  <si>
    <t>攻击加成12%</t>
  </si>
  <si>
    <t>攻击加成13%</t>
  </si>
  <si>
    <t>攻击加成14%</t>
  </si>
  <si>
    <t>攻击加成15%</t>
  </si>
  <si>
    <t>攻击加成16%</t>
  </si>
  <si>
    <t>攻击加成17%</t>
  </si>
  <si>
    <t>攻击加成18%</t>
  </si>
  <si>
    <t>HPMP加成1%</t>
  </si>
  <si>
    <t>HPMP加成2%</t>
  </si>
  <si>
    <t>HPMP加成3%</t>
  </si>
  <si>
    <t>HPMP加成4%</t>
  </si>
  <si>
    <t>HPMP加成5%</t>
  </si>
  <si>
    <t>HPMP加成6%</t>
  </si>
  <si>
    <t>HPMP加成7%</t>
  </si>
  <si>
    <t>HPMP加成8%</t>
  </si>
  <si>
    <t>HPMP加成9%</t>
  </si>
  <si>
    <t>HPMP加成10%</t>
  </si>
  <si>
    <t>HPMP加成11%</t>
  </si>
  <si>
    <t>HPMP加成12%</t>
  </si>
  <si>
    <t>HPMP加成13%</t>
  </si>
  <si>
    <t>HPMP加成14%</t>
  </si>
  <si>
    <t>HPMP加成15%</t>
  </si>
  <si>
    <t>HPMP加成16%</t>
  </si>
  <si>
    <t>HPMP加成17%</t>
  </si>
  <si>
    <t>HPMP加成18%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</si>
  <si>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</si>
  <si>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</si>
  <si>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</si>
  <si>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</si>
  <si>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</si>
  <si>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</si>
  <si>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</si>
  <si>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</si>
  <si>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</si>
  <si>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</si>
  <si>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</si>
  <si>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</si>
  <si>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</si>
  <si>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</si>
  <si>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</si>
  <si>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</si>
  <si>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</si>
  <si>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</si>
  <si>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</si>
  <si>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</si>
  <si>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</si>
  <si>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</si>
  <si>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</si>
  <si>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</si>
  <si>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</si>
  <si>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</si>
  <si>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</si>
  <si>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</si>
  <si>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</si>
  <si>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</si>
  <si>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</si>
  <si>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</si>
  <si>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</si>
  <si>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</si>
  <si>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</si>
  <si>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</si>
  <si>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</si>
  <si>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</si>
  <si>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</si>
  <si>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</si>
  <si>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</si>
  <si>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</si>
  <si>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</si>
  <si>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</si>
  <si>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</si>
  <si>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</si>
  <si>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</si>
  <si>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</si>
  <si>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</si>
  <si>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</si>
  <si>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</si>
  <si>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</si>
  <si>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</si>
  <si>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</si>
  <si>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</si>
  <si>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</si>
  <si>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</si>
  <si>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</si>
  <si>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</si>
  <si>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</si>
  <si>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</si>
  <si>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</si>
  <si>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</si>
  <si>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</si>
  <si>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</si>
  <si>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</si>
  <si>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</si>
  <si>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</si>
  <si>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</si>
  <si>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</si>
  <si>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</si>
  <si>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</si>
  <si>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</si>
  <si>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</si>
  <si>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</si>
  <si>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</si>
  <si>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</si>
  <si>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</si>
  <si>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</si>
  <si>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</si>
  <si>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</si>
  <si>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</si>
  <si>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</si>
  <si>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</si>
  <si>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</si>
  <si>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</si>
  <si>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</si>
  <si>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</si>
  <si>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</si>
  <si>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</si>
  <si>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</si>
  <si>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</si>
  <si>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</si>
  <si>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</si>
  <si>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</si>
  <si>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</si>
  <si>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</si>
  <si>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</si>
  <si>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</si>
  <si>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</si>
  <si>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</si>
  <si>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</si>
  <si>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</si>
  <si>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</si>
  <si>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</si>
  <si>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</si>
  <si>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</si>
  <si>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</si>
  <si>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</si>
  <si>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</si>
  <si>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</si>
  <si>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</si>
  <si>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攻击吸血1%</t>
    <phoneticPr fontId="1" type="noConversion"/>
  </si>
  <si>
    <t>攻击吸血2%</t>
    <phoneticPr fontId="1" type="noConversion"/>
  </si>
  <si>
    <t>攻击吸血3%</t>
  </si>
  <si>
    <t>火龙气息1/元宝3000</t>
  </si>
  <si>
    <t>攻击吸血4%</t>
  </si>
  <si>
    <t>攻击吸血5%</t>
  </si>
  <si>
    <t>攻击吸血6%</t>
  </si>
  <si>
    <t>攻击吸血7%</t>
  </si>
  <si>
    <t>攻击吸血8%</t>
  </si>
  <si>
    <t>攻击吸血9%</t>
  </si>
  <si>
    <t>攻击吸血10%</t>
  </si>
  <si>
    <t>穿杨</t>
    <phoneticPr fontId="1" type="noConversion"/>
  </si>
  <si>
    <t>忽视防御1%</t>
  </si>
  <si>
    <t>忽视防御2%</t>
  </si>
  <si>
    <t>忽视防御3%</t>
  </si>
  <si>
    <t>忽视防御4%</t>
  </si>
  <si>
    <t>忽视防御5%</t>
  </si>
  <si>
    <t>忽视防御6%</t>
  </si>
  <si>
    <t>忽视防御7%</t>
  </si>
  <si>
    <t>忽视防御8%</t>
  </si>
  <si>
    <t>忽视防御9%</t>
  </si>
  <si>
    <t>忽视防御10%</t>
  </si>
  <si>
    <t>强化</t>
    <phoneticPr fontId="1" type="noConversion"/>
  </si>
  <si>
    <t>伤害加成1%</t>
  </si>
  <si>
    <t>伤害加成2%</t>
  </si>
  <si>
    <t>伤害加成3%</t>
  </si>
  <si>
    <t>伤害加成4%</t>
  </si>
  <si>
    <t>伤害加成5%</t>
  </si>
  <si>
    <t>伤害加成6%</t>
  </si>
  <si>
    <t>伤害加成7%</t>
  </si>
  <si>
    <t>伤害加成8%</t>
  </si>
  <si>
    <t>伤害加成9%</t>
  </si>
  <si>
    <t>伤害加成10%</t>
  </si>
  <si>
    <t>精准</t>
    <phoneticPr fontId="1" type="noConversion"/>
  </si>
  <si>
    <t>强身</t>
    <phoneticPr fontId="1" type="noConversion"/>
  </si>
  <si>
    <t>血量加成1%</t>
  </si>
  <si>
    <t>血量加成2%</t>
  </si>
  <si>
    <t>血量加成3%</t>
  </si>
  <si>
    <t>血量加成4%</t>
  </si>
  <si>
    <t>血量加成5%</t>
  </si>
  <si>
    <t>血量加成6%</t>
  </si>
  <si>
    <t>血量加成7%</t>
  </si>
  <si>
    <t>血量加成8%</t>
  </si>
  <si>
    <t>血量加成9%</t>
  </si>
  <si>
    <t>血量加成10%</t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</si>
  <si>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</si>
  <si>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</si>
  <si>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</si>
  <si>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</si>
  <si>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</si>
  <si>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</si>
  <si>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</si>
  <si>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</si>
  <si>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</si>
  <si>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</si>
  <si>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</si>
  <si>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</si>
  <si>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</si>
  <si>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</si>
  <si>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</si>
  <si>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</si>
  <si>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</si>
  <si>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</si>
  <si>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</si>
  <si>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</si>
  <si>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</si>
  <si>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</si>
  <si>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</si>
  <si>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</si>
  <si>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</si>
  <si>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</si>
  <si>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</si>
  <si>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</si>
  <si>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</si>
  <si>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</si>
  <si>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</si>
  <si>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</si>
  <si>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</si>
  <si>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</si>
  <si>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</si>
  <si>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</si>
  <si>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</si>
  <si>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</si>
  <si>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</si>
  <si>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</si>
  <si>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</si>
  <si>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</si>
  <si>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</si>
  <si>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</si>
  <si>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</si>
  <si>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</si>
  <si>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</si>
  <si>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</si>
  <si>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</si>
  <si>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</si>
  <si>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</si>
  <si>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</si>
  <si>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</si>
  <si>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</si>
  <si>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</si>
  <si>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</si>
  <si>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</si>
  <si>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</si>
  <si>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</si>
  <si>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</si>
  <si>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</si>
  <si>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</si>
  <si>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</si>
  <si>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</si>
  <si>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</si>
  <si>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</si>
  <si>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</si>
  <si>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</si>
  <si>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</si>
  <si>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</si>
  <si>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</si>
  <si>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</si>
  <si>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</si>
  <si>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</si>
  <si>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</si>
  <si>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</si>
  <si>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</si>
  <si>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</si>
  <si>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</si>
  <si>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</si>
  <si>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</si>
  <si>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</si>
  <si>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</si>
  <si>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</si>
  <si>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</si>
  <si>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</si>
  <si>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</si>
  <si>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</si>
  <si>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</si>
  <si>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</si>
  <si>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</si>
  <si>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</si>
  <si>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</si>
  <si>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</si>
  <si>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</si>
  <si>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</si>
  <si>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</si>
  <si>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</si>
  <si>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</si>
  <si>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</si>
  <si>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</si>
  <si>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</si>
  <si>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</si>
  <si>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</si>
  <si>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</si>
  <si>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</si>
  <si>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</si>
  <si>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</si>
  <si>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</si>
  <si>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</si>
  <si>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</si>
  <si>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</si>
  <si>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</si>
  <si>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</si>
  <si>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</si>
  <si>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</si>
  <si>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</si>
  <si>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</si>
  <si>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</si>
  <si>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</si>
  <si>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</si>
  <si>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</si>
  <si>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</si>
  <si>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</si>
  <si>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</si>
  <si>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</si>
  <si>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</si>
  <si>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</si>
  <si>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</si>
  <si>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</si>
  <si>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</si>
  <si>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</si>
  <si>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</si>
  <si>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</si>
  <si>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</si>
  <si>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</si>
  <si>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</si>
  <si>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</si>
  <si>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</si>
  <si>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</si>
  <si>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</si>
  <si>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</si>
  <si>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</si>
  <si>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</si>
  <si>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</si>
  <si>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</si>
  <si>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</si>
  <si>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</si>
  <si>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</si>
  <si>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</si>
  <si>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</si>
  <si>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</si>
  <si>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</si>
  <si>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</si>
  <si>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</si>
  <si>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</si>
  <si>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</si>
  <si>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</si>
  <si>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</si>
  <si>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</si>
  <si>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</si>
  <si>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</si>
  <si>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</si>
  <si>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</si>
  <si>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</si>
  <si>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</si>
  <si>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</si>
  <si>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</si>
  <si>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</si>
  <si>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</si>
  <si>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</si>
  <si>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</si>
  <si>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</si>
  <si>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</si>
  <si>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</si>
  <si>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</si>
  <si>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</si>
  <si>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</si>
  <si>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</si>
  <si>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</si>
  <si>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</si>
  <si>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</si>
  <si>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</si>
  <si>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</si>
  <si>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</si>
  <si>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</si>
  <si>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</si>
  <si>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</si>
  <si>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</si>
  <si>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</si>
  <si>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</si>
  <si>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</si>
  <si>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</si>
  <si>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</si>
  <si>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</si>
  <si>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</si>
  <si>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</si>
  <si>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</si>
  <si>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</si>
  <si>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</si>
  <si>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</si>
  <si>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</si>
  <si>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</si>
  <si>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</si>
  <si>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</si>
  <si>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</si>
  <si>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</si>
  <si>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</si>
  <si>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</si>
  <si>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</si>
  <si>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</si>
  <si>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</si>
  <si>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</si>
  <si>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</si>
  <si>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</si>
  <si>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</si>
  <si>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</si>
  <si>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</si>
  <si>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</si>
  <si>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</si>
  <si>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</si>
  <si>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</si>
  <si>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</si>
  <si>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</si>
  <si>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</si>
  <si>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</si>
  <si>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</si>
  <si>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</si>
  <si>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</si>
  <si>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r>
      <t>基础属性（本表</t>
    </r>
    <r>
      <rPr>
        <b/>
        <sz val="14"/>
        <color rgb="FFFF0000"/>
        <rFont val="微软雅黑"/>
        <family val="2"/>
        <charset val="134"/>
      </rPr>
      <t>红字</t>
    </r>
    <r>
      <rPr>
        <b/>
        <sz val="14"/>
        <color theme="1"/>
        <rFont val="微软雅黑"/>
        <family val="2"/>
        <charset val="134"/>
      </rPr>
      <t>为主要需配置内容）</t>
    </r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</si>
  <si>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</si>
  <si>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</si>
  <si>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</si>
  <si>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</si>
  <si>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</si>
  <si>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</si>
  <si>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</si>
  <si>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</si>
  <si>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</si>
  <si>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</si>
  <si>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</si>
  <si>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</si>
  <si>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</si>
  <si>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</si>
  <si>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</si>
  <si>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</si>
  <si>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</si>
  <si>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</si>
  <si>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</si>
  <si>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</si>
  <si>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</si>
  <si>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</si>
  <si>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</si>
  <si>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</si>
  <si>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</si>
  <si>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</si>
  <si>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</si>
  <si>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</si>
  <si>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</si>
  <si>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</si>
  <si>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</si>
  <si>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</si>
  <si>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</si>
  <si>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</si>
  <si>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</si>
  <si>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</si>
  <si>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</si>
  <si>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</si>
  <si>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</si>
  <si>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</si>
  <si>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</si>
  <si>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</si>
  <si>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</si>
  <si>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</si>
  <si>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</si>
  <si>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</si>
  <si>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</si>
  <si>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</si>
  <si>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</si>
  <si>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</si>
  <si>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</si>
  <si>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</si>
  <si>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</si>
  <si>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</si>
  <si>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</si>
  <si>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</si>
  <si>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</si>
  <si>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</si>
  <si>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</si>
  <si>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</si>
  <si>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</si>
  <si>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</si>
  <si>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</si>
  <si>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</si>
  <si>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</si>
  <si>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</si>
  <si>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</si>
  <si>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</si>
  <si>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</si>
  <si>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</si>
  <si>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</si>
  <si>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</si>
  <si>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</si>
  <si>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</si>
  <si>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</si>
  <si>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</si>
  <si>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</si>
  <si>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</si>
  <si>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</si>
  <si>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</si>
  <si>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</si>
  <si>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</si>
  <si>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</si>
  <si>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</si>
  <si>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</si>
  <si>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</si>
  <si>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</si>
  <si>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</si>
  <si>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</si>
  <si>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</si>
  <si>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</si>
  <si>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</si>
  <si>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</si>
  <si>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</si>
  <si>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</si>
  <si>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</si>
  <si>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</si>
  <si>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</si>
  <si>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</si>
  <si>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</si>
  <si>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</si>
  <si>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</si>
  <si>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</si>
  <si>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</si>
  <si>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</si>
  <si>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</si>
  <si>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</si>
  <si>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</si>
  <si>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</si>
  <si>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</si>
  <si>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</si>
  <si>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</si>
  <si>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</si>
  <si>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</si>
  <si>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</si>
  <si>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</si>
  <si>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</si>
  <si>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</si>
  <si>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</si>
  <si>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</si>
  <si>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</si>
  <si>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</si>
  <si>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</si>
  <si>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</si>
  <si>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</si>
  <si>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</si>
  <si>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</si>
  <si>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</si>
  <si>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</si>
  <si>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</si>
  <si>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</si>
  <si>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</si>
  <si>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</si>
  <si>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</si>
  <si>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</si>
  <si>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</si>
  <si>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</si>
  <si>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</si>
  <si>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</si>
  <si>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</si>
  <si>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</si>
  <si>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</si>
  <si>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</si>
  <si>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</si>
  <si>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</si>
  <si>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</si>
  <si>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</si>
  <si>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</si>
  <si>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</si>
  <si>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</si>
  <si>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</si>
  <si>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</si>
  <si>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</si>
  <si>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养成线基础属性比例分配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</si>
  <si>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</si>
  <si>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</si>
  <si>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</si>
  <si>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</si>
  <si>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</si>
  <si>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</si>
  <si>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</si>
  <si>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</si>
  <si>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</si>
  <si>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</si>
  <si>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</si>
  <si>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</si>
  <si>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</si>
  <si>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</si>
  <si>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</si>
  <si>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</si>
  <si>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</si>
  <si>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</si>
  <si>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</si>
  <si>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</si>
  <si>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</si>
  <si>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</si>
  <si>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</si>
  <si>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</si>
  <si>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</si>
  <si>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</si>
  <si>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</si>
  <si>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</si>
  <si>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</si>
  <si>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</si>
  <si>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</si>
  <si>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</si>
  <si>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</si>
  <si>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</si>
  <si>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</si>
  <si>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</si>
  <si>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</si>
  <si>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</si>
  <si>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</si>
  <si>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</si>
  <si>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</si>
  <si>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</si>
  <si>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</si>
  <si>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</si>
  <si>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</si>
  <si>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</si>
  <si>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</si>
  <si>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</si>
  <si>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</si>
  <si>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</si>
  <si>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</si>
  <si>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</si>
  <si>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</si>
  <si>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</si>
  <si>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</si>
  <si>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</si>
  <si>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</si>
  <si>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</si>
  <si>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</si>
  <si>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</si>
  <si>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</si>
  <si>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</si>
  <si>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</si>
  <si>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</si>
  <si>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</si>
  <si>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</si>
  <si>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</si>
  <si>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</si>
  <si>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</si>
  <si>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</si>
  <si>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</si>
  <si>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</si>
  <si>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</si>
  <si>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</si>
  <si>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</si>
  <si>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</si>
  <si>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</si>
  <si>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</si>
  <si>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</si>
  <si>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</si>
  <si>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</si>
  <si>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</si>
  <si>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</si>
  <si>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</si>
  <si>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</si>
  <si>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</si>
  <si>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</si>
  <si>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</si>
  <si>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</si>
  <si>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</si>
  <si>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</si>
  <si>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</si>
  <si>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</si>
  <si>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</si>
  <si>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</si>
  <si>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</si>
  <si>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</si>
  <si>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</si>
  <si>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</si>
  <si>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</si>
  <si>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</si>
  <si>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</si>
  <si>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</si>
  <si>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</si>
  <si>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</si>
  <si>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</si>
  <si>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</si>
  <si>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</si>
  <si>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</si>
  <si>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</si>
  <si>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</si>
  <si>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</si>
  <si>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</si>
  <si>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</si>
  <si>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</si>
  <si>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</si>
  <si>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</si>
  <si>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</si>
  <si>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</si>
  <si>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</si>
  <si>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</si>
  <si>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</si>
  <si>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</si>
  <si>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</si>
  <si>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</si>
  <si>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</si>
  <si>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</si>
  <si>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</si>
  <si>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</si>
  <si>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</si>
  <si>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</si>
  <si>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</si>
  <si>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</si>
  <si>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</si>
  <si>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</si>
  <si>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</si>
  <si>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</si>
  <si>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</si>
  <si>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</si>
  <si>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</si>
  <si>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</si>
  <si>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</si>
  <si>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</si>
  <si>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</si>
  <si>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</si>
  <si>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</si>
  <si>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</si>
  <si>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</si>
  <si>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</si>
  <si>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</si>
  <si>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</si>
  <si>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</si>
  <si>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</si>
  <si>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</si>
  <si>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</si>
  <si>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</si>
  <si>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</si>
  <si>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</si>
  <si>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</si>
  <si>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</si>
  <si>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</si>
  <si>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</si>
  <si>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</si>
  <si>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</si>
  <si>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</si>
  <si>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</si>
  <si>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</si>
  <si>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</si>
  <si>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</si>
  <si>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</si>
  <si>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</si>
  <si>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</si>
  <si>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</si>
  <si>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</si>
  <si>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</si>
  <si>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</si>
  <si>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</si>
  <si>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</si>
  <si>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</si>
  <si>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</si>
  <si>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</si>
  <si>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</si>
  <si>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</si>
  <si>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</si>
  <si>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</si>
  <si>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</si>
  <si>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</si>
  <si>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</si>
  <si>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</si>
  <si>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</si>
  <si>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</si>
  <si>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</si>
  <si>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</si>
  <si>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</si>
  <si>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</si>
  <si>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</si>
  <si>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</si>
  <si>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</si>
  <si>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</si>
  <si>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</si>
  <si>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</si>
  <si>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</si>
  <si>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t>0+新养成线1!AO30+新养成线2!AO30+新养成线3!AO30+新养成线4!AO30+新养成线5!AO30+新养成线6!AO30+新养成线7!AO30+新养成线8!AO30+新养成线9!AO30+新养成线10!AO30+新养成线11!AO30+新养成线12!AO30+新养成线13!AO30</t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</si>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</sst>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??/100"/>
  </numFmts>
  <fonts count="3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color rgb="FFFF0000"/>
      <name val="微软雅黑"/>
      <family val="2"/>
      <charset val="134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2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6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14" fillId="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0" fillId="8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7" fillId="3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4" fillId="5" borderId="1" xfId="0" applyNumberFormat="1" applyFont="1" applyFill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</cellXfs>
  <cellStyles count="1">
    <cellStyle name="常规" xfId="0" builtinId="0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10"/>
  <sheetViews>
    <sheetView tabSelected="1" workbookViewId="0">
      <selection activeCell="Q11" sqref="Q11"/>
    </sheetView>
  </sheetViews>
  <sheetFormatPr defaultRowHeight="14.25" x14ac:dyDescent="0.2"/>
  <sheetData>
    <row r="2" spans="2:2" x14ac:dyDescent="0.2">
      <c r="B2" t="s">
        <v>3886</v>
      </c>
    </row>
    <row r="3" spans="2:2" x14ac:dyDescent="0.2">
      <c r="B3" t="s">
        <v>3887</v>
      </c>
    </row>
    <row r="4" spans="2:2" x14ac:dyDescent="0.2">
      <c r="B4" t="s">
        <v>3888</v>
      </c>
    </row>
    <row r="9" spans="2:2" x14ac:dyDescent="0.2">
      <c r="B9" t="s">
        <v>4078</v>
      </c>
    </row>
    <row r="10" spans="2:2" x14ac:dyDescent="0.2">
      <c r="B10" t="s">
        <v>3995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AC100"/>
  <sheetViews>
    <sheetView topLeftCell="D16" workbookViewId="0">
      <selection activeCell="Q11" sqref="Q11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6" width="9" style="12"/>
    <col min="17" max="20" width="9.5" style="12" customWidth="1"/>
    <col min="21" max="21" width="9" style="12"/>
    <col min="22" max="22" width="9.25" style="12" bestFit="1" customWidth="1"/>
    <col min="23" max="23" width="17.5" style="13" bestFit="1" customWidth="1"/>
    <col min="24" max="24" width="9.25" style="13" bestFit="1" customWidth="1"/>
    <col min="25" max="25" width="18.625" style="13" bestFit="1" customWidth="1"/>
    <col min="26" max="26" width="9" style="12"/>
    <col min="27" max="27" width="17.5" style="12" bestFit="1" customWidth="1"/>
    <col min="28" max="28" width="9" style="12"/>
    <col min="29" max="29" width="13.25" style="12" bestFit="1" customWidth="1"/>
    <col min="30" max="16384" width="9" style="12"/>
  </cols>
  <sheetData>
    <row r="1" spans="1:29" ht="21" x14ac:dyDescent="0.4">
      <c r="A1" s="226" t="s">
        <v>3875</v>
      </c>
      <c r="B1" s="226"/>
      <c r="C1" s="226"/>
      <c r="D1" s="226"/>
      <c r="E1" s="226"/>
      <c r="F1" s="226"/>
      <c r="G1" s="226"/>
      <c r="H1" s="226"/>
      <c r="M1" s="226" t="s">
        <v>3874</v>
      </c>
      <c r="N1" s="226"/>
      <c r="O1" s="226"/>
      <c r="P1" s="226"/>
      <c r="Q1" s="226"/>
      <c r="R1" s="226"/>
      <c r="S1" s="226"/>
      <c r="T1" s="226"/>
    </row>
    <row r="2" spans="1:29" ht="21" x14ac:dyDescent="0.3">
      <c r="A2" s="175" t="s">
        <v>3755</v>
      </c>
      <c r="B2" s="175" t="s">
        <v>3724</v>
      </c>
      <c r="C2" s="225" t="s">
        <v>3809</v>
      </c>
      <c r="D2" s="225"/>
      <c r="E2" s="225"/>
      <c r="F2" s="230" t="s">
        <v>3821</v>
      </c>
      <c r="G2" s="231"/>
      <c r="H2" s="7" t="s">
        <v>3822</v>
      </c>
      <c r="M2" s="227" t="s">
        <v>28</v>
      </c>
      <c r="N2" s="228"/>
      <c r="O2" s="228"/>
      <c r="P2" s="229"/>
      <c r="Q2" s="232" t="s">
        <v>3723</v>
      </c>
      <c r="R2" s="233"/>
      <c r="S2" s="233"/>
      <c r="T2" s="234"/>
      <c r="V2" s="18" t="s">
        <v>55</v>
      </c>
      <c r="W2" s="18" t="s">
        <v>3824</v>
      </c>
      <c r="X2" s="18" t="s">
        <v>55</v>
      </c>
      <c r="Y2" s="18" t="s">
        <v>3825</v>
      </c>
      <c r="Z2" s="18" t="s">
        <v>55</v>
      </c>
      <c r="AA2" s="157" t="s">
        <v>3826</v>
      </c>
      <c r="AB2" s="18" t="s">
        <v>55</v>
      </c>
      <c r="AC2" s="18" t="s">
        <v>3827</v>
      </c>
    </row>
    <row r="3" spans="1:29" ht="16.5" customHeight="1" x14ac:dyDescent="0.3">
      <c r="A3" s="8"/>
      <c r="B3" s="170" t="s">
        <v>3725</v>
      </c>
      <c r="C3" s="15" t="s">
        <v>0</v>
      </c>
      <c r="D3" s="15" t="s">
        <v>3726</v>
      </c>
      <c r="E3" s="15" t="s">
        <v>3</v>
      </c>
      <c r="F3" s="177" t="s">
        <v>3795</v>
      </c>
      <c r="G3" s="176" t="s">
        <v>3796</v>
      </c>
      <c r="H3" s="192" t="s">
        <v>3823</v>
      </c>
      <c r="I3" s="224" t="s">
        <v>3820</v>
      </c>
      <c r="J3" s="195" t="s">
        <v>3808</v>
      </c>
      <c r="K3" s="199">
        <v>0.5</v>
      </c>
      <c r="L3" s="194"/>
      <c r="M3" s="20" t="s">
        <v>37</v>
      </c>
      <c r="N3" s="20" t="s">
        <v>38</v>
      </c>
      <c r="O3" s="20" t="s">
        <v>3</v>
      </c>
      <c r="P3" s="20" t="s">
        <v>2</v>
      </c>
      <c r="Q3" s="20" t="s">
        <v>37</v>
      </c>
      <c r="R3" s="20" t="s">
        <v>38</v>
      </c>
      <c r="S3" s="20" t="s">
        <v>3</v>
      </c>
      <c r="T3" s="20" t="s">
        <v>2</v>
      </c>
      <c r="V3" s="10">
        <v>1</v>
      </c>
      <c r="W3" s="15">
        <v>0.5</v>
      </c>
      <c r="X3" s="10">
        <v>1</v>
      </c>
      <c r="Y3" s="15">
        <v>0.6</v>
      </c>
      <c r="Z3" s="10">
        <v>1</v>
      </c>
      <c r="AA3" s="15">
        <v>0.5</v>
      </c>
      <c r="AB3" s="10">
        <v>1</v>
      </c>
      <c r="AC3" s="15">
        <v>0.5</v>
      </c>
    </row>
    <row r="4" spans="1:29" x14ac:dyDescent="0.3">
      <c r="A4" s="170">
        <v>1</v>
      </c>
      <c r="B4" s="170">
        <v>0.5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24"/>
      <c r="J4" s="195" t="s">
        <v>3810</v>
      </c>
      <c r="K4" s="199">
        <v>0.6</v>
      </c>
      <c r="L4" s="194"/>
      <c r="M4" s="322">
        <v>35000</v>
      </c>
      <c r="N4" s="322">
        <v>60000</v>
      </c>
      <c r="O4" s="322">
        <v>500</v>
      </c>
      <c r="P4" s="322">
        <v>500</v>
      </c>
      <c r="Q4" s="14">
        <f>(M4+N7+M10+M13+M16+M19+N25+M28+M34+M40+M43+M46+M49+M52+M55+M58+M61+M64+M67+M70+M73+M76+M79+M82+M85+M88+M91+M94+M97+M100)/养成属性分配!C31</f>
        <v>1</v>
      </c>
      <c r="R4" s="14">
        <f>(N4+N10+N13+N19+N28+N34+N40+N43+N46+N49+N52+N55+N58+N61+N64+N67+N70+N73+N76+N79+N82+N85+N88+N91+N94+N97+N100)/养成属性分配!D31</f>
        <v>1</v>
      </c>
      <c r="S4" s="14">
        <f>(O4+M7+O7+O10+O13+N16+O19+O34+O22+M22+O25+O28+M31+M37+M25+O40+O43+O46+O49+O52+O55+O58+O61+O64+O67+O70+O73+O76+O79+O82+O85+O88+O91+O94+O97+O100)/养成属性分配!E31</f>
        <v>1</v>
      </c>
      <c r="T4" s="14">
        <f>(P4+P7+P13+O16+P19+N22+P22+P25+P28+N31+P34+N37+P40+P43+P46+P49+P52+P55+P58+P61+P64+P67+P70+P73+P76+P79+P82+P85+P88+P91+P94+P97+P100)/养成属性分配!F31</f>
        <v>1</v>
      </c>
      <c r="V4" s="10">
        <v>2</v>
      </c>
      <c r="W4" s="15">
        <v>0.5</v>
      </c>
      <c r="X4" s="10">
        <v>2</v>
      </c>
      <c r="Y4" s="15">
        <v>0.6</v>
      </c>
      <c r="Z4" s="10">
        <v>2</v>
      </c>
      <c r="AA4" s="15">
        <v>0.55000000000000004</v>
      </c>
      <c r="AB4" s="10">
        <v>2</v>
      </c>
      <c r="AC4" s="15">
        <v>0.55000000000000004</v>
      </c>
    </row>
    <row r="5" spans="1:29" x14ac:dyDescent="0.3">
      <c r="A5" s="170">
        <v>2</v>
      </c>
      <c r="B5" s="170">
        <v>1.2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24"/>
      <c r="J5" s="195" t="s">
        <v>3811</v>
      </c>
      <c r="K5" s="199">
        <v>0.65</v>
      </c>
      <c r="L5" s="194"/>
      <c r="M5" s="18" t="s">
        <v>29</v>
      </c>
      <c r="N5" s="227" t="s">
        <v>30</v>
      </c>
      <c r="O5" s="228"/>
      <c r="P5" s="229"/>
      <c r="V5" s="10">
        <v>3</v>
      </c>
      <c r="W5" s="15">
        <v>0.5</v>
      </c>
      <c r="X5" s="10">
        <v>3</v>
      </c>
      <c r="Y5" s="15">
        <v>0.6</v>
      </c>
      <c r="Z5" s="10">
        <v>3</v>
      </c>
      <c r="AA5" s="15">
        <v>0.6</v>
      </c>
      <c r="AB5" s="10">
        <v>3</v>
      </c>
      <c r="AC5" s="15">
        <v>0.6</v>
      </c>
    </row>
    <row r="6" spans="1:29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24"/>
      <c r="J6" s="195" t="s">
        <v>3812</v>
      </c>
      <c r="K6" s="199">
        <v>0.7</v>
      </c>
      <c r="L6" s="194"/>
      <c r="M6" s="20" t="s">
        <v>3</v>
      </c>
      <c r="N6" s="20" t="s">
        <v>37</v>
      </c>
      <c r="O6" s="20" t="s">
        <v>3</v>
      </c>
      <c r="P6" s="20" t="s">
        <v>2</v>
      </c>
      <c r="V6" s="10">
        <v>4</v>
      </c>
      <c r="W6" s="15">
        <v>0.5</v>
      </c>
      <c r="X6" s="10">
        <v>4</v>
      </c>
      <c r="Y6" s="15">
        <v>0.6</v>
      </c>
      <c r="Z6" s="10">
        <v>4</v>
      </c>
      <c r="AA6" s="15">
        <v>0.65</v>
      </c>
      <c r="AB6" s="10">
        <v>4</v>
      </c>
      <c r="AC6" s="15">
        <v>0.65</v>
      </c>
    </row>
    <row r="7" spans="1:29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24"/>
      <c r="J7" s="195" t="s">
        <v>3813</v>
      </c>
      <c r="K7" s="199">
        <v>0.75</v>
      </c>
      <c r="L7" s="194"/>
      <c r="M7" s="322">
        <v>500</v>
      </c>
      <c r="N7" s="322">
        <v>5000</v>
      </c>
      <c r="O7" s="322">
        <v>500</v>
      </c>
      <c r="P7" s="322">
        <v>250</v>
      </c>
      <c r="V7" s="10">
        <v>5</v>
      </c>
      <c r="W7" s="15">
        <v>0.6</v>
      </c>
      <c r="X7" s="10">
        <v>5</v>
      </c>
      <c r="Y7" s="15">
        <v>0.6</v>
      </c>
      <c r="Z7" s="10">
        <v>5</v>
      </c>
      <c r="AA7" s="15">
        <v>0.7</v>
      </c>
      <c r="AB7" s="10">
        <v>5</v>
      </c>
      <c r="AC7" s="15">
        <v>0.7</v>
      </c>
    </row>
    <row r="8" spans="1:29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24"/>
      <c r="J8" s="195" t="s">
        <v>3814</v>
      </c>
      <c r="K8" s="199">
        <v>1.1000000000000001</v>
      </c>
      <c r="L8" s="194"/>
      <c r="M8" s="227" t="s">
        <v>31</v>
      </c>
      <c r="N8" s="228"/>
      <c r="O8" s="229"/>
      <c r="V8" s="10">
        <v>6</v>
      </c>
      <c r="W8" s="15">
        <v>0.6</v>
      </c>
      <c r="X8" s="10">
        <v>6</v>
      </c>
      <c r="Y8" s="15">
        <v>0.65</v>
      </c>
      <c r="Z8" s="10">
        <v>6</v>
      </c>
      <c r="AA8" s="15">
        <v>0.75</v>
      </c>
      <c r="AB8" s="10">
        <v>6</v>
      </c>
      <c r="AC8" s="15">
        <v>0.75</v>
      </c>
    </row>
    <row r="9" spans="1:29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24"/>
      <c r="J9" s="195" t="s">
        <v>4010</v>
      </c>
      <c r="K9" s="195">
        <v>1</v>
      </c>
      <c r="L9" s="194"/>
      <c r="M9" s="20" t="s">
        <v>37</v>
      </c>
      <c r="N9" s="20" t="s">
        <v>38</v>
      </c>
      <c r="O9" s="20" t="s">
        <v>3</v>
      </c>
      <c r="V9" s="10">
        <v>7</v>
      </c>
      <c r="W9" s="15">
        <v>0.6</v>
      </c>
      <c r="X9" s="10">
        <v>7</v>
      </c>
      <c r="Y9" s="15">
        <v>0.65</v>
      </c>
      <c r="Z9" s="10">
        <v>7</v>
      </c>
      <c r="AA9" s="15">
        <v>0.8</v>
      </c>
      <c r="AB9" s="10">
        <v>7</v>
      </c>
      <c r="AC9" s="15">
        <v>0.8</v>
      </c>
    </row>
    <row r="10" spans="1:29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24"/>
      <c r="J10" s="195" t="s">
        <v>4013</v>
      </c>
      <c r="K10" s="199">
        <v>1</v>
      </c>
      <c r="L10" s="194"/>
      <c r="M10" s="322">
        <v>10000</v>
      </c>
      <c r="N10" s="322">
        <v>20000</v>
      </c>
      <c r="O10" s="322">
        <v>500</v>
      </c>
      <c r="V10" s="10">
        <v>8</v>
      </c>
      <c r="W10" s="15">
        <v>0.6</v>
      </c>
      <c r="X10" s="10">
        <v>8</v>
      </c>
      <c r="Y10" s="15">
        <v>0.65</v>
      </c>
      <c r="Z10" s="10">
        <v>8</v>
      </c>
      <c r="AA10" s="15">
        <v>0.85</v>
      </c>
      <c r="AB10" s="10">
        <v>8</v>
      </c>
      <c r="AC10" s="15">
        <v>0.85</v>
      </c>
    </row>
    <row r="11" spans="1:29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24"/>
      <c r="J11" s="195" t="s">
        <v>4011</v>
      </c>
      <c r="K11" s="199">
        <v>1</v>
      </c>
      <c r="L11" s="194"/>
      <c r="M11" s="227" t="s">
        <v>32</v>
      </c>
      <c r="N11" s="228"/>
      <c r="O11" s="228"/>
      <c r="P11" s="229"/>
      <c r="V11" s="10">
        <v>9</v>
      </c>
      <c r="W11" s="15">
        <v>0.7</v>
      </c>
      <c r="X11" s="10">
        <v>9</v>
      </c>
      <c r="Y11" s="15">
        <v>0.65</v>
      </c>
      <c r="Z11" s="10">
        <v>9</v>
      </c>
      <c r="AA11" s="15">
        <v>0.9</v>
      </c>
      <c r="AB11" s="10">
        <v>9</v>
      </c>
      <c r="AC11" s="15">
        <v>0.9</v>
      </c>
    </row>
    <row r="12" spans="1:29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24"/>
      <c r="J12" s="195" t="s">
        <v>4012</v>
      </c>
      <c r="K12" s="199">
        <v>1</v>
      </c>
      <c r="L12" s="194"/>
      <c r="M12" s="20" t="s">
        <v>37</v>
      </c>
      <c r="N12" s="20" t="s">
        <v>38</v>
      </c>
      <c r="O12" s="20" t="s">
        <v>3</v>
      </c>
      <c r="P12" s="18" t="s">
        <v>2</v>
      </c>
      <c r="V12" s="10">
        <v>10</v>
      </c>
      <c r="W12" s="15">
        <v>0.7</v>
      </c>
      <c r="X12" s="10">
        <v>10</v>
      </c>
      <c r="Y12" s="15">
        <v>0.65</v>
      </c>
      <c r="Z12" s="10">
        <v>10</v>
      </c>
      <c r="AA12" s="15">
        <v>1</v>
      </c>
      <c r="AB12" s="10">
        <v>10</v>
      </c>
      <c r="AC12" s="15">
        <v>1</v>
      </c>
    </row>
    <row r="13" spans="1:29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24"/>
      <c r="J13" s="195" t="s">
        <v>4014</v>
      </c>
      <c r="K13" s="199">
        <v>1</v>
      </c>
      <c r="L13" s="194"/>
      <c r="M13" s="322">
        <v>15000</v>
      </c>
      <c r="N13" s="322">
        <v>60000</v>
      </c>
      <c r="O13" s="322">
        <v>2000</v>
      </c>
      <c r="P13" s="322">
        <v>1500</v>
      </c>
      <c r="V13" s="10">
        <v>11</v>
      </c>
      <c r="W13" s="15">
        <v>0.7</v>
      </c>
      <c r="X13" s="10">
        <v>11</v>
      </c>
      <c r="Y13" s="15">
        <v>0.7</v>
      </c>
    </row>
    <row r="14" spans="1:29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24"/>
      <c r="J14" s="195" t="s">
        <v>4015</v>
      </c>
      <c r="K14" s="199">
        <v>1</v>
      </c>
      <c r="L14" s="194"/>
      <c r="M14" s="227" t="s">
        <v>45</v>
      </c>
      <c r="N14" s="228"/>
      <c r="O14" s="229"/>
      <c r="V14" s="10">
        <v>12</v>
      </c>
      <c r="W14" s="15">
        <v>0.7</v>
      </c>
      <c r="X14" s="10">
        <v>12</v>
      </c>
      <c r="Y14" s="15">
        <v>0.7</v>
      </c>
    </row>
    <row r="15" spans="1:29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24"/>
      <c r="J15" s="195" t="s">
        <v>4016</v>
      </c>
      <c r="K15" s="199">
        <v>1</v>
      </c>
      <c r="L15" s="194"/>
      <c r="M15" s="18" t="s">
        <v>37</v>
      </c>
      <c r="N15" s="18" t="s">
        <v>3</v>
      </c>
      <c r="O15" s="18" t="s">
        <v>2</v>
      </c>
      <c r="V15" s="10">
        <v>13</v>
      </c>
      <c r="W15" s="15">
        <v>0.75</v>
      </c>
      <c r="X15" s="10">
        <v>13</v>
      </c>
      <c r="Y15" s="15">
        <v>0.7</v>
      </c>
    </row>
    <row r="16" spans="1:29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323">
        <v>5000</v>
      </c>
      <c r="N16" s="323">
        <v>500</v>
      </c>
      <c r="O16" s="323">
        <v>250</v>
      </c>
      <c r="V16" s="10">
        <v>14</v>
      </c>
      <c r="W16" s="15">
        <v>0.75</v>
      </c>
      <c r="X16" s="10">
        <v>14</v>
      </c>
      <c r="Y16" s="15">
        <v>0.7</v>
      </c>
    </row>
    <row r="17" spans="1:25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24" t="s">
        <v>3819</v>
      </c>
      <c r="J17" s="195" t="s">
        <v>26</v>
      </c>
      <c r="K17" s="195">
        <v>1</v>
      </c>
      <c r="M17" s="227" t="s">
        <v>46</v>
      </c>
      <c r="N17" s="228"/>
      <c r="O17" s="228"/>
      <c r="P17" s="229"/>
      <c r="V17" s="10">
        <v>15</v>
      </c>
      <c r="W17" s="15">
        <v>0.75</v>
      </c>
      <c r="X17" s="10">
        <v>15</v>
      </c>
      <c r="Y17" s="15">
        <v>0.7</v>
      </c>
    </row>
    <row r="18" spans="1:25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24"/>
      <c r="J18" s="195" t="s">
        <v>3815</v>
      </c>
      <c r="K18" s="195">
        <v>10</v>
      </c>
      <c r="M18" s="18" t="s">
        <v>37</v>
      </c>
      <c r="N18" s="18" t="s">
        <v>38</v>
      </c>
      <c r="O18" s="18" t="s">
        <v>3</v>
      </c>
      <c r="P18" s="18" t="s">
        <v>2</v>
      </c>
      <c r="V18" s="10">
        <v>16</v>
      </c>
      <c r="W18" s="15">
        <v>0.75</v>
      </c>
      <c r="X18" s="10">
        <v>16</v>
      </c>
      <c r="Y18" s="15">
        <v>0.75</v>
      </c>
    </row>
    <row r="19" spans="1:25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24"/>
      <c r="J19" s="195" t="s">
        <v>3816</v>
      </c>
      <c r="K19" s="195">
        <v>120</v>
      </c>
      <c r="M19" s="323">
        <v>10000</v>
      </c>
      <c r="N19" s="323">
        <v>40000</v>
      </c>
      <c r="O19" s="323">
        <v>500</v>
      </c>
      <c r="P19" s="323">
        <v>500</v>
      </c>
      <c r="V19" s="10">
        <v>17</v>
      </c>
      <c r="W19" s="15">
        <v>0.85</v>
      </c>
      <c r="X19" s="10">
        <v>17</v>
      </c>
      <c r="Y19" s="15">
        <v>0.75</v>
      </c>
    </row>
    <row r="20" spans="1:25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24"/>
      <c r="J20" s="195" t="s">
        <v>3817</v>
      </c>
      <c r="K20" s="195">
        <v>600</v>
      </c>
      <c r="M20" s="227" t="s">
        <v>47</v>
      </c>
      <c r="N20" s="229"/>
      <c r="O20" s="227" t="s">
        <v>48</v>
      </c>
      <c r="P20" s="229"/>
      <c r="V20" s="10">
        <v>18</v>
      </c>
      <c r="W20" s="15">
        <v>0.85</v>
      </c>
      <c r="X20" s="10">
        <v>18</v>
      </c>
      <c r="Y20" s="15">
        <v>0.75</v>
      </c>
    </row>
    <row r="21" spans="1:25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24"/>
      <c r="J21" s="195" t="s">
        <v>3818</v>
      </c>
      <c r="K21" s="195">
        <v>1200</v>
      </c>
      <c r="M21" s="18" t="s">
        <v>3</v>
      </c>
      <c r="N21" s="18" t="s">
        <v>2</v>
      </c>
      <c r="O21" s="18" t="s">
        <v>3</v>
      </c>
      <c r="P21" s="18" t="s">
        <v>2</v>
      </c>
      <c r="V21" s="10">
        <v>19</v>
      </c>
      <c r="W21" s="15">
        <v>0.85</v>
      </c>
      <c r="X21" s="10">
        <v>19</v>
      </c>
      <c r="Y21" s="15">
        <v>0.75</v>
      </c>
    </row>
    <row r="22" spans="1:25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24"/>
      <c r="J22" s="195" t="s">
        <v>4018</v>
      </c>
      <c r="K22" s="195">
        <v>1800</v>
      </c>
      <c r="M22" s="323">
        <v>500</v>
      </c>
      <c r="N22" s="323">
        <v>250</v>
      </c>
      <c r="O22" s="323">
        <v>500</v>
      </c>
      <c r="P22" s="323">
        <v>250</v>
      </c>
      <c r="V22" s="10">
        <v>20</v>
      </c>
      <c r="W22" s="15">
        <v>0.85</v>
      </c>
      <c r="X22" s="10">
        <v>20</v>
      </c>
      <c r="Y22" s="15">
        <v>0.75</v>
      </c>
    </row>
    <row r="23" spans="1:25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24"/>
      <c r="J23" s="8" t="s">
        <v>4017</v>
      </c>
      <c r="K23" s="195">
        <v>999</v>
      </c>
      <c r="M23" s="18" t="s">
        <v>33</v>
      </c>
      <c r="N23" s="227" t="s">
        <v>40</v>
      </c>
      <c r="O23" s="228"/>
      <c r="P23" s="229"/>
      <c r="V23" s="10">
        <v>21</v>
      </c>
      <c r="W23" s="15">
        <v>0.95</v>
      </c>
      <c r="X23" s="10">
        <v>21</v>
      </c>
      <c r="Y23" s="15">
        <v>0.8</v>
      </c>
    </row>
    <row r="24" spans="1:25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24"/>
      <c r="J24" s="8" t="s">
        <v>4019</v>
      </c>
      <c r="K24" s="195">
        <v>999</v>
      </c>
      <c r="M24" s="18" t="s">
        <v>3</v>
      </c>
      <c r="N24" s="18" t="s">
        <v>37</v>
      </c>
      <c r="O24" s="18" t="s">
        <v>3</v>
      </c>
      <c r="P24" s="18" t="s">
        <v>2</v>
      </c>
      <c r="V24" s="10">
        <v>22</v>
      </c>
      <c r="W24" s="15">
        <v>0.95</v>
      </c>
      <c r="X24" s="10">
        <v>22</v>
      </c>
      <c r="Y24" s="15">
        <v>0.8</v>
      </c>
    </row>
    <row r="25" spans="1:25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24"/>
      <c r="J25" s="8" t="s">
        <v>4020</v>
      </c>
      <c r="K25" s="195">
        <v>999</v>
      </c>
      <c r="M25" s="323">
        <v>2000</v>
      </c>
      <c r="N25" s="323">
        <v>15000</v>
      </c>
      <c r="O25" s="323">
        <v>600</v>
      </c>
      <c r="P25" s="323">
        <v>600</v>
      </c>
      <c r="V25" s="10">
        <v>23</v>
      </c>
      <c r="W25" s="15">
        <v>0.95</v>
      </c>
      <c r="X25" s="10">
        <v>23</v>
      </c>
      <c r="Y25" s="15">
        <v>0.8</v>
      </c>
    </row>
    <row r="26" spans="1:25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24"/>
      <c r="J26" s="8" t="s">
        <v>4021</v>
      </c>
      <c r="K26" s="195">
        <v>999</v>
      </c>
      <c r="M26" s="227" t="s">
        <v>35</v>
      </c>
      <c r="N26" s="228"/>
      <c r="O26" s="228"/>
      <c r="P26" s="229"/>
      <c r="V26" s="10">
        <v>24</v>
      </c>
      <c r="W26" s="15">
        <v>0.95</v>
      </c>
      <c r="X26" s="10">
        <v>24</v>
      </c>
      <c r="Y26" s="15">
        <v>0.8</v>
      </c>
    </row>
    <row r="27" spans="1:25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24"/>
      <c r="J27" s="8" t="s">
        <v>4022</v>
      </c>
      <c r="K27" s="195">
        <v>999</v>
      </c>
      <c r="M27" s="18" t="s">
        <v>37</v>
      </c>
      <c r="N27" s="18" t="s">
        <v>38</v>
      </c>
      <c r="O27" s="18" t="s">
        <v>3</v>
      </c>
      <c r="P27" s="18" t="s">
        <v>2</v>
      </c>
      <c r="V27" s="10">
        <v>25</v>
      </c>
      <c r="W27" s="15">
        <v>1</v>
      </c>
      <c r="X27" s="10">
        <v>25</v>
      </c>
      <c r="Y27" s="15">
        <v>0.8</v>
      </c>
    </row>
    <row r="28" spans="1:25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24"/>
      <c r="J28" s="8" t="s">
        <v>4023</v>
      </c>
      <c r="K28" s="195">
        <v>999</v>
      </c>
      <c r="M28" s="323">
        <v>5000</v>
      </c>
      <c r="N28" s="323">
        <v>20000</v>
      </c>
      <c r="O28" s="323">
        <v>500</v>
      </c>
      <c r="P28" s="323">
        <v>250</v>
      </c>
      <c r="V28" s="10">
        <v>26</v>
      </c>
      <c r="W28" s="15">
        <v>1</v>
      </c>
      <c r="X28" s="10">
        <v>26</v>
      </c>
      <c r="Y28" s="15">
        <v>0.85</v>
      </c>
    </row>
    <row r="29" spans="1:25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24"/>
      <c r="J29" s="8" t="s">
        <v>4024</v>
      </c>
      <c r="K29" s="195">
        <v>999</v>
      </c>
      <c r="M29" s="227" t="s">
        <v>41</v>
      </c>
      <c r="N29" s="229"/>
      <c r="V29" s="10">
        <v>27</v>
      </c>
      <c r="W29" s="15">
        <v>1</v>
      </c>
      <c r="X29" s="10">
        <v>27</v>
      </c>
      <c r="Y29" s="15">
        <v>0.85</v>
      </c>
    </row>
    <row r="30" spans="1:25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18" t="s">
        <v>3</v>
      </c>
      <c r="N30" s="18" t="s">
        <v>2</v>
      </c>
      <c r="V30" s="10">
        <v>28</v>
      </c>
      <c r="W30" s="15">
        <v>1</v>
      </c>
      <c r="X30" s="10">
        <v>28</v>
      </c>
      <c r="Y30" s="15">
        <v>0.85</v>
      </c>
    </row>
    <row r="31" spans="1:25" ht="16.5" customHeight="1" x14ac:dyDescent="0.3">
      <c r="H31" s="223"/>
      <c r="I31" s="224" t="s">
        <v>3882</v>
      </c>
      <c r="J31" s="220" t="s">
        <v>3877</v>
      </c>
      <c r="K31" s="221">
        <v>1</v>
      </c>
      <c r="M31" s="323">
        <v>500</v>
      </c>
      <c r="N31" s="323">
        <v>250</v>
      </c>
      <c r="V31" s="10">
        <v>29</v>
      </c>
      <c r="W31" s="15">
        <v>1</v>
      </c>
      <c r="X31" s="10">
        <v>29</v>
      </c>
      <c r="Y31" s="15">
        <v>0.85</v>
      </c>
    </row>
    <row r="32" spans="1:25" x14ac:dyDescent="0.3">
      <c r="I32" s="224"/>
      <c r="J32" s="220" t="s">
        <v>3878</v>
      </c>
      <c r="K32" s="221">
        <v>10</v>
      </c>
      <c r="M32" s="227" t="s">
        <v>42</v>
      </c>
      <c r="N32" s="228"/>
      <c r="O32" s="228"/>
      <c r="P32" s="229"/>
      <c r="V32" s="10">
        <v>30</v>
      </c>
      <c r="W32" s="15">
        <v>1</v>
      </c>
      <c r="X32" s="10">
        <v>30</v>
      </c>
      <c r="Y32" s="15">
        <v>0.85</v>
      </c>
    </row>
    <row r="33" spans="9:25" x14ac:dyDescent="0.3">
      <c r="I33" s="224"/>
      <c r="J33" s="220" t="s">
        <v>3879</v>
      </c>
      <c r="K33" s="221">
        <v>50</v>
      </c>
      <c r="M33" s="18" t="s">
        <v>37</v>
      </c>
      <c r="N33" s="18" t="s">
        <v>38</v>
      </c>
      <c r="O33" s="18" t="s">
        <v>3</v>
      </c>
      <c r="P33" s="18" t="s">
        <v>2</v>
      </c>
      <c r="V33" s="10">
        <v>31</v>
      </c>
      <c r="W33" s="15">
        <v>1</v>
      </c>
      <c r="X33" s="10">
        <v>31</v>
      </c>
      <c r="Y33" s="15">
        <v>0.9</v>
      </c>
    </row>
    <row r="34" spans="9:25" x14ac:dyDescent="0.3">
      <c r="I34" s="224"/>
      <c r="J34" s="220" t="s">
        <v>3880</v>
      </c>
      <c r="K34" s="221">
        <v>100</v>
      </c>
      <c r="M34" s="323">
        <v>0</v>
      </c>
      <c r="N34" s="323">
        <v>0</v>
      </c>
      <c r="O34" s="323">
        <v>0</v>
      </c>
      <c r="P34" s="323">
        <v>0</v>
      </c>
      <c r="V34" s="10">
        <v>32</v>
      </c>
      <c r="W34" s="15">
        <v>1</v>
      </c>
      <c r="X34" s="10">
        <v>32</v>
      </c>
      <c r="Y34" s="15">
        <v>0.9</v>
      </c>
    </row>
    <row r="35" spans="9:25" x14ac:dyDescent="0.3">
      <c r="I35" s="224"/>
      <c r="J35" s="220" t="s">
        <v>3881</v>
      </c>
      <c r="K35" s="221">
        <v>200</v>
      </c>
      <c r="M35" s="227" t="s">
        <v>44</v>
      </c>
      <c r="N35" s="229"/>
      <c r="V35" s="10">
        <v>33</v>
      </c>
      <c r="W35" s="15">
        <v>1</v>
      </c>
      <c r="X35" s="10">
        <v>33</v>
      </c>
      <c r="Y35" s="15">
        <v>0.9</v>
      </c>
    </row>
    <row r="36" spans="9:25" x14ac:dyDescent="0.3">
      <c r="I36" s="224"/>
      <c r="J36" s="8" t="s">
        <v>4032</v>
      </c>
      <c r="K36" s="221">
        <v>1</v>
      </c>
      <c r="M36" s="18" t="s">
        <v>3</v>
      </c>
      <c r="N36" s="18" t="s">
        <v>2</v>
      </c>
      <c r="V36" s="10">
        <v>34</v>
      </c>
      <c r="W36" s="15">
        <v>1</v>
      </c>
      <c r="X36" s="10">
        <v>34</v>
      </c>
      <c r="Y36" s="15">
        <v>0.9</v>
      </c>
    </row>
    <row r="37" spans="9:25" x14ac:dyDescent="0.3">
      <c r="I37" s="224"/>
      <c r="J37" s="8" t="s">
        <v>4033</v>
      </c>
      <c r="K37" s="221">
        <v>2</v>
      </c>
      <c r="M37" s="326">
        <v>400</v>
      </c>
      <c r="N37" s="326">
        <v>400</v>
      </c>
      <c r="V37" s="10">
        <v>35</v>
      </c>
      <c r="W37" s="15">
        <v>1</v>
      </c>
      <c r="X37" s="10">
        <v>35</v>
      </c>
      <c r="Y37" s="15">
        <v>0.9</v>
      </c>
    </row>
    <row r="38" spans="9:25" x14ac:dyDescent="0.3">
      <c r="I38" s="224"/>
      <c r="J38" s="8" t="s">
        <v>4034</v>
      </c>
      <c r="K38" s="221">
        <v>3</v>
      </c>
      <c r="M38" s="327" t="s">
        <v>3974</v>
      </c>
      <c r="N38" s="327"/>
      <c r="O38" s="327"/>
      <c r="P38" s="327"/>
      <c r="V38" s="10">
        <v>36</v>
      </c>
      <c r="W38" s="15">
        <v>1</v>
      </c>
      <c r="X38" s="10">
        <v>36</v>
      </c>
      <c r="Y38" s="15">
        <v>0.95</v>
      </c>
    </row>
    <row r="39" spans="9:25" x14ac:dyDescent="0.3">
      <c r="I39" s="224"/>
      <c r="J39" s="8" t="s">
        <v>4035</v>
      </c>
      <c r="K39" s="221">
        <v>4</v>
      </c>
      <c r="M39" s="18" t="s">
        <v>37</v>
      </c>
      <c r="N39" s="18" t="s">
        <v>38</v>
      </c>
      <c r="O39" s="18" t="s">
        <v>3</v>
      </c>
      <c r="P39" s="18" t="s">
        <v>2</v>
      </c>
      <c r="V39" s="13"/>
      <c r="X39" s="10">
        <v>37</v>
      </c>
      <c r="Y39" s="15">
        <v>0.95</v>
      </c>
    </row>
    <row r="40" spans="9:25" x14ac:dyDescent="0.3">
      <c r="I40" s="224"/>
      <c r="J40" s="8" t="s">
        <v>4036</v>
      </c>
      <c r="K40" s="221">
        <v>5</v>
      </c>
      <c r="M40" s="323">
        <v>0</v>
      </c>
      <c r="N40" s="323">
        <v>0</v>
      </c>
      <c r="O40" s="323">
        <v>0</v>
      </c>
      <c r="P40" s="323">
        <v>0</v>
      </c>
      <c r="V40" s="13"/>
      <c r="X40" s="10">
        <v>38</v>
      </c>
      <c r="Y40" s="15">
        <v>0.95</v>
      </c>
    </row>
    <row r="41" spans="9:25" x14ac:dyDescent="0.3">
      <c r="I41" s="224"/>
      <c r="J41" s="8" t="s">
        <v>4037</v>
      </c>
      <c r="K41" s="221">
        <v>6</v>
      </c>
      <c r="M41" s="327" t="s">
        <v>3975</v>
      </c>
      <c r="N41" s="327"/>
      <c r="O41" s="327"/>
      <c r="P41" s="327"/>
      <c r="V41" s="13"/>
      <c r="X41" s="10">
        <v>39</v>
      </c>
      <c r="Y41" s="15">
        <v>0.95</v>
      </c>
    </row>
    <row r="42" spans="9:25" x14ac:dyDescent="0.3">
      <c r="I42" s="224"/>
      <c r="J42" s="8" t="s">
        <v>4038</v>
      </c>
      <c r="K42" s="221">
        <v>7</v>
      </c>
      <c r="M42" s="18" t="s">
        <v>37</v>
      </c>
      <c r="N42" s="18" t="s">
        <v>38</v>
      </c>
      <c r="O42" s="18" t="s">
        <v>3</v>
      </c>
      <c r="P42" s="18" t="s">
        <v>2</v>
      </c>
      <c r="V42" s="13"/>
      <c r="X42" s="10">
        <v>40</v>
      </c>
      <c r="Y42" s="15">
        <v>0.95</v>
      </c>
    </row>
    <row r="43" spans="9:25" x14ac:dyDescent="0.3">
      <c r="M43" s="323">
        <v>0</v>
      </c>
      <c r="N43" s="323">
        <v>0</v>
      </c>
      <c r="O43" s="323">
        <v>0</v>
      </c>
      <c r="P43" s="323">
        <v>0</v>
      </c>
      <c r="V43" s="13"/>
      <c r="X43" s="10">
        <v>41</v>
      </c>
      <c r="Y43" s="15">
        <v>1</v>
      </c>
    </row>
    <row r="44" spans="9:25" x14ac:dyDescent="0.3">
      <c r="M44" s="327" t="s">
        <v>4057</v>
      </c>
      <c r="N44" s="327"/>
      <c r="O44" s="327"/>
      <c r="P44" s="327"/>
      <c r="V44" s="13"/>
      <c r="X44" s="10">
        <v>42</v>
      </c>
      <c r="Y44" s="15">
        <v>1</v>
      </c>
    </row>
    <row r="45" spans="9:25" x14ac:dyDescent="0.3">
      <c r="M45" s="18" t="s">
        <v>37</v>
      </c>
      <c r="N45" s="18" t="s">
        <v>38</v>
      </c>
      <c r="O45" s="18" t="s">
        <v>3</v>
      </c>
      <c r="P45" s="18" t="s">
        <v>2</v>
      </c>
      <c r="V45" s="13"/>
      <c r="X45" s="10">
        <v>43</v>
      </c>
      <c r="Y45" s="15">
        <v>1</v>
      </c>
    </row>
    <row r="46" spans="9:25" x14ac:dyDescent="0.3">
      <c r="M46" s="323">
        <v>0</v>
      </c>
      <c r="N46" s="323">
        <v>0</v>
      </c>
      <c r="O46" s="323">
        <v>0</v>
      </c>
      <c r="P46" s="323">
        <v>0</v>
      </c>
      <c r="V46" s="13"/>
      <c r="X46" s="10">
        <v>44</v>
      </c>
      <c r="Y46" s="15">
        <v>1</v>
      </c>
    </row>
    <row r="47" spans="9:25" x14ac:dyDescent="0.3">
      <c r="M47" s="327" t="s">
        <v>4058</v>
      </c>
      <c r="N47" s="327"/>
      <c r="O47" s="327"/>
      <c r="P47" s="327"/>
      <c r="V47" s="13"/>
      <c r="X47" s="10">
        <v>45</v>
      </c>
      <c r="Y47" s="15">
        <v>1</v>
      </c>
    </row>
    <row r="48" spans="9:25" x14ac:dyDescent="0.3">
      <c r="M48" s="18" t="s">
        <v>37</v>
      </c>
      <c r="N48" s="18" t="s">
        <v>38</v>
      </c>
      <c r="O48" s="18" t="s">
        <v>3</v>
      </c>
      <c r="P48" s="18" t="s">
        <v>2</v>
      </c>
    </row>
    <row r="49" spans="13:16" x14ac:dyDescent="0.3">
      <c r="M49" s="323">
        <v>0</v>
      </c>
      <c r="N49" s="323">
        <v>0</v>
      </c>
      <c r="O49" s="323">
        <v>0</v>
      </c>
      <c r="P49" s="323">
        <v>0</v>
      </c>
    </row>
    <row r="50" spans="13:16" x14ac:dyDescent="0.3">
      <c r="M50" s="327" t="s">
        <v>4059</v>
      </c>
      <c r="N50" s="327"/>
      <c r="O50" s="327"/>
      <c r="P50" s="327"/>
    </row>
    <row r="51" spans="13:16" x14ac:dyDescent="0.3">
      <c r="M51" s="18" t="s">
        <v>37</v>
      </c>
      <c r="N51" s="18" t="s">
        <v>38</v>
      </c>
      <c r="O51" s="18" t="s">
        <v>3</v>
      </c>
      <c r="P51" s="18" t="s">
        <v>2</v>
      </c>
    </row>
    <row r="52" spans="13:16" x14ac:dyDescent="0.3">
      <c r="M52" s="323">
        <v>0</v>
      </c>
      <c r="N52" s="323">
        <v>0</v>
      </c>
      <c r="O52" s="323">
        <v>0</v>
      </c>
      <c r="P52" s="323">
        <v>0</v>
      </c>
    </row>
    <row r="53" spans="13:16" x14ac:dyDescent="0.3">
      <c r="M53" s="327" t="s">
        <v>4060</v>
      </c>
      <c r="N53" s="327"/>
      <c r="O53" s="327"/>
      <c r="P53" s="327"/>
    </row>
    <row r="54" spans="13:16" x14ac:dyDescent="0.3">
      <c r="M54" s="18" t="s">
        <v>37</v>
      </c>
      <c r="N54" s="18" t="s">
        <v>38</v>
      </c>
      <c r="O54" s="18" t="s">
        <v>3</v>
      </c>
      <c r="P54" s="18" t="s">
        <v>2</v>
      </c>
    </row>
    <row r="55" spans="13:16" x14ac:dyDescent="0.3">
      <c r="M55" s="323">
        <v>0</v>
      </c>
      <c r="N55" s="323">
        <v>0</v>
      </c>
      <c r="O55" s="323">
        <v>0</v>
      </c>
      <c r="P55" s="323">
        <v>0</v>
      </c>
    </row>
    <row r="56" spans="13:16" x14ac:dyDescent="0.3">
      <c r="M56" s="327" t="s">
        <v>4061</v>
      </c>
      <c r="N56" s="327"/>
      <c r="O56" s="327"/>
      <c r="P56" s="327"/>
    </row>
    <row r="57" spans="13:16" x14ac:dyDescent="0.3">
      <c r="M57" s="18" t="s">
        <v>37</v>
      </c>
      <c r="N57" s="18" t="s">
        <v>38</v>
      </c>
      <c r="O57" s="18" t="s">
        <v>3</v>
      </c>
      <c r="P57" s="18" t="s">
        <v>2</v>
      </c>
    </row>
    <row r="58" spans="13:16" x14ac:dyDescent="0.3">
      <c r="M58" s="323">
        <v>0</v>
      </c>
      <c r="N58" s="323">
        <v>0</v>
      </c>
      <c r="O58" s="323">
        <v>0</v>
      </c>
      <c r="P58" s="323">
        <v>0</v>
      </c>
    </row>
    <row r="59" spans="13:16" x14ac:dyDescent="0.3">
      <c r="M59" s="327" t="s">
        <v>4062</v>
      </c>
      <c r="N59" s="327"/>
      <c r="O59" s="327"/>
      <c r="P59" s="327"/>
    </row>
    <row r="60" spans="13:16" x14ac:dyDescent="0.3">
      <c r="M60" s="18" t="s">
        <v>37</v>
      </c>
      <c r="N60" s="18" t="s">
        <v>38</v>
      </c>
      <c r="O60" s="18" t="s">
        <v>3</v>
      </c>
      <c r="P60" s="18" t="s">
        <v>2</v>
      </c>
    </row>
    <row r="61" spans="13:16" x14ac:dyDescent="0.3">
      <c r="M61" s="323">
        <v>0</v>
      </c>
      <c r="N61" s="323">
        <v>0</v>
      </c>
      <c r="O61" s="323">
        <v>0</v>
      </c>
      <c r="P61" s="323">
        <v>0</v>
      </c>
    </row>
    <row r="62" spans="13:16" x14ac:dyDescent="0.3">
      <c r="M62" s="327" t="s">
        <v>4063</v>
      </c>
      <c r="N62" s="327"/>
      <c r="O62" s="327"/>
      <c r="P62" s="327"/>
    </row>
    <row r="63" spans="13:16" x14ac:dyDescent="0.3">
      <c r="M63" s="18" t="s">
        <v>37</v>
      </c>
      <c r="N63" s="18" t="s">
        <v>38</v>
      </c>
      <c r="O63" s="18" t="s">
        <v>3</v>
      </c>
      <c r="P63" s="18" t="s">
        <v>2</v>
      </c>
    </row>
    <row r="64" spans="13:16" x14ac:dyDescent="0.3">
      <c r="M64" s="323">
        <v>0</v>
      </c>
      <c r="N64" s="323">
        <v>0</v>
      </c>
      <c r="O64" s="323">
        <v>0</v>
      </c>
      <c r="P64" s="323">
        <v>0</v>
      </c>
    </row>
    <row r="65" spans="13:16" x14ac:dyDescent="0.3">
      <c r="M65" s="327" t="s">
        <v>4064</v>
      </c>
      <c r="N65" s="327"/>
      <c r="O65" s="327"/>
      <c r="P65" s="327"/>
    </row>
    <row r="66" spans="13:16" x14ac:dyDescent="0.3">
      <c r="M66" s="18" t="s">
        <v>37</v>
      </c>
      <c r="N66" s="18" t="s">
        <v>38</v>
      </c>
      <c r="O66" s="18" t="s">
        <v>3</v>
      </c>
      <c r="P66" s="18" t="s">
        <v>2</v>
      </c>
    </row>
    <row r="67" spans="13:16" x14ac:dyDescent="0.3">
      <c r="M67" s="323">
        <v>0</v>
      </c>
      <c r="N67" s="323">
        <v>0</v>
      </c>
      <c r="O67" s="323">
        <v>0</v>
      </c>
      <c r="P67" s="323">
        <v>0</v>
      </c>
    </row>
    <row r="68" spans="13:16" x14ac:dyDescent="0.3">
      <c r="M68" s="327" t="s">
        <v>4065</v>
      </c>
      <c r="N68" s="327"/>
      <c r="O68" s="327"/>
      <c r="P68" s="327"/>
    </row>
    <row r="69" spans="13:16" x14ac:dyDescent="0.3">
      <c r="M69" s="18" t="s">
        <v>37</v>
      </c>
      <c r="N69" s="18" t="s">
        <v>38</v>
      </c>
      <c r="O69" s="18" t="s">
        <v>3</v>
      </c>
      <c r="P69" s="18" t="s">
        <v>2</v>
      </c>
    </row>
    <row r="70" spans="13:16" x14ac:dyDescent="0.3">
      <c r="M70" s="323">
        <v>0</v>
      </c>
      <c r="N70" s="323">
        <v>0</v>
      </c>
      <c r="O70" s="323">
        <v>0</v>
      </c>
      <c r="P70" s="323">
        <v>0</v>
      </c>
    </row>
    <row r="71" spans="13:16" x14ac:dyDescent="0.3">
      <c r="M71" s="327" t="s">
        <v>4066</v>
      </c>
      <c r="N71" s="327"/>
      <c r="O71" s="327"/>
      <c r="P71" s="327"/>
    </row>
    <row r="72" spans="13:16" x14ac:dyDescent="0.3">
      <c r="M72" s="18" t="s">
        <v>37</v>
      </c>
      <c r="N72" s="18" t="s">
        <v>38</v>
      </c>
      <c r="O72" s="18" t="s">
        <v>3</v>
      </c>
      <c r="P72" s="18" t="s">
        <v>2</v>
      </c>
    </row>
    <row r="73" spans="13:16" x14ac:dyDescent="0.3">
      <c r="M73" s="323">
        <v>0</v>
      </c>
      <c r="N73" s="323">
        <v>0</v>
      </c>
      <c r="O73" s="323">
        <v>0</v>
      </c>
      <c r="P73" s="323">
        <v>0</v>
      </c>
    </row>
    <row r="74" spans="13:16" x14ac:dyDescent="0.3">
      <c r="M74" s="327" t="s">
        <v>4067</v>
      </c>
      <c r="N74" s="327"/>
      <c r="O74" s="327"/>
      <c r="P74" s="327"/>
    </row>
    <row r="75" spans="13:16" x14ac:dyDescent="0.3">
      <c r="M75" s="18" t="s">
        <v>37</v>
      </c>
      <c r="N75" s="18" t="s">
        <v>38</v>
      </c>
      <c r="O75" s="18" t="s">
        <v>3</v>
      </c>
      <c r="P75" s="18" t="s">
        <v>2</v>
      </c>
    </row>
    <row r="76" spans="13:16" x14ac:dyDescent="0.3">
      <c r="M76" s="323">
        <v>0</v>
      </c>
      <c r="N76" s="323">
        <v>0</v>
      </c>
      <c r="O76" s="323">
        <v>0</v>
      </c>
      <c r="P76" s="323">
        <v>0</v>
      </c>
    </row>
    <row r="77" spans="13:16" x14ac:dyDescent="0.3">
      <c r="M77" s="327" t="s">
        <v>4068</v>
      </c>
      <c r="N77" s="327"/>
      <c r="O77" s="327"/>
      <c r="P77" s="327"/>
    </row>
    <row r="78" spans="13:16" x14ac:dyDescent="0.3">
      <c r="M78" s="18" t="s">
        <v>37</v>
      </c>
      <c r="N78" s="18" t="s">
        <v>38</v>
      </c>
      <c r="O78" s="18" t="s">
        <v>3</v>
      </c>
      <c r="P78" s="18" t="s">
        <v>2</v>
      </c>
    </row>
    <row r="79" spans="13:16" x14ac:dyDescent="0.3">
      <c r="M79" s="323">
        <v>0</v>
      </c>
      <c r="N79" s="323">
        <v>0</v>
      </c>
      <c r="O79" s="323">
        <v>0</v>
      </c>
      <c r="P79" s="323">
        <v>0</v>
      </c>
    </row>
    <row r="80" spans="13:16" x14ac:dyDescent="0.3">
      <c r="M80" s="327" t="s">
        <v>4069</v>
      </c>
      <c r="N80" s="327"/>
      <c r="O80" s="327"/>
      <c r="P80" s="327"/>
    </row>
    <row r="81" spans="13:16" x14ac:dyDescent="0.3">
      <c r="M81" s="18" t="s">
        <v>37</v>
      </c>
      <c r="N81" s="18" t="s">
        <v>38</v>
      </c>
      <c r="O81" s="18" t="s">
        <v>3</v>
      </c>
      <c r="P81" s="18" t="s">
        <v>2</v>
      </c>
    </row>
    <row r="82" spans="13:16" x14ac:dyDescent="0.3">
      <c r="M82" s="323">
        <v>0</v>
      </c>
      <c r="N82" s="323">
        <v>0</v>
      </c>
      <c r="O82" s="323">
        <v>0</v>
      </c>
      <c r="P82" s="323">
        <v>0</v>
      </c>
    </row>
    <row r="83" spans="13:16" x14ac:dyDescent="0.3">
      <c r="M83" s="327" t="s">
        <v>4070</v>
      </c>
      <c r="N83" s="327"/>
      <c r="O83" s="327"/>
      <c r="P83" s="327"/>
    </row>
    <row r="84" spans="13:16" x14ac:dyDescent="0.3">
      <c r="M84" s="18" t="s">
        <v>37</v>
      </c>
      <c r="N84" s="18" t="s">
        <v>38</v>
      </c>
      <c r="O84" s="18" t="s">
        <v>3</v>
      </c>
      <c r="P84" s="18" t="s">
        <v>2</v>
      </c>
    </row>
    <row r="85" spans="13:16" x14ac:dyDescent="0.3">
      <c r="M85" s="323">
        <v>0</v>
      </c>
      <c r="N85" s="323">
        <v>0</v>
      </c>
      <c r="O85" s="323">
        <v>0</v>
      </c>
      <c r="P85" s="323">
        <v>0</v>
      </c>
    </row>
    <row r="86" spans="13:16" x14ac:dyDescent="0.3">
      <c r="M86" s="327" t="s">
        <v>4071</v>
      </c>
      <c r="N86" s="327"/>
      <c r="O86" s="327"/>
      <c r="P86" s="327"/>
    </row>
    <row r="87" spans="13:16" x14ac:dyDescent="0.3">
      <c r="M87" s="18" t="s">
        <v>37</v>
      </c>
      <c r="N87" s="18" t="s">
        <v>38</v>
      </c>
      <c r="O87" s="18" t="s">
        <v>3</v>
      </c>
      <c r="P87" s="18" t="s">
        <v>2</v>
      </c>
    </row>
    <row r="88" spans="13:16" x14ac:dyDescent="0.3">
      <c r="M88" s="323">
        <v>0</v>
      </c>
      <c r="N88" s="323">
        <v>0</v>
      </c>
      <c r="O88" s="323">
        <v>0</v>
      </c>
      <c r="P88" s="323">
        <v>0</v>
      </c>
    </row>
    <row r="89" spans="13:16" x14ac:dyDescent="0.3">
      <c r="M89" s="327" t="s">
        <v>4072</v>
      </c>
      <c r="N89" s="327"/>
      <c r="O89" s="327"/>
      <c r="P89" s="327"/>
    </row>
    <row r="90" spans="13:16" x14ac:dyDescent="0.3">
      <c r="M90" s="18" t="s">
        <v>37</v>
      </c>
      <c r="N90" s="18" t="s">
        <v>38</v>
      </c>
      <c r="O90" s="18" t="s">
        <v>3</v>
      </c>
      <c r="P90" s="18" t="s">
        <v>2</v>
      </c>
    </row>
    <row r="91" spans="13:16" x14ac:dyDescent="0.3">
      <c r="M91" s="323">
        <v>0</v>
      </c>
      <c r="N91" s="323">
        <v>0</v>
      </c>
      <c r="O91" s="323">
        <v>0</v>
      </c>
      <c r="P91" s="323">
        <v>0</v>
      </c>
    </row>
    <row r="92" spans="13:16" x14ac:dyDescent="0.3">
      <c r="M92" s="327" t="s">
        <v>4073</v>
      </c>
      <c r="N92" s="327"/>
      <c r="O92" s="327"/>
      <c r="P92" s="327"/>
    </row>
    <row r="93" spans="13:16" x14ac:dyDescent="0.3">
      <c r="M93" s="18" t="s">
        <v>37</v>
      </c>
      <c r="N93" s="18" t="s">
        <v>38</v>
      </c>
      <c r="O93" s="18" t="s">
        <v>3</v>
      </c>
      <c r="P93" s="18" t="s">
        <v>2</v>
      </c>
    </row>
    <row r="94" spans="13:16" x14ac:dyDescent="0.3">
      <c r="M94" s="323">
        <v>0</v>
      </c>
      <c r="N94" s="323">
        <v>0</v>
      </c>
      <c r="O94" s="323">
        <v>0</v>
      </c>
      <c r="P94" s="323">
        <v>0</v>
      </c>
    </row>
    <row r="95" spans="13:16" x14ac:dyDescent="0.3">
      <c r="M95" s="327" t="s">
        <v>4074</v>
      </c>
      <c r="N95" s="327"/>
      <c r="O95" s="327"/>
      <c r="P95" s="327"/>
    </row>
    <row r="96" spans="13:16" x14ac:dyDescent="0.3">
      <c r="M96" s="18" t="s">
        <v>37</v>
      </c>
      <c r="N96" s="18" t="s">
        <v>38</v>
      </c>
      <c r="O96" s="18" t="s">
        <v>3</v>
      </c>
      <c r="P96" s="18" t="s">
        <v>2</v>
      </c>
    </row>
    <row r="97" spans="13:16" x14ac:dyDescent="0.3">
      <c r="M97" s="323">
        <v>0</v>
      </c>
      <c r="N97" s="323">
        <v>0</v>
      </c>
      <c r="O97" s="323">
        <v>0</v>
      </c>
      <c r="P97" s="323">
        <v>0</v>
      </c>
    </row>
    <row r="98" spans="13:16" x14ac:dyDescent="0.3">
      <c r="M98" s="327" t="s">
        <v>4075</v>
      </c>
      <c r="N98" s="327"/>
      <c r="O98" s="327"/>
      <c r="P98" s="327"/>
    </row>
    <row r="99" spans="13:16" x14ac:dyDescent="0.3">
      <c r="M99" s="18" t="s">
        <v>37</v>
      </c>
      <c r="N99" s="18" t="s">
        <v>38</v>
      </c>
      <c r="O99" s="18" t="s">
        <v>3</v>
      </c>
      <c r="P99" s="18" t="s">
        <v>2</v>
      </c>
    </row>
    <row r="100" spans="13:16" x14ac:dyDescent="0.3">
      <c r="M100" s="323">
        <v>0</v>
      </c>
      <c r="N100" s="323">
        <v>0</v>
      </c>
      <c r="O100" s="323">
        <v>0</v>
      </c>
      <c r="P100" s="323">
        <v>0</v>
      </c>
    </row>
  </sheetData>
  <mergeCells count="42">
    <mergeCell ref="M98:P98"/>
    <mergeCell ref="M83:P83"/>
    <mergeCell ref="M86:P86"/>
    <mergeCell ref="M89:P89"/>
    <mergeCell ref="M92:P92"/>
    <mergeCell ref="M95:P95"/>
    <mergeCell ref="M68:P68"/>
    <mergeCell ref="M71:P71"/>
    <mergeCell ref="M74:P74"/>
    <mergeCell ref="M77:P77"/>
    <mergeCell ref="M80:P80"/>
    <mergeCell ref="M53:P53"/>
    <mergeCell ref="M56:P56"/>
    <mergeCell ref="M59:P59"/>
    <mergeCell ref="M62:P62"/>
    <mergeCell ref="M65:P65"/>
    <mergeCell ref="M38:P38"/>
    <mergeCell ref="M41:P41"/>
    <mergeCell ref="M44:P44"/>
    <mergeCell ref="M47:P47"/>
    <mergeCell ref="M50:P50"/>
    <mergeCell ref="M20:N20"/>
    <mergeCell ref="O20:P20"/>
    <mergeCell ref="N23:P23"/>
    <mergeCell ref="M26:P26"/>
    <mergeCell ref="M29:N29"/>
    <mergeCell ref="I31:I42"/>
    <mergeCell ref="C2:E2"/>
    <mergeCell ref="M1:T1"/>
    <mergeCell ref="A1:H1"/>
    <mergeCell ref="I3:I15"/>
    <mergeCell ref="I17:I29"/>
    <mergeCell ref="M32:P32"/>
    <mergeCell ref="M35:N35"/>
    <mergeCell ref="F2:G2"/>
    <mergeCell ref="Q2:T2"/>
    <mergeCell ref="M14:O14"/>
    <mergeCell ref="M11:P11"/>
    <mergeCell ref="M8:O8"/>
    <mergeCell ref="N5:P5"/>
    <mergeCell ref="M2:P2"/>
    <mergeCell ref="M17:P17"/>
  </mergeCells>
  <phoneticPr fontId="1" type="noConversion"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 filterMode="1">
    <tabColor theme="9" tint="0.79998168889431442"/>
  </sheetPr>
  <dimension ref="A1:D12314"/>
  <sheetViews>
    <sheetView topLeftCell="A11031" workbookViewId="0">
      <selection activeCell="A6915" sqref="A6915:XFD6915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35" t="s">
        <v>3885</v>
      </c>
      <c r="B1" s="235"/>
      <c r="C1" s="235"/>
      <c r="D1" s="235"/>
    </row>
    <row r="2" spans="1:4" ht="16.5" x14ac:dyDescent="0.2">
      <c r="A2" s="10" t="s">
        <v>3876</v>
      </c>
      <c r="B2" s="10" t="s">
        <v>4046</v>
      </c>
      <c r="C2" s="10" t="s">
        <v>3883</v>
      </c>
      <c r="D2" s="10" t="s">
        <v>3884</v>
      </c>
    </row>
    <row r="3" spans="1:4" ht="16.5" hidden="1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313">
        <f>参数调整!$K$35*怪物掉落配置方案!$D4107</f>
        <v>7.9183019461093032E-2</v>
      </c>
    </row>
    <row r="4" spans="1:4" ht="16.5" hidden="1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313">
        <f>参数调整!$K$35*怪物掉落配置方案!$D4108</f>
        <v>0.10021600900544589</v>
      </c>
    </row>
    <row r="5" spans="1:4" ht="16.5" hidden="1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313">
        <f>参数调整!$K$35*怪物掉落配置方案!$D4109</f>
        <v>0.12372346790795787</v>
      </c>
    </row>
    <row r="6" spans="1:4" ht="16.5" hidden="1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313">
        <f>参数调整!$K$35*怪物掉落配置方案!$D4110</f>
        <v>0.14970539616862902</v>
      </c>
    </row>
    <row r="7" spans="1:4" ht="16.5" hidden="1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313">
        <f>参数调整!$K$35*怪物掉落配置方案!$D4111</f>
        <v>0.17816179378745928</v>
      </c>
    </row>
    <row r="8" spans="1:4" ht="16.5" hidden="1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313">
        <f>参数调整!$K$35*怪物掉落配置方案!$D4112</f>
        <v>0.20909266076444877</v>
      </c>
    </row>
    <row r="9" spans="1:4" ht="16.5" hidden="1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313">
        <f>参数调整!$K$35*怪物掉落配置方案!$D4113</f>
        <v>0.24249799709959735</v>
      </c>
    </row>
    <row r="10" spans="1:4" ht="16.5" hidden="1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313">
        <f>参数调整!$K$35*怪物掉落配置方案!$D4114</f>
        <v>0.27837780279290514</v>
      </c>
    </row>
    <row r="11" spans="1:4" ht="16.5" hidden="1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313">
        <f>参数调整!$K$35*怪物掉落配置方案!$D4115</f>
        <v>0.31673207784437213</v>
      </c>
    </row>
    <row r="12" spans="1:4" ht="16.5" hidden="1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313">
        <f>参数调整!$K$35*怪物掉落配置方案!$D4116</f>
        <v>0.40086403602178344</v>
      </c>
    </row>
    <row r="13" spans="1:4" ht="16.5" hidden="1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313">
        <f>参数调整!$K$35*怪物掉落配置方案!$D4117</f>
        <v>0.49489387163183135</v>
      </c>
    </row>
    <row r="14" spans="1:4" ht="16.5" hidden="1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313">
        <f>参数调整!$K$35*怪物掉落配置方案!$D4118</f>
        <v>0.59882158467451607</v>
      </c>
    </row>
    <row r="15" spans="1:4" ht="16.5" hidden="1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313">
        <f>参数调整!$K$35*怪物掉落配置方案!$D4119</f>
        <v>0.77327167442473643</v>
      </c>
    </row>
    <row r="16" spans="1:4" ht="16.5" hidden="1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313">
        <f>参数调整!$K$35*怪物掉落配置方案!$D4120</f>
        <v>1.1135112111716206</v>
      </c>
    </row>
    <row r="17" spans="1:4" ht="16.5" hidden="1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313">
        <f>参数调整!$K$35*怪物掉落配置方案!$D4121</f>
        <v>1.5156124818724834</v>
      </c>
    </row>
    <row r="18" spans="1:4" ht="16.5" hidden="1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313">
        <f>参数调整!$K$35*怪物掉落配置方案!$D4122</f>
        <v>1.6937742756599432</v>
      </c>
    </row>
    <row r="19" spans="1:4" ht="16.5" hidden="1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313">
        <f>参数调整!$K$35*怪物掉落配置方案!$D4123</f>
        <v>1.9795754865273254</v>
      </c>
    </row>
    <row r="20" spans="1:4" ht="16.5" hidden="1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313">
        <f>参数调整!$K$35*怪物掉落配置方案!$D4124</f>
        <v>2.2876469216181401</v>
      </c>
    </row>
    <row r="21" spans="1:4" ht="16.5" hidden="1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313">
        <f>参数调整!$K$35*怪物掉落配置方案!$D4125</f>
        <v>2.6179885809323875</v>
      </c>
    </row>
    <row r="22" spans="1:4" ht="16.5" hidden="1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313">
        <f>参数调整!$K$35*怪物掉落配置方案!$D4126</f>
        <v>2.9706004644700683</v>
      </c>
    </row>
    <row r="23" spans="1:4" ht="16.5" hidden="1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313">
        <f>参数调整!$K$35*怪物掉落配置方案!$D4127</f>
        <v>3.3454825722311803</v>
      </c>
    </row>
    <row r="24" spans="1:4" ht="16.5" hidden="1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313">
        <f>参数调整!$K$35*怪物掉落配置方案!$D4128</f>
        <v>3.7426349042157248</v>
      </c>
    </row>
    <row r="25" spans="1:4" ht="16.5" hidden="1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313">
        <f>参数调整!$K$35*怪物掉落配置方案!$D4129</f>
        <v>4.1620574604237017</v>
      </c>
    </row>
    <row r="26" spans="1:4" ht="16.5" hidden="1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313">
        <f>参数调整!$K$35*怪物掉落配置方案!$D4130</f>
        <v>4.6037502408551108</v>
      </c>
    </row>
    <row r="27" spans="1:4" ht="16.5" hidden="1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313">
        <f>参数调整!$K$35*怪物掉落配置方案!$D4131</f>
        <v>5.0677132455099541</v>
      </c>
    </row>
    <row r="28" spans="1:4" ht="16.5" hidden="1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313">
        <f>参数调整!$K$35*怪物掉落配置方案!$D4132</f>
        <v>5.5539464743882281</v>
      </c>
    </row>
    <row r="29" spans="1:4" ht="16.5" hidden="1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313">
        <f>参数调整!$K$35*怪物掉落配置方案!$D4133</f>
        <v>6.0624499274899355</v>
      </c>
    </row>
    <row r="30" spans="1:4" ht="16.5" hidden="1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313">
        <f>参数调整!$K$35*怪物掉落配置方案!$D4134</f>
        <v>1.0377022511825018</v>
      </c>
    </row>
    <row r="31" spans="1:4" ht="16.5" hidden="1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313">
        <f>参数调整!$K$35*怪物掉落配置方案!$D4135</f>
        <v>1.313341911652854</v>
      </c>
    </row>
    <row r="32" spans="1:4" ht="16.5" hidden="1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313">
        <f>参数调整!$K$35*怪物掉落配置方案!$D4136</f>
        <v>1.6214097674726586</v>
      </c>
    </row>
    <row r="33" spans="1:4" ht="16.5" hidden="1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313">
        <f>参数调整!$K$35*怪物掉落配置方案!$D4137</f>
        <v>1.9619058186419174</v>
      </c>
    </row>
    <row r="34" spans="1:4" ht="16.5" hidden="1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313">
        <f>参数调整!$K$35*怪物掉落配置方案!$D4138</f>
        <v>2.3348300651606277</v>
      </c>
    </row>
    <row r="35" spans="1:4" ht="16.5" hidden="1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313">
        <f>参数调整!$K$35*怪物掉落配置方案!$D4139</f>
        <v>2.7401825070287935</v>
      </c>
    </row>
    <row r="36" spans="1:4" ht="16.5" hidden="1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313">
        <f>参数调整!$K$35*怪物掉落配置方案!$D4140</f>
        <v>3.1779631442464105</v>
      </c>
    </row>
    <row r="37" spans="1:4" ht="16.5" hidden="1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313">
        <f>参数调整!$K$35*怪物掉落配置方案!$D4141</f>
        <v>3.6481719768134817</v>
      </c>
    </row>
    <row r="38" spans="1:4" ht="16.5" hidden="1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313">
        <f>参数调整!$K$35*怪物掉落配置方案!$D4142</f>
        <v>4.1508090047300072</v>
      </c>
    </row>
    <row r="39" spans="1:4" ht="16.5" hidden="1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313">
        <f>参数调整!$K$35*怪物掉落配置方案!$D4143</f>
        <v>5.253367646611415</v>
      </c>
    </row>
    <row r="40" spans="1:4" ht="16.5" hidden="1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313">
        <f>参数调整!$K$35*怪物掉落配置方案!$D4144</f>
        <v>6.4856390698906337</v>
      </c>
    </row>
    <row r="41" spans="1:4" ht="16.5" hidden="1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313">
        <f>参数调整!$K$35*怪物掉落配置方案!$D4145</f>
        <v>7.8476232745676695</v>
      </c>
    </row>
    <row r="42" spans="1:4" ht="16.5" hidden="1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313">
        <f>参数调整!$K$35*怪物掉落配置方案!$D4146</f>
        <v>10.133811046704116</v>
      </c>
    </row>
    <row r="43" spans="1:4" ht="16.5" hidden="1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313">
        <f>参数调整!$K$35*怪物掉落配置方案!$D4147</f>
        <v>14.592687907253927</v>
      </c>
    </row>
    <row r="44" spans="1:4" ht="16.5" hidden="1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313">
        <f>参数调整!$K$35*怪物掉落配置方案!$D4148</f>
        <v>19.862269651540064</v>
      </c>
    </row>
    <row r="45" spans="1:4" ht="16.5" hidden="1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313">
        <f>参数调整!$K$35*怪物掉落配置方案!$D4149</f>
        <v>22.197099716700698</v>
      </c>
    </row>
    <row r="46" spans="1:4" ht="16.5" hidden="1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313">
        <f>参数调整!$K$35*怪物掉落配置方案!$D4150</f>
        <v>25.942556279562535</v>
      </c>
    </row>
    <row r="47" spans="1:4" ht="16.5" hidden="1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313">
        <f>参数调整!$K$35*怪物掉落配置方案!$D4151</f>
        <v>29.979866600569455</v>
      </c>
    </row>
    <row r="48" spans="1:4" ht="16.5" hidden="1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313">
        <f>参数调整!$K$35*怪物掉落配置方案!$D4152</f>
        <v>34.309030679721452</v>
      </c>
    </row>
    <row r="49" spans="1:4" ht="16.5" hidden="1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313">
        <f>参数调整!$K$35*怪物掉落配置方案!$D4153</f>
        <v>38.930048517018541</v>
      </c>
    </row>
    <row r="50" spans="1:4" ht="16.5" hidden="1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313">
        <f>参数调整!$K$35*怪物掉落配置方案!$D4154</f>
        <v>43.842920112460689</v>
      </c>
    </row>
    <row r="51" spans="1:4" ht="16.5" hidden="1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313">
        <f>参数调整!$K$35*怪物掉落配置方案!$D4155</f>
        <v>49.047645466047932</v>
      </c>
    </row>
    <row r="52" spans="1:4" ht="16.5" hidden="1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313">
        <f>参数调整!$K$35*怪物掉落配置方案!$D4156</f>
        <v>54.544224577780234</v>
      </c>
    </row>
    <row r="53" spans="1:4" ht="16.5" hidden="1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313">
        <f>参数调整!$K$35*怪物掉落配置方案!$D4157</f>
        <v>60.332657447657624</v>
      </c>
    </row>
    <row r="54" spans="1:4" ht="16.5" hidden="1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313">
        <f>参数调整!$K$35*怪物掉落配置方案!$D4158</f>
        <v>66.412944075680102</v>
      </c>
    </row>
    <row r="55" spans="1:4" ht="16.5" hidden="1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313">
        <f>参数调整!$K$35*怪物掉落配置方案!$D4159</f>
        <v>72.785084461847646</v>
      </c>
    </row>
    <row r="56" spans="1:4" ht="16.5" hidden="1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313">
        <f>参数调整!$K$35*怪物掉落配置方案!$D4160</f>
        <v>79.449078606160271</v>
      </c>
    </row>
    <row r="57" spans="1:4" ht="16.5" hidden="1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313">
        <f>参数调整!$K$35*怪物掉落配置方案!$D4161</f>
        <v>13400</v>
      </c>
    </row>
    <row r="58" spans="1:4" ht="16.5" hidden="1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313">
        <f>参数调整!$K$35*怪物掉落配置方案!$D4162</f>
        <v>17000</v>
      </c>
    </row>
    <row r="59" spans="1:4" ht="16.5" hidden="1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313">
        <f>参数调整!$K$35*怪物掉落配置方案!$D4163</f>
        <v>21000</v>
      </c>
    </row>
    <row r="60" spans="1:4" ht="16.5" hidden="1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313">
        <f>参数调整!$K$35*怪物掉落配置方案!$D4164</f>
        <v>25400</v>
      </c>
    </row>
    <row r="61" spans="1:4" ht="16.5" hidden="1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313">
        <f>参数调整!$K$35*怪物掉落配置方案!$D4165</f>
        <v>30200</v>
      </c>
    </row>
    <row r="62" spans="1:4" ht="16.5" hidden="1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313">
        <f>参数调整!$K$35*怪物掉落配置方案!$D4166</f>
        <v>35400</v>
      </c>
    </row>
    <row r="63" spans="1:4" ht="16.5" hidden="1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313">
        <f>参数调整!$K$35*怪物掉落配置方案!$D4167</f>
        <v>41200</v>
      </c>
    </row>
    <row r="64" spans="1:4" ht="16.5" hidden="1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313">
        <f>参数调整!$K$35*怪物掉落配置方案!$D4168</f>
        <v>47200</v>
      </c>
    </row>
    <row r="65" spans="1:4" ht="16.5" hidden="1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313">
        <f>参数调整!$K$35*怪物掉落配置方案!$D4169</f>
        <v>53600</v>
      </c>
    </row>
    <row r="66" spans="1:4" ht="16.5" hidden="1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313">
        <f>参数调整!$K$35*怪物掉落配置方案!$D4170</f>
        <v>68000</v>
      </c>
    </row>
    <row r="67" spans="1:4" ht="16.5" hidden="1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313">
        <f>参数调整!$K$35*怪物掉落配置方案!$D4171</f>
        <v>83800</v>
      </c>
    </row>
    <row r="68" spans="1:4" ht="16.5" hidden="1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313">
        <f>参数调整!$K$35*怪物掉落配置方案!$D4172</f>
        <v>101600</v>
      </c>
    </row>
    <row r="69" spans="1:4" ht="16.5" hidden="1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313">
        <f>参数调整!$K$35*怪物掉落配置方案!$D4173</f>
        <v>131000</v>
      </c>
    </row>
    <row r="70" spans="1:4" ht="16.5" hidden="1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313">
        <f>参数调整!$K$35*怪物掉落配置方案!$D4174</f>
        <v>188800</v>
      </c>
    </row>
    <row r="71" spans="1:4" ht="16.5" hidden="1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313">
        <f>参数调整!$K$35*怪物掉落配置方案!$D4175</f>
        <v>257000</v>
      </c>
    </row>
    <row r="72" spans="1:4" ht="16.5" hidden="1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313">
        <f>参数调整!$K$35*怪物掉落配置方案!$D4176</f>
        <v>287200</v>
      </c>
    </row>
    <row r="73" spans="1:4" ht="16.5" hidden="1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313">
        <f>参数调整!$K$35*怪物掉落配置方案!$D4177</f>
        <v>335600</v>
      </c>
    </row>
    <row r="74" spans="1:4" ht="16.5" hidden="1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313">
        <f>参数调整!$K$35*怪物掉落配置方案!$D4178</f>
        <v>387800</v>
      </c>
    </row>
    <row r="75" spans="1:4" ht="16.5" hidden="1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313">
        <f>参数调整!$K$35*怪物掉落配置方案!$D4179</f>
        <v>443800</v>
      </c>
    </row>
    <row r="76" spans="1:4" ht="16.5" hidden="1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313">
        <f>参数调整!$K$35*怪物掉落配置方案!$D4180</f>
        <v>503600</v>
      </c>
    </row>
    <row r="77" spans="1:4" ht="16.5" hidden="1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313">
        <f>参数调整!$K$35*怪物掉落配置方案!$D4181</f>
        <v>567200</v>
      </c>
    </row>
    <row r="78" spans="1:4" ht="16.5" hidden="1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313">
        <f>参数调整!$K$35*怪物掉落配置方案!$D4182</f>
        <v>634400</v>
      </c>
    </row>
    <row r="79" spans="1:4" ht="16.5" hidden="1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313">
        <f>参数调整!$K$35*怪物掉落配置方案!$D4183</f>
        <v>705600</v>
      </c>
    </row>
    <row r="80" spans="1:4" ht="16.5" hidden="1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313">
        <f>参数调整!$K$35*怪物掉落配置方案!$D4184</f>
        <v>780400</v>
      </c>
    </row>
    <row r="81" spans="1:4" ht="16.5" hidden="1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313">
        <f>参数调整!$K$35*怪物掉落配置方案!$D4185</f>
        <v>859000</v>
      </c>
    </row>
    <row r="82" spans="1:4" ht="16.5" hidden="1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313">
        <f>参数调整!$K$35*怪物掉落配置方案!$D4186</f>
        <v>941400</v>
      </c>
    </row>
    <row r="83" spans="1:4" ht="16.5" hidden="1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313">
        <f>参数调整!$K$35*怪物掉落配置方案!$D4187</f>
        <v>1027600</v>
      </c>
    </row>
    <row r="84" spans="1:4" ht="16.5" hidden="1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313">
        <f>参数调整!$K$35*怪物掉落配置方案!$D4188</f>
        <v>1.6246235338464058E-3</v>
      </c>
    </row>
    <row r="85" spans="1:4" ht="16.5" hidden="1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313">
        <f>参数调整!$K$35*怪物掉落配置方案!$D4189</f>
        <v>2.0561641600243576E-3</v>
      </c>
    </row>
    <row r="86" spans="1:4" ht="16.5" hidden="1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313">
        <f>参数调整!$K$35*怪物掉落配置方案!$D4190</f>
        <v>2.538474271635009E-3</v>
      </c>
    </row>
    <row r="87" spans="1:4" ht="16.5" hidden="1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313">
        <f>参数调整!$K$35*怪物掉落配置方案!$D4191</f>
        <v>3.0715538686783609E-3</v>
      </c>
    </row>
    <row r="88" spans="1:4" ht="16.5" hidden="1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313">
        <f>参数调整!$K$35*怪物掉落配置方案!$D4192</f>
        <v>3.6554029511544125E-3</v>
      </c>
    </row>
    <row r="89" spans="1:4" ht="16.5" hidden="1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313">
        <f>参数调整!$K$35*怪物掉落配置方案!$D4193</f>
        <v>4.2900215190631646E-3</v>
      </c>
    </row>
    <row r="90" spans="1:4" ht="16.5" hidden="1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313">
        <f>参数调整!$K$35*怪物掉落配置方案!$D4194</f>
        <v>4.9754095724046168E-3</v>
      </c>
    </row>
    <row r="91" spans="1:4" ht="16.5" hidden="1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313">
        <f>参数调整!$K$35*怪物掉落配置方案!$D4195</f>
        <v>5.7115671111787692E-3</v>
      </c>
    </row>
    <row r="92" spans="1:4" ht="16.5" hidden="1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313">
        <f>参数调整!$K$35*怪物掉落配置方案!$D4196</f>
        <v>6.4984941353856251E-3</v>
      </c>
    </row>
    <row r="93" spans="1:4" ht="16.5" hidden="1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313">
        <f>参数调整!$K$35*怪物掉落配置方案!$D4197</f>
        <v>8.2246566400974285E-3</v>
      </c>
    </row>
    <row r="94" spans="1:4" ht="16.5" hidden="1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313">
        <f>参数调整!$K$35*怪物掉落配置方案!$D4198</f>
        <v>1.0153897086540034E-2</v>
      </c>
    </row>
    <row r="95" spans="1:4" ht="16.5" hidden="1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313">
        <f>参数调整!$K$35*怪物掉落配置方案!$D4199</f>
        <v>1.2286215474713444E-2</v>
      </c>
    </row>
    <row r="96" spans="1:4" ht="16.5" hidden="1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313">
        <f>参数调整!$K$35*怪物掉落配置方案!$D4200</f>
        <v>1.5865464197718806E-2</v>
      </c>
    </row>
    <row r="97" spans="1:4" ht="16.5" hidden="1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313">
        <f>参数调整!$K$35*怪物掉落配置方案!$D4201</f>
        <v>2.2846268444715073E-2</v>
      </c>
    </row>
    <row r="98" spans="1:4" ht="16.5" hidden="1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313">
        <f>参数调整!$K$35*怪物掉落配置方案!$D4202</f>
        <v>3.1096309827528854E-2</v>
      </c>
    </row>
    <row r="99" spans="1:4" ht="16.5" hidden="1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313">
        <f>参数调整!$K$35*怪物掉落配置方案!$D4203</f>
        <v>3.4751712778683275E-2</v>
      </c>
    </row>
    <row r="100" spans="1:4" ht="16.5" hidden="1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313">
        <f>参数调整!$K$35*怪物掉落配置方案!$D4204</f>
        <v>4.0615588346160136E-2</v>
      </c>
    </row>
    <row r="101" spans="1:4" ht="16.5" hidden="1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313">
        <f>参数调整!$K$35*怪物掉落配置方案!$D4205</f>
        <v>4.6936389282531299E-2</v>
      </c>
    </row>
    <row r="102" spans="1:4" ht="16.5" hidden="1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313">
        <f>参数调整!$K$35*怪物掉落配置方案!$D4206</f>
        <v>5.3714115587796783E-2</v>
      </c>
    </row>
    <row r="103" spans="1:4" ht="16.5" hidden="1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313">
        <f>参数调整!$K$35*怪物掉落配置方案!$D4207</f>
        <v>6.0948767261956575E-2</v>
      </c>
    </row>
    <row r="104" spans="1:4" ht="16.5" hidden="1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313">
        <f>参数调整!$K$35*怪物掉落配置方案!$D4208</f>
        <v>6.8640344305010634E-2</v>
      </c>
    </row>
    <row r="105" spans="1:4" ht="16.5" hidden="1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313">
        <f>参数调整!$K$35*怪物掉落配置方案!$D4209</f>
        <v>7.6788846716959028E-2</v>
      </c>
    </row>
    <row r="106" spans="1:4" ht="16.5" hidden="1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313">
        <f>参数调整!$K$35*怪物掉落配置方案!$D4210</f>
        <v>8.5394274497801681E-2</v>
      </c>
    </row>
    <row r="107" spans="1:4" ht="16.5" hidden="1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313">
        <f>参数调整!$K$35*怪物掉落配置方案!$D4211</f>
        <v>9.4456627647538663E-2</v>
      </c>
    </row>
    <row r="108" spans="1:4" ht="16.5" hidden="1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313">
        <f>参数调整!$K$35*怪物掉落配置方案!$D4212</f>
        <v>0.10397590616616997</v>
      </c>
    </row>
    <row r="109" spans="1:4" ht="16.5" hidden="1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313">
        <f>参数调整!$K$35*怪物掉落配置方案!$D4213</f>
        <v>0.11395211005369554</v>
      </c>
    </row>
    <row r="110" spans="1:4" ht="16.5" hidden="1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313">
        <f>参数调整!$K$35*怪物掉落配置方案!$D4214</f>
        <v>0.12438523931011544</v>
      </c>
    </row>
    <row r="111" spans="1:4" ht="16.5" hidden="1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313">
        <f>参数调整!$K$35*怪物掉落配置方案!$D4215</f>
        <v>0</v>
      </c>
    </row>
    <row r="112" spans="1:4" ht="16.5" hidden="1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313">
        <f>参数调整!$K$35*怪物掉落配置方案!$D4216</f>
        <v>0</v>
      </c>
    </row>
    <row r="113" spans="1:4" ht="16.5" hidden="1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313">
        <f>参数调整!$K$35*怪物掉落配置方案!$D4217</f>
        <v>0</v>
      </c>
    </row>
    <row r="114" spans="1:4" ht="16.5" hidden="1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313">
        <f>参数调整!$K$35*怪物掉落配置方案!$D4218</f>
        <v>0</v>
      </c>
    </row>
    <row r="115" spans="1:4" ht="16.5" hidden="1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313">
        <f>参数调整!$K$35*怪物掉落配置方案!$D4219</f>
        <v>0</v>
      </c>
    </row>
    <row r="116" spans="1:4" ht="16.5" hidden="1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313">
        <f>参数调整!$K$35*怪物掉落配置方案!$D4220</f>
        <v>0</v>
      </c>
    </row>
    <row r="117" spans="1:4" ht="16.5" hidden="1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313">
        <f>参数调整!$K$35*怪物掉落配置方案!$D4221</f>
        <v>0</v>
      </c>
    </row>
    <row r="118" spans="1:4" ht="16.5" hidden="1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313">
        <f>参数调整!$K$35*怪物掉落配置方案!$D4222</f>
        <v>0</v>
      </c>
    </row>
    <row r="119" spans="1:4" ht="16.5" hidden="1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313">
        <f>参数调整!$K$35*怪物掉落配置方案!$D4223</f>
        <v>0</v>
      </c>
    </row>
    <row r="120" spans="1:4" ht="16.5" hidden="1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313">
        <f>参数调整!$K$35*怪物掉落配置方案!$D4224</f>
        <v>0</v>
      </c>
    </row>
    <row r="121" spans="1:4" ht="16.5" hidden="1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313">
        <f>参数调整!$K$35*怪物掉落配置方案!$D4225</f>
        <v>0</v>
      </c>
    </row>
    <row r="122" spans="1:4" ht="16.5" hidden="1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313">
        <f>参数调整!$K$35*怪物掉落配置方案!$D4226</f>
        <v>0</v>
      </c>
    </row>
    <row r="123" spans="1:4" ht="16.5" hidden="1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313">
        <f>参数调整!$K$35*怪物掉落配置方案!$D4227</f>
        <v>0</v>
      </c>
    </row>
    <row r="124" spans="1:4" ht="16.5" hidden="1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313">
        <f>参数调整!$K$35*怪物掉落配置方案!$D4228</f>
        <v>0</v>
      </c>
    </row>
    <row r="125" spans="1:4" ht="16.5" hidden="1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313">
        <f>参数调整!$K$35*怪物掉落配置方案!$D4229</f>
        <v>0</v>
      </c>
    </row>
    <row r="126" spans="1:4" ht="16.5" hidden="1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313">
        <f>参数调整!$K$35*怪物掉落配置方案!$D4230</f>
        <v>0</v>
      </c>
    </row>
    <row r="127" spans="1:4" ht="16.5" hidden="1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313">
        <f>参数调整!$K$35*怪物掉落配置方案!$D4231</f>
        <v>0</v>
      </c>
    </row>
    <row r="128" spans="1:4" ht="16.5" hidden="1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313">
        <f>参数调整!$K$35*怪物掉落配置方案!$D4232</f>
        <v>0</v>
      </c>
    </row>
    <row r="129" spans="1:4" ht="16.5" hidden="1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313">
        <f>参数调整!$K$35*怪物掉落配置方案!$D4233</f>
        <v>0</v>
      </c>
    </row>
    <row r="130" spans="1:4" ht="16.5" hidden="1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313">
        <f>参数调整!$K$35*怪物掉落配置方案!$D4234</f>
        <v>0</v>
      </c>
    </row>
    <row r="131" spans="1:4" ht="16.5" hidden="1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313">
        <f>参数调整!$K$35*怪物掉落配置方案!$D4235</f>
        <v>0</v>
      </c>
    </row>
    <row r="132" spans="1:4" ht="16.5" hidden="1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313">
        <f>参数调整!$K$35*怪物掉落配置方案!$D4236</f>
        <v>0</v>
      </c>
    </row>
    <row r="133" spans="1:4" ht="16.5" hidden="1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313">
        <f>参数调整!$K$35*怪物掉落配置方案!$D4237</f>
        <v>0</v>
      </c>
    </row>
    <row r="134" spans="1:4" ht="16.5" hidden="1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313">
        <f>参数调整!$K$35*怪物掉落配置方案!$D4238</f>
        <v>0</v>
      </c>
    </row>
    <row r="135" spans="1:4" ht="16.5" hidden="1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313">
        <f>参数调整!$K$35*怪物掉落配置方案!$D4239</f>
        <v>0</v>
      </c>
    </row>
    <row r="136" spans="1:4" ht="16.5" hidden="1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313">
        <f>参数调整!$K$35*怪物掉落配置方案!$D4240</f>
        <v>0</v>
      </c>
    </row>
    <row r="137" spans="1:4" ht="16.5" hidden="1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313">
        <f>参数调整!$K$35*怪物掉落配置方案!$D4241</f>
        <v>0</v>
      </c>
    </row>
    <row r="138" spans="1:4" ht="16.5" hidden="1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313">
        <f>参数调整!$K$35*怪物掉落配置方案!$D4242</f>
        <v>0</v>
      </c>
    </row>
    <row r="139" spans="1:4" ht="16.5" hidden="1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313">
        <f>参数调整!$K$35*怪物掉落配置方案!$D4243</f>
        <v>0</v>
      </c>
    </row>
    <row r="140" spans="1:4" ht="16.5" hidden="1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313">
        <f>参数调整!$K$35*怪物掉落配置方案!$D4244</f>
        <v>0</v>
      </c>
    </row>
    <row r="141" spans="1:4" ht="16.5" hidden="1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313">
        <f>参数调整!$K$35*怪物掉落配置方案!$D4245</f>
        <v>0</v>
      </c>
    </row>
    <row r="142" spans="1:4" ht="16.5" hidden="1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313">
        <f>参数调整!$K$35*怪物掉落配置方案!$D4246</f>
        <v>0</v>
      </c>
    </row>
    <row r="143" spans="1:4" ht="16.5" hidden="1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313">
        <f>参数调整!$K$35*怪物掉落配置方案!$D4247</f>
        <v>0</v>
      </c>
    </row>
    <row r="144" spans="1:4" ht="16.5" hidden="1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313">
        <f>参数调整!$K$35*怪物掉落配置方案!$D4248</f>
        <v>0</v>
      </c>
    </row>
    <row r="145" spans="1:4" ht="16.5" hidden="1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313">
        <f>参数调整!$K$35*怪物掉落配置方案!$D4249</f>
        <v>0</v>
      </c>
    </row>
    <row r="146" spans="1:4" ht="16.5" hidden="1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313">
        <f>参数调整!$K$35*怪物掉落配置方案!$D4250</f>
        <v>0</v>
      </c>
    </row>
    <row r="147" spans="1:4" ht="16.5" hidden="1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313">
        <f>参数调整!$K$35*怪物掉落配置方案!$D4251</f>
        <v>0</v>
      </c>
    </row>
    <row r="148" spans="1:4" ht="16.5" hidden="1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313">
        <f>参数调整!$K$35*怪物掉落配置方案!$D4252</f>
        <v>0</v>
      </c>
    </row>
    <row r="149" spans="1:4" ht="16.5" hidden="1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313">
        <f>参数调整!$K$35*怪物掉落配置方案!$D4253</f>
        <v>0</v>
      </c>
    </row>
    <row r="150" spans="1:4" ht="16.5" hidden="1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313">
        <f>参数调整!$K$35*怪物掉落配置方案!$D4254</f>
        <v>0</v>
      </c>
    </row>
    <row r="151" spans="1:4" ht="16.5" hidden="1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313">
        <f>参数调整!$K$35*怪物掉落配置方案!$D4255</f>
        <v>0</v>
      </c>
    </row>
    <row r="152" spans="1:4" ht="16.5" hidden="1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313">
        <f>参数调整!$K$35*怪物掉落配置方案!$D4256</f>
        <v>0</v>
      </c>
    </row>
    <row r="153" spans="1:4" ht="16.5" hidden="1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313">
        <f>参数调整!$K$35*怪物掉落配置方案!$D4257</f>
        <v>0</v>
      </c>
    </row>
    <row r="154" spans="1:4" ht="16.5" hidden="1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313">
        <f>参数调整!$K$35*怪物掉落配置方案!$D4258</f>
        <v>0</v>
      </c>
    </row>
    <row r="155" spans="1:4" ht="16.5" hidden="1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313">
        <f>参数调整!$K$35*怪物掉落配置方案!$D4259</f>
        <v>0</v>
      </c>
    </row>
    <row r="156" spans="1:4" ht="16.5" hidden="1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313">
        <f>参数调整!$K$35*怪物掉落配置方案!$D4260</f>
        <v>0</v>
      </c>
    </row>
    <row r="157" spans="1:4" ht="16.5" hidden="1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313">
        <f>参数调整!$K$35*怪物掉落配置方案!$D4261</f>
        <v>0</v>
      </c>
    </row>
    <row r="158" spans="1:4" ht="16.5" hidden="1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313">
        <f>参数调整!$K$35*怪物掉落配置方案!$D4262</f>
        <v>0</v>
      </c>
    </row>
    <row r="159" spans="1:4" ht="16.5" hidden="1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313">
        <f>参数调整!$K$35*怪物掉落配置方案!$D4263</f>
        <v>0</v>
      </c>
    </row>
    <row r="160" spans="1:4" ht="16.5" hidden="1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313">
        <f>参数调整!$K$35*怪物掉落配置方案!$D4264</f>
        <v>0</v>
      </c>
    </row>
    <row r="161" spans="1:4" ht="16.5" hidden="1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313">
        <f>参数调整!$K$35*怪物掉落配置方案!$D4265</f>
        <v>0</v>
      </c>
    </row>
    <row r="162" spans="1:4" ht="16.5" hidden="1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313">
        <f>参数调整!$K$35*怪物掉落配置方案!$D4266</f>
        <v>0</v>
      </c>
    </row>
    <row r="163" spans="1:4" ht="16.5" hidden="1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313">
        <f>参数调整!$K$35*怪物掉落配置方案!$D4267</f>
        <v>0</v>
      </c>
    </row>
    <row r="164" spans="1:4" ht="16.5" hidden="1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313">
        <f>参数调整!$K$35*怪物掉落配置方案!$D4268</f>
        <v>0</v>
      </c>
    </row>
    <row r="165" spans="1:4" ht="16.5" hidden="1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313">
        <f>参数调整!$K$35*怪物掉落配置方案!$D4269</f>
        <v>0</v>
      </c>
    </row>
    <row r="166" spans="1:4" ht="16.5" hidden="1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313">
        <f>参数调整!$K$35*怪物掉落配置方案!$D4270</f>
        <v>0</v>
      </c>
    </row>
    <row r="167" spans="1:4" ht="16.5" hidden="1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313">
        <f>参数调整!$K$35*怪物掉落配置方案!$D4271</f>
        <v>0</v>
      </c>
    </row>
    <row r="168" spans="1:4" ht="16.5" hidden="1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313">
        <f>参数调整!$K$35*怪物掉落配置方案!$D4272</f>
        <v>0</v>
      </c>
    </row>
    <row r="169" spans="1:4" ht="16.5" hidden="1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313">
        <f>参数调整!$K$35*怪物掉落配置方案!$D4273</f>
        <v>0</v>
      </c>
    </row>
    <row r="170" spans="1:4" ht="16.5" hidden="1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313">
        <f>参数调整!$K$35*怪物掉落配置方案!$D4274</f>
        <v>0</v>
      </c>
    </row>
    <row r="171" spans="1:4" ht="16.5" hidden="1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313">
        <f>参数调整!$K$35*怪物掉落配置方案!$D4275</f>
        <v>0</v>
      </c>
    </row>
    <row r="172" spans="1:4" ht="16.5" hidden="1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313">
        <f>参数调整!$K$35*怪物掉落配置方案!$D4276</f>
        <v>0</v>
      </c>
    </row>
    <row r="173" spans="1:4" ht="16.5" hidden="1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313">
        <f>参数调整!$K$35*怪物掉落配置方案!$D4277</f>
        <v>0</v>
      </c>
    </row>
    <row r="174" spans="1:4" ht="16.5" hidden="1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313">
        <f>参数调整!$K$35*怪物掉落配置方案!$D4278</f>
        <v>0</v>
      </c>
    </row>
    <row r="175" spans="1:4" ht="16.5" hidden="1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313">
        <f>参数调整!$K$35*怪物掉落配置方案!$D4279</f>
        <v>0</v>
      </c>
    </row>
    <row r="176" spans="1:4" ht="16.5" hidden="1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313">
        <f>参数调整!$K$35*怪物掉落配置方案!$D4280</f>
        <v>0</v>
      </c>
    </row>
    <row r="177" spans="1:4" ht="16.5" hidden="1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313">
        <f>参数调整!$K$35*怪物掉落配置方案!$D4281</f>
        <v>0</v>
      </c>
    </row>
    <row r="178" spans="1:4" ht="16.5" hidden="1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313">
        <f>参数调整!$K$35*怪物掉落配置方案!$D4282</f>
        <v>0</v>
      </c>
    </row>
    <row r="179" spans="1:4" ht="16.5" hidden="1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313">
        <f>参数调整!$K$35*怪物掉落配置方案!$D4283</f>
        <v>0</v>
      </c>
    </row>
    <row r="180" spans="1:4" ht="16.5" hidden="1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313">
        <f>参数调整!$K$35*怪物掉落配置方案!$D4284</f>
        <v>0</v>
      </c>
    </row>
    <row r="181" spans="1:4" ht="16.5" hidden="1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313">
        <f>参数调整!$K$35*怪物掉落配置方案!$D4285</f>
        <v>0</v>
      </c>
    </row>
    <row r="182" spans="1:4" ht="16.5" hidden="1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313">
        <f>参数调整!$K$35*怪物掉落配置方案!$D4286</f>
        <v>0</v>
      </c>
    </row>
    <row r="183" spans="1:4" ht="16.5" hidden="1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313">
        <f>参数调整!$K$35*怪物掉落配置方案!$D4287</f>
        <v>0</v>
      </c>
    </row>
    <row r="184" spans="1:4" ht="16.5" hidden="1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313">
        <f>参数调整!$K$35*怪物掉落配置方案!$D4288</f>
        <v>0</v>
      </c>
    </row>
    <row r="185" spans="1:4" ht="16.5" hidden="1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313">
        <f>参数调整!$K$35*怪物掉落配置方案!$D4289</f>
        <v>0</v>
      </c>
    </row>
    <row r="186" spans="1:4" ht="16.5" hidden="1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313">
        <f>参数调整!$K$35*怪物掉落配置方案!$D4290</f>
        <v>0</v>
      </c>
    </row>
    <row r="187" spans="1:4" ht="16.5" hidden="1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313">
        <f>参数调整!$K$35*怪物掉落配置方案!$D4291</f>
        <v>0</v>
      </c>
    </row>
    <row r="188" spans="1:4" ht="16.5" hidden="1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313">
        <f>参数调整!$K$35*怪物掉落配置方案!$D4292</f>
        <v>0</v>
      </c>
    </row>
    <row r="189" spans="1:4" ht="16.5" hidden="1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313">
        <f>参数调整!$K$35*怪物掉落配置方案!$D4293</f>
        <v>0</v>
      </c>
    </row>
    <row r="190" spans="1:4" ht="16.5" hidden="1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313">
        <f>参数调整!$K$35*怪物掉落配置方案!$D4294</f>
        <v>0</v>
      </c>
    </row>
    <row r="191" spans="1:4" ht="16.5" hidden="1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313">
        <f>参数调整!$K$35*怪物掉落配置方案!$D4295</f>
        <v>0</v>
      </c>
    </row>
    <row r="192" spans="1:4" ht="16.5" hidden="1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313">
        <f>参数调整!$K$35*怪物掉落配置方案!$D4296</f>
        <v>0</v>
      </c>
    </row>
    <row r="193" spans="1:4" ht="16.5" hidden="1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313">
        <f>参数调整!$K$35*怪物掉落配置方案!$D4297</f>
        <v>0</v>
      </c>
    </row>
    <row r="194" spans="1:4" ht="16.5" hidden="1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313">
        <f>参数调整!$K$35*怪物掉落配置方案!$D4298</f>
        <v>0</v>
      </c>
    </row>
    <row r="195" spans="1:4" ht="16.5" hidden="1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313">
        <f>参数调整!$K$35*怪物掉落配置方案!$D4299</f>
        <v>0</v>
      </c>
    </row>
    <row r="196" spans="1:4" ht="16.5" hidden="1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313">
        <f>参数调整!$K$35*怪物掉落配置方案!$D4300</f>
        <v>0</v>
      </c>
    </row>
    <row r="197" spans="1:4" ht="16.5" hidden="1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313">
        <f>参数调整!$K$35*怪物掉落配置方案!$D4301</f>
        <v>0</v>
      </c>
    </row>
    <row r="198" spans="1:4" ht="16.5" hidden="1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313">
        <f>参数调整!$K$35*怪物掉落配置方案!$D4302</f>
        <v>0</v>
      </c>
    </row>
    <row r="199" spans="1:4" ht="16.5" hidden="1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313">
        <f>参数调整!$K$35*怪物掉落配置方案!$D4303</f>
        <v>0</v>
      </c>
    </row>
    <row r="200" spans="1:4" ht="16.5" hidden="1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313">
        <f>参数调整!$K$35*怪物掉落配置方案!$D4304</f>
        <v>0</v>
      </c>
    </row>
    <row r="201" spans="1:4" ht="16.5" hidden="1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313">
        <f>参数调整!$K$35*怪物掉落配置方案!$D4305</f>
        <v>0</v>
      </c>
    </row>
    <row r="202" spans="1:4" ht="16.5" hidden="1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313">
        <f>参数调整!$K$35*怪物掉落配置方案!$D4306</f>
        <v>0</v>
      </c>
    </row>
    <row r="203" spans="1:4" ht="16.5" hidden="1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313">
        <f>参数调整!$K$35*怪物掉落配置方案!$D4307</f>
        <v>0</v>
      </c>
    </row>
    <row r="204" spans="1:4" ht="16.5" hidden="1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313">
        <f>参数调整!$K$35*怪物掉落配置方案!$D4308</f>
        <v>0</v>
      </c>
    </row>
    <row r="205" spans="1:4" ht="16.5" hidden="1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313">
        <f>参数调整!$K$35*怪物掉落配置方案!$D4309</f>
        <v>0</v>
      </c>
    </row>
    <row r="206" spans="1:4" ht="16.5" hidden="1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313">
        <f>参数调整!$K$35*怪物掉落配置方案!$D4310</f>
        <v>0</v>
      </c>
    </row>
    <row r="207" spans="1:4" ht="16.5" hidden="1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313">
        <f>参数调整!$K$35*怪物掉落配置方案!$D4311</f>
        <v>0</v>
      </c>
    </row>
    <row r="208" spans="1:4" ht="16.5" hidden="1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313">
        <f>参数调整!$K$35*怪物掉落配置方案!$D4312</f>
        <v>0</v>
      </c>
    </row>
    <row r="209" spans="1:4" ht="16.5" hidden="1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313">
        <f>参数调整!$K$35*怪物掉落配置方案!$D4313</f>
        <v>0</v>
      </c>
    </row>
    <row r="210" spans="1:4" ht="16.5" hidden="1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313">
        <f>参数调整!$K$35*怪物掉落配置方案!$D4314</f>
        <v>0</v>
      </c>
    </row>
    <row r="211" spans="1:4" ht="16.5" hidden="1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313">
        <f>参数调整!$K$35*怪物掉落配置方案!$D4315</f>
        <v>0</v>
      </c>
    </row>
    <row r="212" spans="1:4" ht="16.5" hidden="1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313">
        <f>参数调整!$K$35*怪物掉落配置方案!$D4316</f>
        <v>0</v>
      </c>
    </row>
    <row r="213" spans="1:4" ht="16.5" hidden="1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313">
        <f>参数调整!$K$35*怪物掉落配置方案!$D4317</f>
        <v>0</v>
      </c>
    </row>
    <row r="214" spans="1:4" ht="16.5" hidden="1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313">
        <f>参数调整!$K$35*怪物掉落配置方案!$D4318</f>
        <v>0</v>
      </c>
    </row>
    <row r="215" spans="1:4" ht="16.5" hidden="1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313">
        <f>参数调整!$K$35*怪物掉落配置方案!$D4319</f>
        <v>0</v>
      </c>
    </row>
    <row r="216" spans="1:4" ht="16.5" hidden="1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313">
        <f>参数调整!$K$35*怪物掉落配置方案!$D4320</f>
        <v>0</v>
      </c>
    </row>
    <row r="217" spans="1:4" ht="16.5" hidden="1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313">
        <f>参数调整!$K$35*怪物掉落配置方案!$D4321</f>
        <v>0</v>
      </c>
    </row>
    <row r="218" spans="1:4" ht="16.5" hidden="1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313">
        <f>参数调整!$K$35*怪物掉落配置方案!$D4322</f>
        <v>0</v>
      </c>
    </row>
    <row r="219" spans="1:4" ht="16.5" hidden="1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313">
        <f>参数调整!$K$35*怪物掉落配置方案!$D4323</f>
        <v>0</v>
      </c>
    </row>
    <row r="220" spans="1:4" ht="16.5" hidden="1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313">
        <f>参数调整!$K$35*怪物掉落配置方案!$D4324</f>
        <v>0</v>
      </c>
    </row>
    <row r="221" spans="1:4" ht="16.5" hidden="1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313">
        <f>参数调整!$K$35*怪物掉落配置方案!$D4325</f>
        <v>0</v>
      </c>
    </row>
    <row r="222" spans="1:4" ht="16.5" hidden="1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313">
        <f>参数调整!$K$35*怪物掉落配置方案!$D4326</f>
        <v>0</v>
      </c>
    </row>
    <row r="223" spans="1:4" ht="16.5" hidden="1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313">
        <f>参数调整!$K$35*怪物掉落配置方案!$D4327</f>
        <v>0</v>
      </c>
    </row>
    <row r="224" spans="1:4" ht="16.5" hidden="1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313">
        <f>参数调整!$K$35*怪物掉落配置方案!$D4328</f>
        <v>0</v>
      </c>
    </row>
    <row r="225" spans="1:4" ht="16.5" hidden="1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313">
        <f>参数调整!$K$35*怪物掉落配置方案!$D4329</f>
        <v>0</v>
      </c>
    </row>
    <row r="226" spans="1:4" ht="16.5" hidden="1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313">
        <f>参数调整!$K$35*怪物掉落配置方案!$D4330</f>
        <v>0</v>
      </c>
    </row>
    <row r="227" spans="1:4" ht="16.5" hidden="1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313">
        <f>参数调整!$K$35*怪物掉落配置方案!$D4331</f>
        <v>0</v>
      </c>
    </row>
    <row r="228" spans="1:4" ht="16.5" hidden="1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313">
        <f>参数调整!$K$35*怪物掉落配置方案!$D4332</f>
        <v>0</v>
      </c>
    </row>
    <row r="229" spans="1:4" ht="16.5" hidden="1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313">
        <f>参数调整!$K$35*怪物掉落配置方案!$D4333</f>
        <v>0</v>
      </c>
    </row>
    <row r="230" spans="1:4" ht="16.5" hidden="1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313">
        <f>参数调整!$K$35*怪物掉落配置方案!$D4334</f>
        <v>0</v>
      </c>
    </row>
    <row r="231" spans="1:4" ht="16.5" hidden="1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313">
        <f>参数调整!$K$35*怪物掉落配置方案!$D4335</f>
        <v>0</v>
      </c>
    </row>
    <row r="232" spans="1:4" ht="16.5" hidden="1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313">
        <f>参数调整!$K$35*怪物掉落配置方案!$D4336</f>
        <v>0</v>
      </c>
    </row>
    <row r="233" spans="1:4" ht="16.5" hidden="1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313">
        <f>参数调整!$K$35*怪物掉落配置方案!$D4337</f>
        <v>0</v>
      </c>
    </row>
    <row r="234" spans="1:4" ht="16.5" hidden="1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313">
        <f>参数调整!$K$35*怪物掉落配置方案!$D4338</f>
        <v>0</v>
      </c>
    </row>
    <row r="235" spans="1:4" ht="16.5" hidden="1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313">
        <f>参数调整!$K$35*怪物掉落配置方案!$D4339</f>
        <v>0</v>
      </c>
    </row>
    <row r="236" spans="1:4" ht="16.5" hidden="1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313">
        <f>参数调整!$K$35*怪物掉落配置方案!$D4340</f>
        <v>0</v>
      </c>
    </row>
    <row r="237" spans="1:4" ht="16.5" hidden="1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313">
        <f>参数调整!$K$35*怪物掉落配置方案!$D4341</f>
        <v>0</v>
      </c>
    </row>
    <row r="238" spans="1:4" ht="16.5" hidden="1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313">
        <f>参数调整!$K$35*怪物掉落配置方案!$D4342</f>
        <v>0</v>
      </c>
    </row>
    <row r="239" spans="1:4" ht="16.5" hidden="1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313">
        <f>参数调整!$K$35*怪物掉落配置方案!$D4343</f>
        <v>0</v>
      </c>
    </row>
    <row r="240" spans="1:4" ht="16.5" hidden="1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313">
        <f>参数调整!$K$35*怪物掉落配置方案!$D4344</f>
        <v>0</v>
      </c>
    </row>
    <row r="241" spans="1:4" ht="16.5" hidden="1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313">
        <f>参数调整!$K$35*怪物掉落配置方案!$D4345</f>
        <v>0</v>
      </c>
    </row>
    <row r="242" spans="1:4" ht="16.5" hidden="1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313">
        <f>参数调整!$K$35*怪物掉落配置方案!$D4346</f>
        <v>0</v>
      </c>
    </row>
    <row r="243" spans="1:4" ht="16.5" hidden="1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313">
        <f>参数调整!$K$35*怪物掉落配置方案!$D4347</f>
        <v>0</v>
      </c>
    </row>
    <row r="244" spans="1:4" ht="16.5" hidden="1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313">
        <f>参数调整!$K$35*怪物掉落配置方案!$D4348</f>
        <v>0</v>
      </c>
    </row>
    <row r="245" spans="1:4" ht="16.5" hidden="1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313">
        <f>参数调整!$K$35*怪物掉落配置方案!$D4349</f>
        <v>0</v>
      </c>
    </row>
    <row r="246" spans="1:4" ht="16.5" hidden="1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313">
        <f>参数调整!$K$35*怪物掉落配置方案!$D4350</f>
        <v>0</v>
      </c>
    </row>
    <row r="247" spans="1:4" ht="16.5" hidden="1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313">
        <f>参数调整!$K$35*怪物掉落配置方案!$D4351</f>
        <v>0</v>
      </c>
    </row>
    <row r="248" spans="1:4" ht="16.5" hidden="1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313">
        <f>参数调整!$K$35*怪物掉落配置方案!$D4352</f>
        <v>0</v>
      </c>
    </row>
    <row r="249" spans="1:4" ht="16.5" hidden="1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313">
        <f>参数调整!$K$35*怪物掉落配置方案!$D4353</f>
        <v>0</v>
      </c>
    </row>
    <row r="250" spans="1:4" ht="16.5" hidden="1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313">
        <f>参数调整!$K$35*怪物掉落配置方案!$D4354</f>
        <v>0</v>
      </c>
    </row>
    <row r="251" spans="1:4" ht="16.5" hidden="1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313">
        <f>参数调整!$K$35*怪物掉落配置方案!$D4355</f>
        <v>0</v>
      </c>
    </row>
    <row r="252" spans="1:4" ht="16.5" hidden="1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313">
        <f>参数调整!$K$35*怪物掉落配置方案!$D4356</f>
        <v>0</v>
      </c>
    </row>
    <row r="253" spans="1:4" ht="16.5" hidden="1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313">
        <f>参数调整!$K$35*怪物掉落配置方案!$D4357</f>
        <v>0</v>
      </c>
    </row>
    <row r="254" spans="1:4" ht="16.5" hidden="1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313">
        <f>参数调整!$K$35*怪物掉落配置方案!$D4358</f>
        <v>0</v>
      </c>
    </row>
    <row r="255" spans="1:4" ht="16.5" hidden="1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313">
        <f>参数调整!$K$35*怪物掉落配置方案!$D4359</f>
        <v>0</v>
      </c>
    </row>
    <row r="256" spans="1:4" ht="16.5" hidden="1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313">
        <f>参数调整!$K$35*怪物掉落配置方案!$D4360</f>
        <v>0</v>
      </c>
    </row>
    <row r="257" spans="1:4" ht="16.5" hidden="1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313">
        <f>参数调整!$K$35*怪物掉落配置方案!$D4361</f>
        <v>0</v>
      </c>
    </row>
    <row r="258" spans="1:4" ht="16.5" hidden="1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313">
        <f>参数调整!$K$35*怪物掉落配置方案!$D4362</f>
        <v>0</v>
      </c>
    </row>
    <row r="259" spans="1:4" ht="16.5" hidden="1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313">
        <f>参数调整!$K$35*怪物掉落配置方案!$D4363</f>
        <v>0</v>
      </c>
    </row>
    <row r="260" spans="1:4" ht="16.5" hidden="1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313">
        <f>参数调整!$K$35*怪物掉落配置方案!$D4364</f>
        <v>0</v>
      </c>
    </row>
    <row r="261" spans="1:4" ht="16.5" hidden="1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313">
        <f>参数调整!$K$35*怪物掉落配置方案!$D4365</f>
        <v>0</v>
      </c>
    </row>
    <row r="262" spans="1:4" ht="16.5" hidden="1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313">
        <f>参数调整!$K$35*怪物掉落配置方案!$D4366</f>
        <v>0</v>
      </c>
    </row>
    <row r="263" spans="1:4" ht="16.5" hidden="1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313">
        <f>参数调整!$K$35*怪物掉落配置方案!$D4367</f>
        <v>0</v>
      </c>
    </row>
    <row r="264" spans="1:4" ht="16.5" hidden="1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313">
        <f>参数调整!$K$35*怪物掉落配置方案!$D4368</f>
        <v>0</v>
      </c>
    </row>
    <row r="265" spans="1:4" ht="16.5" hidden="1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313">
        <f>参数调整!$K$35*怪物掉落配置方案!$D4369</f>
        <v>0</v>
      </c>
    </row>
    <row r="266" spans="1:4" ht="16.5" hidden="1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313">
        <f>参数调整!$K$35*怪物掉落配置方案!$D4370</f>
        <v>0</v>
      </c>
    </row>
    <row r="267" spans="1:4" ht="16.5" hidden="1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313">
        <f>参数调整!$K$35*怪物掉落配置方案!$D4371</f>
        <v>0</v>
      </c>
    </row>
    <row r="268" spans="1:4" ht="16.5" hidden="1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313">
        <f>参数调整!$K$35*怪物掉落配置方案!$D4372</f>
        <v>0</v>
      </c>
    </row>
    <row r="269" spans="1:4" ht="16.5" hidden="1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313">
        <f>参数调整!$K$35*怪物掉落配置方案!$D4373</f>
        <v>0</v>
      </c>
    </row>
    <row r="270" spans="1:4" ht="16.5" hidden="1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313">
        <f>参数调整!$K$35*怪物掉落配置方案!$D4374</f>
        <v>0</v>
      </c>
    </row>
    <row r="271" spans="1:4" ht="16.5" hidden="1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313">
        <f>参数调整!$K$35*怪物掉落配置方案!$D4375</f>
        <v>0</v>
      </c>
    </row>
    <row r="272" spans="1:4" ht="16.5" hidden="1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313">
        <f>参数调整!$K$35*怪物掉落配置方案!$D4376</f>
        <v>0</v>
      </c>
    </row>
    <row r="273" spans="1:4" ht="16.5" hidden="1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313">
        <f>参数调整!$K$35*怪物掉落配置方案!$D4377</f>
        <v>0</v>
      </c>
    </row>
    <row r="274" spans="1:4" ht="16.5" hidden="1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313">
        <f>参数调整!$K$35*怪物掉落配置方案!$D4378</f>
        <v>0</v>
      </c>
    </row>
    <row r="275" spans="1:4" ht="16.5" hidden="1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313">
        <f>参数调整!$K$35*怪物掉落配置方案!$D4379</f>
        <v>0</v>
      </c>
    </row>
    <row r="276" spans="1:4" ht="16.5" hidden="1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313">
        <f>参数调整!$K$35*怪物掉落配置方案!$D4380</f>
        <v>0</v>
      </c>
    </row>
    <row r="277" spans="1:4" ht="16.5" hidden="1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313">
        <f>参数调整!$K$35*怪物掉落配置方案!$D4381</f>
        <v>0</v>
      </c>
    </row>
    <row r="278" spans="1:4" ht="16.5" hidden="1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313">
        <f>参数调整!$K$35*怪物掉落配置方案!$D4382</f>
        <v>0</v>
      </c>
    </row>
    <row r="279" spans="1:4" ht="16.5" hidden="1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313">
        <f>参数调整!$K$35*怪物掉落配置方案!$D4383</f>
        <v>0</v>
      </c>
    </row>
    <row r="280" spans="1:4" ht="16.5" hidden="1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313">
        <f>参数调整!$K$35*怪物掉落配置方案!$D4384</f>
        <v>0</v>
      </c>
    </row>
    <row r="281" spans="1:4" ht="16.5" hidden="1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313">
        <f>参数调整!$K$35*怪物掉落配置方案!$D4385</f>
        <v>0</v>
      </c>
    </row>
    <row r="282" spans="1:4" ht="16.5" hidden="1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313">
        <f>参数调整!$K$35*怪物掉落配置方案!$D4386</f>
        <v>0</v>
      </c>
    </row>
    <row r="283" spans="1:4" ht="16.5" hidden="1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313">
        <f>参数调整!$K$35*怪物掉落配置方案!$D4387</f>
        <v>0</v>
      </c>
    </row>
    <row r="284" spans="1:4" ht="16.5" hidden="1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313">
        <f>参数调整!$K$35*怪物掉落配置方案!$D4388</f>
        <v>0</v>
      </c>
    </row>
    <row r="285" spans="1:4" ht="16.5" hidden="1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313">
        <f>参数调整!$K$35*怪物掉落配置方案!$D4389</f>
        <v>0</v>
      </c>
    </row>
    <row r="286" spans="1:4" ht="16.5" hidden="1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313">
        <f>参数调整!$K$35*怪物掉落配置方案!$D4390</f>
        <v>0</v>
      </c>
    </row>
    <row r="287" spans="1:4" ht="16.5" hidden="1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313">
        <f>参数调整!$K$35*怪物掉落配置方案!$D4391</f>
        <v>0</v>
      </c>
    </row>
    <row r="288" spans="1:4" ht="16.5" hidden="1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313">
        <f>参数调整!$K$35*怪物掉落配置方案!$D4392</f>
        <v>0</v>
      </c>
    </row>
    <row r="289" spans="1:4" ht="16.5" hidden="1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313">
        <f>参数调整!$K$35*怪物掉落配置方案!$D4393</f>
        <v>0</v>
      </c>
    </row>
    <row r="290" spans="1:4" ht="16.5" hidden="1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313">
        <f>参数调整!$K$35*怪物掉落配置方案!$D4394</f>
        <v>0</v>
      </c>
    </row>
    <row r="291" spans="1:4" ht="16.5" hidden="1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313">
        <f>参数调整!$K$35*怪物掉落配置方案!$D4395</f>
        <v>0</v>
      </c>
    </row>
    <row r="292" spans="1:4" ht="16.5" hidden="1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313">
        <f>参数调整!$K$35*怪物掉落配置方案!$D4396</f>
        <v>0</v>
      </c>
    </row>
    <row r="293" spans="1:4" ht="16.5" hidden="1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313">
        <f>参数调整!$K$35*怪物掉落配置方案!$D4397</f>
        <v>0</v>
      </c>
    </row>
    <row r="294" spans="1:4" ht="16.5" hidden="1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313">
        <f>参数调整!$K$35*怪物掉落配置方案!$D4398</f>
        <v>0</v>
      </c>
    </row>
    <row r="295" spans="1:4" ht="16.5" hidden="1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313">
        <f>参数调整!$K$35*怪物掉落配置方案!$D4399</f>
        <v>0</v>
      </c>
    </row>
    <row r="296" spans="1:4" ht="16.5" hidden="1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313">
        <f>参数调整!$K$35*怪物掉落配置方案!$D4400</f>
        <v>0</v>
      </c>
    </row>
    <row r="297" spans="1:4" ht="16.5" hidden="1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313">
        <f>参数调整!$K$35*怪物掉落配置方案!$D4401</f>
        <v>0</v>
      </c>
    </row>
    <row r="298" spans="1:4" ht="16.5" hidden="1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313">
        <f>参数调整!$K$35*怪物掉落配置方案!$D4402</f>
        <v>0</v>
      </c>
    </row>
    <row r="299" spans="1:4" ht="16.5" hidden="1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313">
        <f>参数调整!$K$35*怪物掉落配置方案!$D4403</f>
        <v>0</v>
      </c>
    </row>
    <row r="300" spans="1:4" ht="16.5" hidden="1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313">
        <f>参数调整!$K$35*怪物掉落配置方案!$D4404</f>
        <v>0</v>
      </c>
    </row>
    <row r="301" spans="1:4" ht="16.5" hidden="1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313">
        <f>参数调整!$K$35*怪物掉落配置方案!$D4405</f>
        <v>0</v>
      </c>
    </row>
    <row r="302" spans="1:4" ht="16.5" hidden="1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313">
        <f>参数调整!$K$35*怪物掉落配置方案!$D4406</f>
        <v>0</v>
      </c>
    </row>
    <row r="303" spans="1:4" ht="16.5" hidden="1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313">
        <f>参数调整!$K$35*怪物掉落配置方案!$D4407</f>
        <v>0</v>
      </c>
    </row>
    <row r="304" spans="1:4" ht="16.5" hidden="1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313">
        <f>参数调整!$K$35*怪物掉落配置方案!$D4408</f>
        <v>0</v>
      </c>
    </row>
    <row r="305" spans="1:4" ht="16.5" hidden="1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313">
        <f>参数调整!$K$35*怪物掉落配置方案!$D4409</f>
        <v>0</v>
      </c>
    </row>
    <row r="306" spans="1:4" ht="16.5" hidden="1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313">
        <f>参数调整!$K$35*怪物掉落配置方案!$D4410</f>
        <v>0</v>
      </c>
    </row>
    <row r="307" spans="1:4" ht="16.5" hidden="1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313">
        <f>参数调整!$K$35*怪物掉落配置方案!$D4411</f>
        <v>0</v>
      </c>
    </row>
    <row r="308" spans="1:4" ht="16.5" hidden="1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313">
        <f>参数调整!$K$35*怪物掉落配置方案!$D4412</f>
        <v>0</v>
      </c>
    </row>
    <row r="309" spans="1:4" ht="16.5" hidden="1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313">
        <f>参数调整!$K$35*怪物掉落配置方案!$D4413</f>
        <v>0</v>
      </c>
    </row>
    <row r="310" spans="1:4" ht="16.5" hidden="1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313">
        <f>参数调整!$K$35*怪物掉落配置方案!$D4414</f>
        <v>0</v>
      </c>
    </row>
    <row r="311" spans="1:4" ht="16.5" hidden="1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313">
        <f>参数调整!$K$35*怪物掉落配置方案!$D4415</f>
        <v>0</v>
      </c>
    </row>
    <row r="312" spans="1:4" ht="16.5" hidden="1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313">
        <f>参数调整!$K$35*怪物掉落配置方案!$D4416</f>
        <v>0</v>
      </c>
    </row>
    <row r="313" spans="1:4" ht="16.5" hidden="1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313">
        <f>参数调整!$K$35*怪物掉落配置方案!$D4417</f>
        <v>0</v>
      </c>
    </row>
    <row r="314" spans="1:4" ht="16.5" hidden="1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313">
        <f>参数调整!$K$35*怪物掉落配置方案!$D4418</f>
        <v>0</v>
      </c>
    </row>
    <row r="315" spans="1:4" ht="16.5" hidden="1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313">
        <f>参数调整!$K$35*怪物掉落配置方案!$D4419</f>
        <v>0</v>
      </c>
    </row>
    <row r="316" spans="1:4" ht="16.5" hidden="1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313">
        <f>参数调整!$K$35*怪物掉落配置方案!$D4420</f>
        <v>0</v>
      </c>
    </row>
    <row r="317" spans="1:4" ht="16.5" hidden="1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313">
        <f>参数调整!$K$35*怪物掉落配置方案!$D4421</f>
        <v>0</v>
      </c>
    </row>
    <row r="318" spans="1:4" ht="16.5" hidden="1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313">
        <f>参数调整!$K$35*怪物掉落配置方案!$D4422</f>
        <v>0</v>
      </c>
    </row>
    <row r="319" spans="1:4" ht="16.5" hidden="1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313">
        <f>参数调整!$K$35*怪物掉落配置方案!$D4423</f>
        <v>0</v>
      </c>
    </row>
    <row r="320" spans="1:4" ht="16.5" hidden="1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313">
        <f>参数调整!$K$35*怪物掉落配置方案!$D4424</f>
        <v>0</v>
      </c>
    </row>
    <row r="321" spans="1:4" ht="16.5" hidden="1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313">
        <f>参数调整!$K$35*怪物掉落配置方案!$D4425</f>
        <v>0</v>
      </c>
    </row>
    <row r="322" spans="1:4" ht="16.5" hidden="1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313">
        <f>参数调整!$K$35*怪物掉落配置方案!$D4426</f>
        <v>0</v>
      </c>
    </row>
    <row r="323" spans="1:4" ht="16.5" hidden="1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313">
        <f>参数调整!$K$35*怪物掉落配置方案!$D4427</f>
        <v>0</v>
      </c>
    </row>
    <row r="324" spans="1:4" ht="16.5" hidden="1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313">
        <f>参数调整!$K$35*怪物掉落配置方案!$D4428</f>
        <v>0</v>
      </c>
    </row>
    <row r="325" spans="1:4" ht="16.5" hidden="1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313">
        <f>参数调整!$K$35*怪物掉落配置方案!$D4429</f>
        <v>0</v>
      </c>
    </row>
    <row r="326" spans="1:4" ht="16.5" hidden="1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313">
        <f>参数调整!$K$35*怪物掉落配置方案!$D4430</f>
        <v>0</v>
      </c>
    </row>
    <row r="327" spans="1:4" ht="16.5" hidden="1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313">
        <f>参数调整!$K$35*怪物掉落配置方案!$D4431</f>
        <v>0</v>
      </c>
    </row>
    <row r="328" spans="1:4" ht="16.5" hidden="1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313">
        <f>参数调整!$K$35*怪物掉落配置方案!$D4432</f>
        <v>0</v>
      </c>
    </row>
    <row r="329" spans="1:4" ht="16.5" hidden="1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313">
        <f>参数调整!$K$35*怪物掉落配置方案!$D4433</f>
        <v>0</v>
      </c>
    </row>
    <row r="330" spans="1:4" ht="16.5" hidden="1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313">
        <f>参数调整!$K$35*怪物掉落配置方案!$D4434</f>
        <v>0</v>
      </c>
    </row>
    <row r="331" spans="1:4" ht="16.5" hidden="1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313">
        <f>参数调整!$K$35*怪物掉落配置方案!$D4435</f>
        <v>0</v>
      </c>
    </row>
    <row r="332" spans="1:4" ht="16.5" hidden="1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313">
        <f>参数调整!$K$35*怪物掉落配置方案!$D4436</f>
        <v>0</v>
      </c>
    </row>
    <row r="333" spans="1:4" ht="16.5" hidden="1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313">
        <f>参数调整!$K$35*怪物掉落配置方案!$D4437</f>
        <v>0</v>
      </c>
    </row>
    <row r="334" spans="1:4" ht="16.5" hidden="1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313">
        <f>参数调整!$K$35*怪物掉落配置方案!$D4438</f>
        <v>0</v>
      </c>
    </row>
    <row r="335" spans="1:4" ht="16.5" hidden="1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313">
        <f>参数调整!$K$35*怪物掉落配置方案!$D4439</f>
        <v>0</v>
      </c>
    </row>
    <row r="336" spans="1:4" ht="16.5" hidden="1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313">
        <f>参数调整!$K$35*怪物掉落配置方案!$D4440</f>
        <v>0</v>
      </c>
    </row>
    <row r="337" spans="1:4" ht="16.5" hidden="1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313">
        <f>参数调整!$K$35*怪物掉落配置方案!$D4441</f>
        <v>0</v>
      </c>
    </row>
    <row r="338" spans="1:4" ht="16.5" hidden="1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313">
        <f>参数调整!$K$35*怪物掉落配置方案!$D4442</f>
        <v>0</v>
      </c>
    </row>
    <row r="339" spans="1:4" ht="16.5" hidden="1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313">
        <f>参数调整!$K$35*怪物掉落配置方案!$D4443</f>
        <v>0</v>
      </c>
    </row>
    <row r="340" spans="1:4" ht="16.5" hidden="1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313">
        <f>参数调整!$K$35*怪物掉落配置方案!$D4444</f>
        <v>0</v>
      </c>
    </row>
    <row r="341" spans="1:4" ht="16.5" hidden="1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313">
        <f>参数调整!$K$35*怪物掉落配置方案!$D4445</f>
        <v>0</v>
      </c>
    </row>
    <row r="342" spans="1:4" ht="16.5" hidden="1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313">
        <f>参数调整!$K$35*怪物掉落配置方案!$D4446</f>
        <v>0</v>
      </c>
    </row>
    <row r="343" spans="1:4" ht="16.5" hidden="1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313">
        <f>参数调整!$K$35*怪物掉落配置方案!$D4447</f>
        <v>0</v>
      </c>
    </row>
    <row r="344" spans="1:4" ht="16.5" hidden="1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313">
        <f>参数调整!$K$35*怪物掉落配置方案!$D4448</f>
        <v>0</v>
      </c>
    </row>
    <row r="345" spans="1:4" ht="16.5" hidden="1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313">
        <f>参数调整!$K$35*怪物掉落配置方案!$D4449</f>
        <v>0</v>
      </c>
    </row>
    <row r="346" spans="1:4" ht="16.5" hidden="1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313">
        <f>参数调整!$K$35*怪物掉落配置方案!$D4450</f>
        <v>0</v>
      </c>
    </row>
    <row r="347" spans="1:4" ht="16.5" hidden="1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313">
        <f>参数调整!$K$35*怪物掉落配置方案!$D4451</f>
        <v>0</v>
      </c>
    </row>
    <row r="348" spans="1:4" ht="16.5" hidden="1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313">
        <f>参数调整!$K$35*怪物掉落配置方案!$D4452</f>
        <v>0</v>
      </c>
    </row>
    <row r="349" spans="1:4" ht="16.5" hidden="1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313">
        <f>参数调整!$K$35*怪物掉落配置方案!$D4453</f>
        <v>0</v>
      </c>
    </row>
    <row r="350" spans="1:4" ht="16.5" hidden="1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313">
        <f>参数调整!$K$35*怪物掉落配置方案!$D4454</f>
        <v>0</v>
      </c>
    </row>
    <row r="351" spans="1:4" ht="16.5" hidden="1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313">
        <f>参数调整!$K$35*怪物掉落配置方案!$D4455</f>
        <v>0</v>
      </c>
    </row>
    <row r="352" spans="1:4" ht="16.5" hidden="1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313">
        <f>参数调整!$K$35*怪物掉落配置方案!$D4456</f>
        <v>0</v>
      </c>
    </row>
    <row r="353" spans="1:4" ht="16.5" hidden="1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313">
        <f>参数调整!$K$35*怪物掉落配置方案!$D4457</f>
        <v>0</v>
      </c>
    </row>
    <row r="354" spans="1:4" ht="16.5" hidden="1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313">
        <f>参数调整!$K$35*怪物掉落配置方案!$D4458</f>
        <v>0</v>
      </c>
    </row>
    <row r="355" spans="1:4" ht="16.5" hidden="1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313">
        <f>参数调整!$K$35*怪物掉落配置方案!$D4459</f>
        <v>0</v>
      </c>
    </row>
    <row r="356" spans="1:4" ht="16.5" hidden="1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313">
        <f>参数调整!$K$35*怪物掉落配置方案!$D4460</f>
        <v>0</v>
      </c>
    </row>
    <row r="357" spans="1:4" ht="16.5" hidden="1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313">
        <f>参数调整!$K$35*怪物掉落配置方案!$D4461</f>
        <v>0</v>
      </c>
    </row>
    <row r="358" spans="1:4" ht="16.5" hidden="1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313">
        <f>参数调整!$K$35*怪物掉落配置方案!$D4462</f>
        <v>0</v>
      </c>
    </row>
    <row r="359" spans="1:4" ht="16.5" hidden="1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313">
        <f>参数调整!$K$35*怪物掉落配置方案!$D4463</f>
        <v>0</v>
      </c>
    </row>
    <row r="360" spans="1:4" ht="16.5" hidden="1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313">
        <f>参数调整!$K$35*怪物掉落配置方案!$D4464</f>
        <v>0</v>
      </c>
    </row>
    <row r="361" spans="1:4" ht="16.5" hidden="1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313">
        <f>参数调整!$K$35*怪物掉落配置方案!$D4465</f>
        <v>0</v>
      </c>
    </row>
    <row r="362" spans="1:4" ht="16.5" hidden="1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313">
        <f>参数调整!$K$35*怪物掉落配置方案!$D4466</f>
        <v>0</v>
      </c>
    </row>
    <row r="363" spans="1:4" ht="16.5" hidden="1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313">
        <f>参数调整!$K$35*怪物掉落配置方案!$D4467</f>
        <v>0</v>
      </c>
    </row>
    <row r="364" spans="1:4" ht="16.5" hidden="1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313">
        <f>参数调整!$K$35*怪物掉落配置方案!$D4468</f>
        <v>0</v>
      </c>
    </row>
    <row r="365" spans="1:4" ht="16.5" hidden="1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313">
        <f>参数调整!$K$35*怪物掉落配置方案!$D4469</f>
        <v>0</v>
      </c>
    </row>
    <row r="366" spans="1:4" ht="16.5" hidden="1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313">
        <f>参数调整!$K$35*怪物掉落配置方案!$D4470</f>
        <v>0</v>
      </c>
    </row>
    <row r="367" spans="1:4" ht="16.5" hidden="1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313">
        <f>参数调整!$K$35*怪物掉落配置方案!$D4471</f>
        <v>0</v>
      </c>
    </row>
    <row r="368" spans="1:4" ht="16.5" hidden="1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313">
        <f>参数调整!$K$35*怪物掉落配置方案!$D4472</f>
        <v>0</v>
      </c>
    </row>
    <row r="369" spans="1:4" ht="16.5" hidden="1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313">
        <f>参数调整!$K$35*怪物掉落配置方案!$D4473</f>
        <v>0</v>
      </c>
    </row>
    <row r="370" spans="1:4" ht="16.5" hidden="1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313">
        <f>参数调整!$K$35*怪物掉落配置方案!$D4474</f>
        <v>0</v>
      </c>
    </row>
    <row r="371" spans="1:4" ht="16.5" hidden="1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313">
        <f>参数调整!$K$35*怪物掉落配置方案!$D4475</f>
        <v>0</v>
      </c>
    </row>
    <row r="372" spans="1:4" ht="16.5" hidden="1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313">
        <f>参数调整!$K$35*怪物掉落配置方案!$D4476</f>
        <v>0</v>
      </c>
    </row>
    <row r="373" spans="1:4" ht="16.5" hidden="1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313">
        <f>参数调整!$K$35*怪物掉落配置方案!$D4477</f>
        <v>0</v>
      </c>
    </row>
    <row r="374" spans="1:4" ht="16.5" hidden="1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313">
        <f>参数调整!$K$35*怪物掉落配置方案!$D4478</f>
        <v>0</v>
      </c>
    </row>
    <row r="375" spans="1:4" ht="16.5" hidden="1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313">
        <f>参数调整!$K$35*怪物掉落配置方案!$D4479</f>
        <v>0</v>
      </c>
    </row>
    <row r="376" spans="1:4" ht="16.5" hidden="1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313">
        <f>参数调整!$K$35*怪物掉落配置方案!$D4480</f>
        <v>0</v>
      </c>
    </row>
    <row r="377" spans="1:4" ht="16.5" hidden="1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313">
        <f>参数调整!$K$35*怪物掉落配置方案!$D4481</f>
        <v>0</v>
      </c>
    </row>
    <row r="378" spans="1:4" ht="16.5" hidden="1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313">
        <f>参数调整!$K$35*怪物掉落配置方案!$D4482</f>
        <v>0</v>
      </c>
    </row>
    <row r="379" spans="1:4" ht="16.5" hidden="1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313">
        <f>参数调整!$K$35*怪物掉落配置方案!$D4483</f>
        <v>0</v>
      </c>
    </row>
    <row r="380" spans="1:4" ht="16.5" hidden="1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313">
        <f>参数调整!$K$35*怪物掉落配置方案!$D4484</f>
        <v>0</v>
      </c>
    </row>
    <row r="381" spans="1:4" ht="16.5" hidden="1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313">
        <f>参数调整!$K$35*怪物掉落配置方案!$D4485</f>
        <v>0.45400927223921539</v>
      </c>
    </row>
    <row r="382" spans="1:4" ht="16.5" hidden="1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313">
        <f>参数调整!$K$35*怪物掉落配置方案!$D4486</f>
        <v>0.574605485177757</v>
      </c>
    </row>
    <row r="383" spans="1:4" ht="16.5" hidden="1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313">
        <f>参数调整!$K$35*怪物掉落配置方案!$D4487</f>
        <v>0.70938948787377398</v>
      </c>
    </row>
    <row r="384" spans="1:4" ht="16.5" hidden="1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313">
        <f>参数调整!$K$35*怪物掉落配置方案!$D4488</f>
        <v>0.85836128032726666</v>
      </c>
    </row>
    <row r="385" spans="1:4" ht="16.5" hidden="1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313">
        <f>参数调整!$K$35*怪物掉落配置方案!$D4489</f>
        <v>1.0215208625382344</v>
      </c>
    </row>
    <row r="386" spans="1:4" ht="16.5" hidden="1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313">
        <f>参数调整!$K$35*怪物掉落配置方案!$D4490</f>
        <v>1.1988682345066781</v>
      </c>
    </row>
    <row r="387" spans="1:4" ht="16.5" hidden="1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313">
        <f>参数调整!$K$35*怪物掉落配置方案!$D4491</f>
        <v>1.3904033962325968</v>
      </c>
    </row>
    <row r="388" spans="1:4" ht="16.5" hidden="1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313">
        <f>参数调整!$K$35*怪物掉落配置方案!$D4492</f>
        <v>1.5961263477159915</v>
      </c>
    </row>
    <row r="389" spans="1:4" ht="16.5" hidden="1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313">
        <f>参数调整!$K$35*怪物掉落配置方案!$D4493</f>
        <v>1.8160370889568618</v>
      </c>
    </row>
    <row r="390" spans="1:4" ht="16.5" hidden="1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313">
        <f>参数调整!$K$35*怪物掉落配置方案!$D4494</f>
        <v>2.2984219407110285</v>
      </c>
    </row>
    <row r="391" spans="1:4" ht="16.5" hidden="1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313">
        <f>参数调整!$K$35*怪物掉落配置方案!$D4495</f>
        <v>2.8375579514950959</v>
      </c>
    </row>
    <row r="392" spans="1:4" ht="16.5" hidden="1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313">
        <f>参数调整!$K$35*怪物掉落配置方案!$D4496</f>
        <v>3.4334451213090666</v>
      </c>
    </row>
    <row r="393" spans="1:4" ht="16.5" hidden="1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313">
        <f>参数调整!$K$35*怪物掉落配置方案!$D4497</f>
        <v>4.4336842992110874</v>
      </c>
    </row>
    <row r="394" spans="1:4" ht="16.5" hidden="1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313">
        <f>参数调整!$K$35*怪物掉落配置方案!$D4498</f>
        <v>6.3845053908639651</v>
      </c>
    </row>
    <row r="395" spans="1:4" ht="16.5" hidden="1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313">
        <f>参数调整!$K$35*怪物掉落配置方案!$D4499</f>
        <v>8.6900212264537302</v>
      </c>
    </row>
    <row r="396" spans="1:4" ht="16.5" hidden="1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313">
        <f>参数调整!$K$35*怪物掉落配置方案!$D4500</f>
        <v>9.7115420889919672</v>
      </c>
    </row>
    <row r="397" spans="1:4" ht="16.5" hidden="1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313">
        <f>参数调整!$K$35*怪物掉落配置方案!$D4501</f>
        <v>11.350231805980384</v>
      </c>
    </row>
    <row r="398" spans="1:4" ht="16.5" hidden="1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313">
        <f>参数调整!$K$35*怪物掉落配置方案!$D4502</f>
        <v>13.116611630786078</v>
      </c>
    </row>
    <row r="399" spans="1:4" ht="16.5" hidden="1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313">
        <f>参数调整!$K$35*怪物掉落配置方案!$D4503</f>
        <v>15.010681563409056</v>
      </c>
    </row>
    <row r="400" spans="1:4" ht="16.5" hidden="1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313">
        <f>参数调整!$K$35*怪物掉落配置方案!$D4504</f>
        <v>17.032441603849318</v>
      </c>
    </row>
    <row r="401" spans="1:4" ht="16.5" hidden="1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313">
        <f>参数调整!$K$35*怪物掉落配置方案!$D4505</f>
        <v>19.181891752106846</v>
      </c>
    </row>
    <row r="402" spans="1:4" ht="16.5" hidden="1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313">
        <f>参数调整!$K$35*怪物掉落配置方案!$D4506</f>
        <v>21.459032008181662</v>
      </c>
    </row>
    <row r="403" spans="1:4" ht="16.5" hidden="1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313">
        <f>参数调整!$K$35*怪物掉落配置方案!$D4507</f>
        <v>23.863862372073758</v>
      </c>
    </row>
    <row r="404" spans="1:4" ht="16.5" hidden="1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313">
        <f>参数调整!$K$35*怪物掉落配置方案!$D4508</f>
        <v>26.396382843783122</v>
      </c>
    </row>
    <row r="405" spans="1:4" ht="16.5" hidden="1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313">
        <f>参数调整!$K$35*怪物掉落配置方案!$D4509</f>
        <v>29.056593423309788</v>
      </c>
    </row>
    <row r="406" spans="1:4" ht="16.5" hidden="1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313">
        <f>参数调整!$K$35*怪物掉落配置方案!$D4510</f>
        <v>31.844494110653716</v>
      </c>
    </row>
    <row r="407" spans="1:4" ht="16.5" hidden="1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313">
        <f>参数调整!$K$35*怪物掉落配置方案!$D4511</f>
        <v>34.760084905814928</v>
      </c>
    </row>
    <row r="408" spans="1:4" ht="16.5" hidden="1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313">
        <f>参数调整!$K$35*怪物掉落配置方案!$D4512</f>
        <v>0.11824214577031912</v>
      </c>
    </row>
    <row r="409" spans="1:4" ht="16.5" hidden="1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313">
        <f>参数调整!$K$35*怪物掉落配置方案!$D4513</f>
        <v>0.14965021574056012</v>
      </c>
    </row>
    <row r="410" spans="1:4" ht="16.5" hidden="1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313">
        <f>参数调整!$K$35*怪物掉落配置方案!$D4514</f>
        <v>0.18475335276612359</v>
      </c>
    </row>
    <row r="411" spans="1:4" ht="16.5" hidden="1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313">
        <f>参数调整!$K$35*怪物掉落配置方案!$D4515</f>
        <v>0.22355155684700956</v>
      </c>
    </row>
    <row r="412" spans="1:4" ht="16.5" hidden="1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313">
        <f>参数调整!$K$35*怪物掉落配置方案!$D4516</f>
        <v>0.26604482798321794</v>
      </c>
    </row>
    <row r="413" spans="1:4" ht="16.5" hidden="1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313">
        <f>参数调整!$K$35*怪物掉落配置方案!$D4517</f>
        <v>0.31223316617474894</v>
      </c>
    </row>
    <row r="414" spans="1:4" ht="16.5" hidden="1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313">
        <f>参数调整!$K$35*怪物掉落配置方案!$D4518</f>
        <v>0.36211657142160214</v>
      </c>
    </row>
    <row r="415" spans="1:4" ht="16.5" hidden="1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313">
        <f>参数调整!$K$35*怪物掉落配置方案!$D4519</f>
        <v>0.41569504372377813</v>
      </c>
    </row>
    <row r="416" spans="1:4" ht="16.5" hidden="1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313">
        <f>参数调整!$K$35*怪物掉落配置方案!$D4520</f>
        <v>0.47296858308127648</v>
      </c>
    </row>
    <row r="417" spans="1:4" ht="16.5" hidden="1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313">
        <f>参数调整!$K$35*怪物掉落配置方案!$D4521</f>
        <v>0.59860086296224047</v>
      </c>
    </row>
    <row r="418" spans="1:4" ht="16.5" hidden="1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313">
        <f>参数调整!$K$35*怪物掉落配置方案!$D4522</f>
        <v>0.73901341106449425</v>
      </c>
    </row>
    <row r="419" spans="1:4" ht="16.5" hidden="1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313">
        <f>参数调整!$K$35*怪物掉落配置方案!$D4523</f>
        <v>0.89420622738803823</v>
      </c>
    </row>
    <row r="420" spans="1:4" ht="16.5" hidden="1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313">
        <f>参数调整!$K$35*怪物掉落配置方案!$D4524</f>
        <v>1.1547084547882722</v>
      </c>
    </row>
    <row r="421" spans="1:4" ht="16.5" hidden="1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313">
        <f>参数调整!$K$35*怪物掉落配置方案!$D4525</f>
        <v>1.6627801748951121</v>
      </c>
    </row>
    <row r="422" spans="1:4" ht="16.5" hidden="1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313">
        <f>参数调整!$K$35*怪物掉落配置方案!$D4526</f>
        <v>2.2632285713850138</v>
      </c>
    </row>
    <row r="423" spans="1:4" ht="16.5" hidden="1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313">
        <f>参数调整!$K$35*怪物掉落配置方案!$D4527</f>
        <v>2.5292733993682321</v>
      </c>
    </row>
    <row r="424" spans="1:4" ht="16.5" hidden="1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313">
        <f>参数调整!$K$35*怪物掉落配置方案!$D4528</f>
        <v>2.956053644257977</v>
      </c>
    </row>
    <row r="425" spans="1:4" ht="16.5" hidden="1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313">
        <f>参数调整!$K$35*怪物掉落配置方案!$D4529</f>
        <v>3.4160894926456242</v>
      </c>
    </row>
    <row r="426" spans="1:4" ht="16.5" hidden="1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313">
        <f>参数调整!$K$35*怪物掉落配置方案!$D4530</f>
        <v>3.9093809445311747</v>
      </c>
    </row>
    <row r="427" spans="1:4" ht="16.5" hidden="1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313">
        <f>参数调整!$K$35*怪物掉落配置方案!$D4531</f>
        <v>4.4359279999146279</v>
      </c>
    </row>
    <row r="428" spans="1:4" ht="16.5" hidden="1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313">
        <f>参数调整!$K$35*怪物掉落配置方案!$D4532</f>
        <v>4.9957306587959822</v>
      </c>
    </row>
    <row r="429" spans="1:4" ht="16.5" hidden="1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313">
        <f>参数调整!$K$35*怪物掉落配置方案!$D4533</f>
        <v>5.5887889211752393</v>
      </c>
    </row>
    <row r="430" spans="1:4" ht="16.5" hidden="1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313">
        <f>参数调整!$K$35*怪物掉落配置方案!$D4534</f>
        <v>6.2151027870523974</v>
      </c>
    </row>
    <row r="431" spans="1:4" ht="16.5" hidden="1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313">
        <f>参数调整!$K$35*怪物掉落配置方案!$D4535</f>
        <v>6.8746722564274565</v>
      </c>
    </row>
    <row r="432" spans="1:4" ht="16.5" hidden="1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313">
        <f>参数调整!$K$35*怪物掉落配置方案!$D4536</f>
        <v>7.5674973293004228</v>
      </c>
    </row>
    <row r="433" spans="1:4" ht="16.5" hidden="1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313">
        <f>参数调整!$K$35*怪物掉落配置方案!$D4537</f>
        <v>8.2935780056712893</v>
      </c>
    </row>
    <row r="434" spans="1:4" ht="16.5" hidden="1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313">
        <f>参数调整!$K$35*怪物掉落配置方案!$D4538</f>
        <v>9.0529142855400568</v>
      </c>
    </row>
    <row r="435" spans="1:4" ht="16.5" hidden="1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313">
        <f>参数调整!$K$35*怪物掉落配置方案!$D4539</f>
        <v>1.6246235338464058E-3</v>
      </c>
    </row>
    <row r="436" spans="1:4" ht="16.5" hidden="1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313">
        <f>参数调整!$K$35*怪物掉落配置方案!$D4540</f>
        <v>2.0561641600243576E-3</v>
      </c>
    </row>
    <row r="437" spans="1:4" ht="16.5" hidden="1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313">
        <f>参数调整!$K$35*怪物掉落配置方案!$D4541</f>
        <v>2.538474271635009E-3</v>
      </c>
    </row>
    <row r="438" spans="1:4" ht="16.5" hidden="1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313">
        <f>参数调整!$K$35*怪物掉落配置方案!$D4542</f>
        <v>3.0715538686783609E-3</v>
      </c>
    </row>
    <row r="439" spans="1:4" ht="16.5" hidden="1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313">
        <f>参数调整!$K$35*怪物掉落配置方案!$D4543</f>
        <v>3.6554029511544125E-3</v>
      </c>
    </row>
    <row r="440" spans="1:4" ht="16.5" hidden="1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313">
        <f>参数调整!$K$35*怪物掉落配置方案!$D4544</f>
        <v>4.2900215190631646E-3</v>
      </c>
    </row>
    <row r="441" spans="1:4" ht="16.5" hidden="1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313">
        <f>参数调整!$K$35*怪物掉落配置方案!$D4545</f>
        <v>4.9754095724046168E-3</v>
      </c>
    </row>
    <row r="442" spans="1:4" ht="16.5" hidden="1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313">
        <f>参数调整!$K$35*怪物掉落配置方案!$D4546</f>
        <v>5.7115671111787692E-3</v>
      </c>
    </row>
    <row r="443" spans="1:4" ht="16.5" hidden="1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313">
        <f>参数调整!$K$35*怪物掉落配置方案!$D4547</f>
        <v>6.4984941353856251E-3</v>
      </c>
    </row>
    <row r="444" spans="1:4" ht="16.5" hidden="1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313">
        <f>参数调整!$K$35*怪物掉落配置方案!$D4548</f>
        <v>8.2246566400974285E-3</v>
      </c>
    </row>
    <row r="445" spans="1:4" ht="16.5" hidden="1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313">
        <f>参数调整!$K$35*怪物掉落配置方案!$D4549</f>
        <v>1.0153897086540034E-2</v>
      </c>
    </row>
    <row r="446" spans="1:4" ht="16.5" hidden="1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313">
        <f>参数调整!$K$35*怪物掉落配置方案!$D4550</f>
        <v>1.2286215474713444E-2</v>
      </c>
    </row>
    <row r="447" spans="1:4" ht="16.5" hidden="1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313">
        <f>参数调整!$K$35*怪物掉落配置方案!$D4551</f>
        <v>1.5865464197718806E-2</v>
      </c>
    </row>
    <row r="448" spans="1:4" ht="16.5" hidden="1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313">
        <f>参数调整!$K$35*怪物掉落配置方案!$D4552</f>
        <v>2.2846268444715073E-2</v>
      </c>
    </row>
    <row r="449" spans="1:4" ht="16.5" hidden="1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313">
        <f>参数调整!$K$35*怪物掉落配置方案!$D4553</f>
        <v>3.1096309827528854E-2</v>
      </c>
    </row>
    <row r="450" spans="1:4" ht="16.5" hidden="1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313">
        <f>参数调整!$K$35*怪物掉落配置方案!$D4554</f>
        <v>3.4751712778683275E-2</v>
      </c>
    </row>
    <row r="451" spans="1:4" ht="16.5" hidden="1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313">
        <f>参数调整!$K$35*怪物掉落配置方案!$D4555</f>
        <v>4.0615588346160136E-2</v>
      </c>
    </row>
    <row r="452" spans="1:4" ht="16.5" hidden="1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313">
        <f>参数调整!$K$35*怪物掉落配置方案!$D4556</f>
        <v>4.6936389282531299E-2</v>
      </c>
    </row>
    <row r="453" spans="1:4" ht="16.5" hidden="1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313">
        <f>参数调整!$K$35*怪物掉落配置方案!$D4557</f>
        <v>5.3714115587796783E-2</v>
      </c>
    </row>
    <row r="454" spans="1:4" ht="16.5" hidden="1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313">
        <f>参数调整!$K$35*怪物掉落配置方案!$D4558</f>
        <v>6.0948767261956575E-2</v>
      </c>
    </row>
    <row r="455" spans="1:4" ht="16.5" hidden="1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313">
        <f>参数调整!$K$35*怪物掉落配置方案!$D4559</f>
        <v>6.8640344305010634E-2</v>
      </c>
    </row>
    <row r="456" spans="1:4" ht="16.5" hidden="1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313">
        <f>参数调整!$K$35*怪物掉落配置方案!$D4560</f>
        <v>7.6788846716959028E-2</v>
      </c>
    </row>
    <row r="457" spans="1:4" ht="16.5" hidden="1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313">
        <f>参数调整!$K$35*怪物掉落配置方案!$D4561</f>
        <v>8.5394274497801681E-2</v>
      </c>
    </row>
    <row r="458" spans="1:4" ht="16.5" hidden="1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313">
        <f>参数调整!$K$35*怪物掉落配置方案!$D4562</f>
        <v>9.4456627647538663E-2</v>
      </c>
    </row>
    <row r="459" spans="1:4" ht="16.5" hidden="1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313">
        <f>参数调整!$K$35*怪物掉落配置方案!$D4563</f>
        <v>0.10397590616616997</v>
      </c>
    </row>
    <row r="460" spans="1:4" ht="16.5" hidden="1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313">
        <f>参数调整!$K$35*怪物掉落配置方案!$D4564</f>
        <v>0.11395211005369554</v>
      </c>
    </row>
    <row r="461" spans="1:4" ht="16.5" hidden="1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313">
        <f>参数调整!$K$35*怪物掉落配置方案!$D4565</f>
        <v>0.12438523931011544</v>
      </c>
    </row>
    <row r="462" spans="1:4" ht="16.5" hidden="1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313">
        <f>参数调整!$K$35*怪物掉落配置方案!$D4566</f>
        <v>0</v>
      </c>
    </row>
    <row r="463" spans="1:4" ht="16.5" hidden="1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313">
        <f>参数调整!$K$35*怪物掉落配置方案!$D4567</f>
        <v>0</v>
      </c>
    </row>
    <row r="464" spans="1:4" ht="16.5" hidden="1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313">
        <f>参数调整!$K$35*怪物掉落配置方案!$D4568</f>
        <v>0</v>
      </c>
    </row>
    <row r="465" spans="1:4" ht="16.5" hidden="1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313">
        <f>参数调整!$K$35*怪物掉落配置方案!$D4569</f>
        <v>0</v>
      </c>
    </row>
    <row r="466" spans="1:4" ht="16.5" hidden="1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313">
        <f>参数调整!$K$35*怪物掉落配置方案!$D4570</f>
        <v>0</v>
      </c>
    </row>
    <row r="467" spans="1:4" ht="16.5" hidden="1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313">
        <f>参数调整!$K$35*怪物掉落配置方案!$D4571</f>
        <v>0</v>
      </c>
    </row>
    <row r="468" spans="1:4" ht="16.5" hidden="1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313">
        <f>参数调整!$K$35*怪物掉落配置方案!$D4572</f>
        <v>0</v>
      </c>
    </row>
    <row r="469" spans="1:4" ht="16.5" hidden="1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313">
        <f>参数调整!$K$35*怪物掉落配置方案!$D4573</f>
        <v>0</v>
      </c>
    </row>
    <row r="470" spans="1:4" ht="16.5" hidden="1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313">
        <f>参数调整!$K$35*怪物掉落配置方案!$D4574</f>
        <v>0</v>
      </c>
    </row>
    <row r="471" spans="1:4" ht="16.5" hidden="1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313">
        <f>参数调整!$K$35*怪物掉落配置方案!$D4575</f>
        <v>0</v>
      </c>
    </row>
    <row r="472" spans="1:4" ht="16.5" hidden="1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313">
        <f>参数调整!$K$35*怪物掉落配置方案!$D4576</f>
        <v>0</v>
      </c>
    </row>
    <row r="473" spans="1:4" ht="16.5" hidden="1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313">
        <f>参数调整!$K$35*怪物掉落配置方案!$D4577</f>
        <v>0</v>
      </c>
    </row>
    <row r="474" spans="1:4" ht="16.5" hidden="1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313">
        <f>参数调整!$K$35*怪物掉落配置方案!$D4578</f>
        <v>0</v>
      </c>
    </row>
    <row r="475" spans="1:4" ht="16.5" hidden="1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313">
        <f>参数调整!$K$35*怪物掉落配置方案!$D4579</f>
        <v>0</v>
      </c>
    </row>
    <row r="476" spans="1:4" ht="16.5" hidden="1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313">
        <f>参数调整!$K$35*怪物掉落配置方案!$D4580</f>
        <v>0</v>
      </c>
    </row>
    <row r="477" spans="1:4" ht="16.5" hidden="1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313">
        <f>参数调整!$K$35*怪物掉落配置方案!$D4581</f>
        <v>0</v>
      </c>
    </row>
    <row r="478" spans="1:4" ht="16.5" hidden="1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313">
        <f>参数调整!$K$35*怪物掉落配置方案!$D4582</f>
        <v>0</v>
      </c>
    </row>
    <row r="479" spans="1:4" ht="16.5" hidden="1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313">
        <f>参数调整!$K$35*怪物掉落配置方案!$D4583</f>
        <v>0</v>
      </c>
    </row>
    <row r="480" spans="1:4" ht="16.5" hidden="1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313">
        <f>参数调整!$K$35*怪物掉落配置方案!$D4584</f>
        <v>0</v>
      </c>
    </row>
    <row r="481" spans="1:4" ht="16.5" hidden="1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313">
        <f>参数调整!$K$35*怪物掉落配置方案!$D4585</f>
        <v>0</v>
      </c>
    </row>
    <row r="482" spans="1:4" ht="16.5" hidden="1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313">
        <f>参数调整!$K$35*怪物掉落配置方案!$D4586</f>
        <v>0</v>
      </c>
    </row>
    <row r="483" spans="1:4" ht="16.5" hidden="1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313">
        <f>参数调整!$K$35*怪物掉落配置方案!$D4587</f>
        <v>0</v>
      </c>
    </row>
    <row r="484" spans="1:4" ht="16.5" hidden="1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313">
        <f>参数调整!$K$35*怪物掉落配置方案!$D4588</f>
        <v>0</v>
      </c>
    </row>
    <row r="485" spans="1:4" ht="16.5" hidden="1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313">
        <f>参数调整!$K$35*怪物掉落配置方案!$D4589</f>
        <v>0</v>
      </c>
    </row>
    <row r="486" spans="1:4" ht="16.5" hidden="1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313">
        <f>参数调整!$K$35*怪物掉落配置方案!$D4590</f>
        <v>0</v>
      </c>
    </row>
    <row r="487" spans="1:4" ht="16.5" hidden="1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313">
        <f>参数调整!$K$35*怪物掉落配置方案!$D4591</f>
        <v>0</v>
      </c>
    </row>
    <row r="488" spans="1:4" ht="16.5" hidden="1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313">
        <f>参数调整!$K$35*怪物掉落配置方案!$D4592</f>
        <v>0</v>
      </c>
    </row>
    <row r="489" spans="1:4" ht="16.5" hidden="1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313">
        <f>参数调整!$K$35*怪物掉落配置方案!$D4593</f>
        <v>8.1231176692320283E-3</v>
      </c>
    </row>
    <row r="490" spans="1:4" ht="16.5" hidden="1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313">
        <f>参数调整!$K$35*怪物掉落配置方案!$D4594</f>
        <v>1.0280820800121788E-2</v>
      </c>
    </row>
    <row r="491" spans="1:4" ht="16.5" hidden="1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313">
        <f>参数调整!$K$35*怪物掉落配置方案!$D4595</f>
        <v>1.2692371358175044E-2</v>
      </c>
    </row>
    <row r="492" spans="1:4" ht="16.5" hidden="1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313">
        <f>参数调整!$K$35*怪物掉落配置方案!$D4596</f>
        <v>1.5357769343391805E-2</v>
      </c>
    </row>
    <row r="493" spans="1:4" ht="16.5" hidden="1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313">
        <f>参数调整!$K$35*怪物掉落配置方案!$D4597</f>
        <v>1.8277014755772061E-2</v>
      </c>
    </row>
    <row r="494" spans="1:4" ht="16.5" hidden="1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313">
        <f>参数调整!$K$35*怪物掉落配置方案!$D4598</f>
        <v>2.1450107595315827E-2</v>
      </c>
    </row>
    <row r="495" spans="1:4" ht="16.5" hidden="1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313">
        <f>参数调整!$K$35*怪物掉落配置方案!$D4599</f>
        <v>2.4877047862023084E-2</v>
      </c>
    </row>
    <row r="496" spans="1:4" ht="16.5" hidden="1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313">
        <f>参数调整!$K$35*怪物掉落配置方案!$D4600</f>
        <v>2.8557835555893848E-2</v>
      </c>
    </row>
    <row r="497" spans="1:4" ht="16.5" hidden="1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313">
        <f>参数调整!$K$35*怪物掉落配置方案!$D4601</f>
        <v>3.249247067692812E-2</v>
      </c>
    </row>
    <row r="498" spans="1:4" ht="16.5" hidden="1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313">
        <f>参数调整!$K$35*怪物掉落配置方案!$D4602</f>
        <v>4.1123283200487144E-2</v>
      </c>
    </row>
    <row r="499" spans="1:4" ht="16.5" hidden="1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313">
        <f>参数调整!$K$35*怪物掉落配置方案!$D4603</f>
        <v>5.0769485432700177E-2</v>
      </c>
    </row>
    <row r="500" spans="1:4" ht="16.5" hidden="1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313">
        <f>参数调整!$K$35*怪物掉落配置方案!$D4604</f>
        <v>6.1431077373567219E-2</v>
      </c>
    </row>
    <row r="501" spans="1:4" ht="16.5" hidden="1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313">
        <f>参数调整!$K$35*怪物掉落配置方案!$D4605</f>
        <v>7.9327320988594033E-2</v>
      </c>
    </row>
    <row r="502" spans="1:4" ht="16.5" hidden="1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313">
        <f>参数调整!$K$35*怪物掉落配置方案!$D4606</f>
        <v>0.11423134222357538</v>
      </c>
    </row>
    <row r="503" spans="1:4" ht="16.5" hidden="1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313">
        <f>参数调整!$K$35*怪物掉落配置方案!$D4607</f>
        <v>0.15548154913764428</v>
      </c>
    </row>
    <row r="504" spans="1:4" ht="16.5" hidden="1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313">
        <f>参数调整!$K$35*怪物掉落配置方案!$D4608</f>
        <v>0.17375856389341637</v>
      </c>
    </row>
    <row r="505" spans="1:4" ht="16.5" hidden="1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313">
        <f>参数调整!$K$35*怪物掉落配置方案!$D4609</f>
        <v>0.20307794173080071</v>
      </c>
    </row>
    <row r="506" spans="1:4" ht="16.5" hidden="1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313">
        <f>参数调整!$K$35*怪物掉落配置方案!$D4610</f>
        <v>0.23468194641265652</v>
      </c>
    </row>
    <row r="507" spans="1:4" ht="16.5" hidden="1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313">
        <f>参数调整!$K$35*怪物掉落配置方案!$D4611</f>
        <v>0.26857057793898392</v>
      </c>
    </row>
    <row r="508" spans="1:4" ht="16.5" hidden="1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313">
        <f>参数调整!$K$35*怪物掉落配置方案!$D4612</f>
        <v>0.30474383630978286</v>
      </c>
    </row>
    <row r="509" spans="1:4" ht="16.5" hidden="1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313">
        <f>参数调整!$K$35*怪物掉落配置方案!$D4613</f>
        <v>0.34320172152505324</v>
      </c>
    </row>
    <row r="510" spans="1:4" ht="16.5" hidden="1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313">
        <f>参数调整!$K$35*怪物掉落配置方案!$D4614</f>
        <v>0.38394423358479512</v>
      </c>
    </row>
    <row r="511" spans="1:4" ht="16.5" hidden="1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313">
        <f>参数调整!$K$35*怪物掉落配置方案!$D4615</f>
        <v>0.42697137248900841</v>
      </c>
    </row>
    <row r="512" spans="1:4" ht="16.5" hidden="1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313">
        <f>参数调整!$K$35*怪物掉落配置方案!$D4616</f>
        <v>0.47228313823769336</v>
      </c>
    </row>
    <row r="513" spans="1:4" ht="16.5" hidden="1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313">
        <f>参数调整!$K$35*怪物掉落配置方案!$D4617</f>
        <v>0.51987953083084992</v>
      </c>
    </row>
    <row r="514" spans="1:4" ht="16.5" hidden="1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313">
        <f>参数调整!$K$35*怪物掉落配置方案!$D4618</f>
        <v>0.56976055026847783</v>
      </c>
    </row>
    <row r="515" spans="1:4" ht="16.5" hidden="1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313">
        <f>参数调整!$K$35*怪物掉落配置方案!$D4619</f>
        <v>0.62192619655057724</v>
      </c>
    </row>
    <row r="516" spans="1:4" ht="16.5" hidden="1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313">
        <f>参数调整!$K$35*怪物掉落配置方案!$D4620</f>
        <v>1.3000294096767977</v>
      </c>
    </row>
    <row r="517" spans="1:4" ht="16.5" hidden="1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313">
        <f>参数调整!$K$35*怪物掉落配置方案!$D4621</f>
        <v>1.6453497216221975</v>
      </c>
    </row>
    <row r="518" spans="1:4" ht="16.5" hidden="1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313">
        <f>参数调整!$K$35*怪物掉落配置方案!$D4622</f>
        <v>2.0312959526199967</v>
      </c>
    </row>
    <row r="519" spans="1:4" ht="16.5" hidden="1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313">
        <f>参数调整!$K$35*怪物掉落配置方案!$D4623</f>
        <v>2.4578681026701963</v>
      </c>
    </row>
    <row r="520" spans="1:4" ht="16.5" hidden="1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313">
        <f>参数调整!$K$35*怪物掉落配置方案!$D4624</f>
        <v>2.9250661717727944</v>
      </c>
    </row>
    <row r="521" spans="1:4" ht="16.5" hidden="1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313">
        <f>参数调整!$K$35*怪物掉落配置方案!$D4625</f>
        <v>3.432890159927795</v>
      </c>
    </row>
    <row r="522" spans="1:4" ht="16.5" hidden="1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313">
        <f>参数调整!$K$35*怪物掉落配置方案!$D4626</f>
        <v>3.9813400671351933</v>
      </c>
    </row>
    <row r="523" spans="1:4" ht="16.5" hidden="1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313">
        <f>参数调整!$K$35*怪物掉落配置方案!$D4627</f>
        <v>4.5704158933949923</v>
      </c>
    </row>
    <row r="524" spans="1:4" ht="16.5" hidden="1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313">
        <f>参数调整!$K$35*怪物掉落配置方案!$D4628</f>
        <v>5.2001176387071926</v>
      </c>
    </row>
    <row r="525" spans="1:4" ht="16.5" hidden="1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313">
        <f>参数调整!$K$35*怪物掉落配置方案!$D4629</f>
        <v>6.58139888648879</v>
      </c>
    </row>
    <row r="526" spans="1:4" ht="16.5" hidden="1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313">
        <f>参数调整!$K$35*怪物掉落配置方案!$D4630</f>
        <v>8.1251838104799834</v>
      </c>
    </row>
    <row r="527" spans="1:4" ht="16.5" hidden="1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313">
        <f>参数调整!$K$35*怪物掉落配置方案!$D4631</f>
        <v>9.8314724106807851</v>
      </c>
    </row>
    <row r="528" spans="1:4" ht="16.5" hidden="1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313">
        <f>参数调整!$K$35*怪物掉落配置方案!$D4632</f>
        <v>12.695599703874977</v>
      </c>
    </row>
    <row r="529" spans="1:4" ht="16.5" hidden="1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313">
        <f>参数调整!$K$35*怪物掉落配置方案!$D4633</f>
        <v>18.281663573579966</v>
      </c>
    </row>
    <row r="530" spans="1:4" ht="16.5" hidden="1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313">
        <f>参数调整!$K$35*怪物掉落配置方案!$D4634</f>
        <v>24.883375419594955</v>
      </c>
    </row>
    <row r="531" spans="1:4" ht="16.5" hidden="1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313">
        <f>参数调整!$K$35*怪物掉落配置方案!$D4635</f>
        <v>27.808441591367757</v>
      </c>
    </row>
    <row r="532" spans="1:4" ht="16.5" hidden="1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313">
        <f>参数调整!$K$35*怪物掉落配置方案!$D4636</f>
        <v>32.500735241919934</v>
      </c>
    </row>
    <row r="533" spans="1:4" ht="16.5" hidden="1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313">
        <f>参数调整!$K$35*怪物掉落配置方案!$D4637</f>
        <v>37.55866216394373</v>
      </c>
    </row>
    <row r="534" spans="1:4" ht="16.5" hidden="1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313">
        <f>参数调整!$K$35*怪物掉落配置方案!$D4638</f>
        <v>42.98222235743912</v>
      </c>
    </row>
    <row r="535" spans="1:4" ht="16.5" hidden="1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313">
        <f>参数调整!$K$35*怪物掉落配置方案!$D4639</f>
        <v>48.771415822406119</v>
      </c>
    </row>
    <row r="536" spans="1:4" ht="16.5" hidden="1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313">
        <f>参数调整!$K$35*怪物掉落配置方案!$D4640</f>
        <v>54.926242558844706</v>
      </c>
    </row>
    <row r="537" spans="1:4" ht="16.5" hidden="1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313">
        <f>参数调整!$K$35*怪物掉落配置方案!$D4641</f>
        <v>61.446702566754894</v>
      </c>
    </row>
    <row r="538" spans="1:4" ht="16.5" hidden="1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313">
        <f>参数调整!$K$35*怪物掉落配置方案!$D4642</f>
        <v>68.33279584613669</v>
      </c>
    </row>
    <row r="539" spans="1:4" ht="16.5" hidden="1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313">
        <f>参数调整!$K$35*怪物掉落配置方案!$D4643</f>
        <v>75.584522396990067</v>
      </c>
    </row>
    <row r="540" spans="1:4" ht="16.5" hidden="1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313">
        <f>参数调整!$K$35*怪物掉落配置方案!$D4644</f>
        <v>83.201882219315053</v>
      </c>
    </row>
    <row r="541" spans="1:4" ht="16.5" hidden="1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313">
        <f>参数调整!$K$35*怪物掉落配置方案!$D4645</f>
        <v>91.184875313111633</v>
      </c>
    </row>
    <row r="542" spans="1:4" ht="16.5" hidden="1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313">
        <f>参数调整!$K$35*怪物掉落配置方案!$D4646</f>
        <v>99.533501678379849</v>
      </c>
    </row>
    <row r="543" spans="1:4" ht="16.5" hidden="1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313">
        <f>参数调整!$K$35*怪物掉落配置方案!$D4647</f>
        <v>5.8486447218470596E-3</v>
      </c>
    </row>
    <row r="544" spans="1:4" ht="16.5" hidden="1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313">
        <f>参数调整!$K$35*怪物掉落配置方案!$D4648</f>
        <v>7.4021909760876867E-3</v>
      </c>
    </row>
    <row r="545" spans="1:4" ht="16.5" hidden="1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313">
        <f>参数调整!$K$35*怪物掉落配置方案!$D4649</f>
        <v>9.1385073778860303E-3</v>
      </c>
    </row>
    <row r="546" spans="1:4" ht="16.5" hidden="1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313">
        <f>参数调整!$K$35*怪物掉落配置方案!$D4650</f>
        <v>1.1057593927242098E-2</v>
      </c>
    </row>
    <row r="547" spans="1:4" ht="16.5" hidden="1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313">
        <f>参数调整!$K$35*怪物掉落配置方案!$D4651</f>
        <v>1.3159450624155881E-2</v>
      </c>
    </row>
    <row r="548" spans="1:4" ht="16.5" hidden="1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313">
        <f>参数调整!$K$35*怪物掉落配置方案!$D4652</f>
        <v>1.5444077468627391E-2</v>
      </c>
    </row>
    <row r="549" spans="1:4" ht="16.5" hidden="1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313">
        <f>参数调整!$K$35*怪物掉落配置方案!$D4653</f>
        <v>1.7911474460656617E-2</v>
      </c>
    </row>
    <row r="550" spans="1:4" ht="16.5" hidden="1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313">
        <f>参数调整!$K$35*怪物掉落配置方案!$D4654</f>
        <v>2.0561641600243572E-2</v>
      </c>
    </row>
    <row r="551" spans="1:4" ht="16.5" hidden="1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313">
        <f>参数调整!$K$35*怪物掉落配置方案!$D4655</f>
        <v>2.3394578887388238E-2</v>
      </c>
    </row>
    <row r="552" spans="1:4" ht="16.5" hidden="1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313">
        <f>参数调整!$K$35*怪物掉落配置方案!$D4656</f>
        <v>2.9608763904350747E-2</v>
      </c>
    </row>
    <row r="553" spans="1:4" ht="16.5" hidden="1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313">
        <f>参数调整!$K$35*怪物掉落配置方案!$D4657</f>
        <v>3.6554029511544121E-2</v>
      </c>
    </row>
    <row r="554" spans="1:4" ht="16.5" hidden="1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313">
        <f>参数调整!$K$35*怪物掉落配置方案!$D4658</f>
        <v>4.4230375708968393E-2</v>
      </c>
    </row>
    <row r="555" spans="1:4" ht="16.5" hidden="1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313">
        <f>参数调整!$K$35*怪物掉落配置方案!$D4659</f>
        <v>5.711567111178769E-2</v>
      </c>
    </row>
    <row r="556" spans="1:4" ht="16.5" hidden="1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313">
        <f>参数调整!$K$35*怪物掉落配置方案!$D4660</f>
        <v>8.2246566400974275E-2</v>
      </c>
    </row>
    <row r="557" spans="1:4" ht="16.5" hidden="1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313">
        <f>参数调整!$K$35*怪物掉落配置方案!$D4661</f>
        <v>0.11194671537910386</v>
      </c>
    </row>
    <row r="558" spans="1:4" ht="16.5" hidden="1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313">
        <f>参数调整!$K$35*怪物掉落配置方案!$D4662</f>
        <v>0.12510616600325977</v>
      </c>
    </row>
    <row r="559" spans="1:4" ht="16.5" hidden="1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313">
        <f>参数调整!$K$35*怪物掉落配置方案!$D4663</f>
        <v>0.14621611804617649</v>
      </c>
    </row>
    <row r="560" spans="1:4" ht="16.5" hidden="1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313">
        <f>参数调整!$K$35*怪物掉落配置方案!$D4664</f>
        <v>0.16897100141711269</v>
      </c>
    </row>
    <row r="561" spans="1:4" ht="16.5" hidden="1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313">
        <f>参数调整!$K$35*怪物掉落配置方案!$D4665</f>
        <v>0.19337081611606838</v>
      </c>
    </row>
    <row r="562" spans="1:4" ht="16.5" hidden="1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313">
        <f>参数调整!$K$35*怪物掉落配置方案!$D4666</f>
        <v>0.21941556214304364</v>
      </c>
    </row>
    <row r="563" spans="1:4" ht="16.5" hidden="1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313">
        <f>参数调整!$K$35*怪物掉落配置方案!$D4667</f>
        <v>0.24710523949803825</v>
      </c>
    </row>
    <row r="564" spans="1:4" ht="16.5" hidden="1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313">
        <f>参数调整!$K$35*怪物掉落配置方案!$D4668</f>
        <v>0.27643984818105249</v>
      </c>
    </row>
    <row r="565" spans="1:4" ht="16.5" hidden="1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313">
        <f>参数调整!$K$35*怪物掉落配置方案!$D4669</f>
        <v>0.30741938819208603</v>
      </c>
    </row>
    <row r="566" spans="1:4" ht="16.5" hidden="1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313">
        <f>参数调整!$K$35*怪物掉落配置方案!$D4670</f>
        <v>0.34004385953113908</v>
      </c>
    </row>
    <row r="567" spans="1:4" ht="16.5" hidden="1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313">
        <f>参数调整!$K$35*怪物掉落配置方案!$D4671</f>
        <v>0.37431326219821182</v>
      </c>
    </row>
    <row r="568" spans="1:4" ht="16.5" hidden="1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313">
        <f>参数调整!$K$35*怪物掉落配置方案!$D4672</f>
        <v>0.4102275961933039</v>
      </c>
    </row>
    <row r="569" spans="1:4" ht="16.5" hidden="1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313">
        <f>参数调整!$K$35*怪物掉落配置方案!$D4673</f>
        <v>0.4477868615164155</v>
      </c>
    </row>
    <row r="570" spans="1:4" ht="16.5" hidden="1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313">
        <f>参数调整!$K$35*怪物掉落配置方案!$D4674</f>
        <v>9.0801854447843083E-2</v>
      </c>
    </row>
    <row r="571" spans="1:4" ht="16.5" hidden="1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313">
        <f>参数调整!$K$35*怪物掉落配置方案!$D4675</f>
        <v>0.11492109703555142</v>
      </c>
    </row>
    <row r="572" spans="1:4" ht="16.5" hidden="1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313">
        <f>参数调整!$K$35*怪物掉落配置方案!$D4676</f>
        <v>0.1418778975747548</v>
      </c>
    </row>
    <row r="573" spans="1:4" ht="16.5" hidden="1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313">
        <f>参数调整!$K$35*怪物掉落配置方案!$D4677</f>
        <v>0.1716722560654533</v>
      </c>
    </row>
    <row r="574" spans="1:4" ht="16.5" hidden="1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313">
        <f>参数调整!$K$35*怪物掉落配置方案!$D4678</f>
        <v>0.20430417250764688</v>
      </c>
    </row>
    <row r="575" spans="1:4" ht="16.5" hidden="1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313">
        <f>参数调整!$K$35*怪物掉落配置方案!$D4679</f>
        <v>0.23977364690133565</v>
      </c>
    </row>
    <row r="576" spans="1:4" ht="16.5" hidden="1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313">
        <f>参数调整!$K$35*怪物掉落配置方案!$D4680</f>
        <v>0.27808067924651941</v>
      </c>
    </row>
    <row r="577" spans="1:4" ht="16.5" hidden="1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313">
        <f>参数调整!$K$35*怪物掉落配置方案!$D4681</f>
        <v>0.31922526954319835</v>
      </c>
    </row>
    <row r="578" spans="1:4" ht="16.5" hidden="1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313">
        <f>参数调整!$K$35*怪物掉落配置方案!$D4682</f>
        <v>0.36320741779137233</v>
      </c>
    </row>
    <row r="579" spans="1:4" ht="16.5" hidden="1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313">
        <f>参数调整!$K$35*怪物掉落配置方案!$D4683</f>
        <v>0.45968438814220558</v>
      </c>
    </row>
    <row r="580" spans="1:4" ht="16.5" hidden="1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313">
        <f>参数调整!$K$35*怪物掉落配置方案!$D4684</f>
        <v>0.56751159029901921</v>
      </c>
    </row>
    <row r="581" spans="1:4" ht="16.5" hidden="1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313">
        <f>参数调整!$K$35*怪物掉落配置方案!$D4685</f>
        <v>0.68668902426181322</v>
      </c>
    </row>
    <row r="582" spans="1:4" ht="16.5" hidden="1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313">
        <f>参数调整!$K$35*怪物掉落配置方案!$D4686</f>
        <v>0.88673685984221751</v>
      </c>
    </row>
    <row r="583" spans="1:4" ht="16.5" hidden="1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313">
        <f>参数调整!$K$35*怪物掉落配置方案!$D4687</f>
        <v>1.276901078172793</v>
      </c>
    </row>
    <row r="584" spans="1:4" ht="16.5" hidden="1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313">
        <f>参数调整!$K$35*怪物掉落配置方案!$D4688</f>
        <v>1.7380042452907463</v>
      </c>
    </row>
    <row r="585" spans="1:4" ht="16.5" hidden="1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313">
        <f>参数调整!$K$35*怪物掉落配置方案!$D4689</f>
        <v>1.9423084177983934</v>
      </c>
    </row>
    <row r="586" spans="1:4" ht="16.5" hidden="1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313">
        <f>参数调整!$K$35*怪物掉落配置方案!$D4690</f>
        <v>2.2700463611960768</v>
      </c>
    </row>
    <row r="587" spans="1:4" ht="16.5" hidden="1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313">
        <f>参数调整!$K$35*怪物掉落配置方案!$D4691</f>
        <v>2.6233223261572158</v>
      </c>
    </row>
    <row r="588" spans="1:4" ht="16.5" hidden="1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313">
        <f>参数调整!$K$35*怪物掉落配置方案!$D4692</f>
        <v>3.0021363126818112</v>
      </c>
    </row>
    <row r="589" spans="1:4" ht="16.5" hidden="1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313">
        <f>参数调整!$K$35*怪物掉落配置方案!$D4693</f>
        <v>3.4064883207698635</v>
      </c>
    </row>
    <row r="590" spans="1:4" ht="16.5" hidden="1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313">
        <f>参数调整!$K$35*怪物掉落配置方案!$D4694</f>
        <v>3.8363783504213691</v>
      </c>
    </row>
    <row r="591" spans="1:4" ht="16.5" hidden="1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313">
        <f>参数调整!$K$35*怪物掉落配置方案!$D4695</f>
        <v>4.2918064016363333</v>
      </c>
    </row>
    <row r="592" spans="1:4" ht="16.5" hidden="1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313">
        <f>参数调整!$K$35*怪物掉落配置方案!$D4696</f>
        <v>4.7727724744147508</v>
      </c>
    </row>
    <row r="593" spans="1:4" ht="16.5" hidden="1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313">
        <f>参数调整!$K$35*怪物掉落配置方案!$D4697</f>
        <v>5.2792765687566243</v>
      </c>
    </row>
    <row r="594" spans="1:4" ht="16.5" hidden="1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313">
        <f>参数调整!$K$35*怪物掉落配置方案!$D4698</f>
        <v>5.8113186846619573</v>
      </c>
    </row>
    <row r="595" spans="1:4" ht="16.5" hidden="1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313">
        <f>参数调整!$K$35*怪物掉落配置方案!$D4699</f>
        <v>6.3688988221307437</v>
      </c>
    </row>
    <row r="596" spans="1:4" ht="16.5" hidden="1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313">
        <f>参数调整!$K$35*怪物掉落配置方案!$D4700</f>
        <v>6.9520169811629851</v>
      </c>
    </row>
    <row r="597" spans="1:4" ht="16.5" hidden="1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313">
        <f>参数调整!$K$35*怪物掉落配置方案!$D4701</f>
        <v>0.51885112559125091</v>
      </c>
    </row>
    <row r="598" spans="1:4" ht="16.5" hidden="1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313">
        <f>参数调整!$K$35*怪物掉落配置方案!$D4702</f>
        <v>0.65667095582642698</v>
      </c>
    </row>
    <row r="599" spans="1:4" ht="16.5" hidden="1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313">
        <f>参数调整!$K$35*怪物掉落配置方案!$D4703</f>
        <v>0.81070488373632932</v>
      </c>
    </row>
    <row r="600" spans="1:4" ht="16.5" hidden="1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313">
        <f>参数调整!$K$35*怪物掉落配置方案!$D4704</f>
        <v>0.98095290932095869</v>
      </c>
    </row>
    <row r="601" spans="1:4" ht="16.5" hidden="1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313">
        <f>参数调整!$K$35*怪物掉落配置方案!$D4705</f>
        <v>1.1674150325803139</v>
      </c>
    </row>
    <row r="602" spans="1:4" ht="16.5" hidden="1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313">
        <f>参数调整!$K$35*怪物掉落配置方案!$D4706</f>
        <v>1.3700912535143968</v>
      </c>
    </row>
    <row r="603" spans="1:4" ht="16.5" hidden="1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313">
        <f>参数调整!$K$35*怪物掉落配置方案!$D4707</f>
        <v>1.5889815721232052</v>
      </c>
    </row>
    <row r="604" spans="1:4" ht="16.5" hidden="1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313">
        <f>参数调整!$K$35*怪物掉落配置方案!$D4708</f>
        <v>1.8240859884067409</v>
      </c>
    </row>
    <row r="605" spans="1:4" ht="16.5" hidden="1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313">
        <f>参数调整!$K$35*怪物掉落配置方案!$D4709</f>
        <v>2.0754045023650036</v>
      </c>
    </row>
    <row r="606" spans="1:4" ht="16.5" hidden="1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313">
        <f>参数调整!$K$35*怪物掉落配置方案!$D4710</f>
        <v>2.6266838233057075</v>
      </c>
    </row>
    <row r="607" spans="1:4" ht="16.5" hidden="1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313">
        <f>参数调整!$K$35*怪物掉落配置方案!$D4711</f>
        <v>3.2428195349453168</v>
      </c>
    </row>
    <row r="608" spans="1:4" ht="16.5" hidden="1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313">
        <f>参数调整!$K$35*怪物掉落配置方案!$D4712</f>
        <v>3.9238116372838348</v>
      </c>
    </row>
    <row r="609" spans="1:4" ht="16.5" hidden="1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313">
        <f>参数调整!$K$35*怪物掉落配置方案!$D4713</f>
        <v>5.0669055233520579</v>
      </c>
    </row>
    <row r="610" spans="1:4" ht="16.5" hidden="1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313">
        <f>参数调整!$K$35*怪物掉落配置方案!$D4714</f>
        <v>7.2963439536269634</v>
      </c>
    </row>
    <row r="611" spans="1:4" ht="16.5" hidden="1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313">
        <f>参数调整!$K$35*怪物掉落配置方案!$D4715</f>
        <v>9.931134825770032</v>
      </c>
    </row>
    <row r="612" spans="1:4" ht="16.5" hidden="1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313">
        <f>参数调整!$K$35*怪物掉落配置方案!$D4716</f>
        <v>11.098549858350349</v>
      </c>
    </row>
    <row r="613" spans="1:4" ht="16.5" hidden="1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313">
        <f>参数调整!$K$35*怪物掉落配置方案!$D4717</f>
        <v>12.971278139781267</v>
      </c>
    </row>
    <row r="614" spans="1:4" ht="16.5" hidden="1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313">
        <f>参数调整!$K$35*怪物掉落配置方案!$D4718</f>
        <v>14.989933300284727</v>
      </c>
    </row>
    <row r="615" spans="1:4" ht="16.5" hidden="1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313">
        <f>参数调整!$K$35*怪物掉落配置方案!$D4719</f>
        <v>17.154515339860726</v>
      </c>
    </row>
    <row r="616" spans="1:4" ht="16.5" hidden="1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313">
        <f>参数调整!$K$35*怪物掉落配置方案!$D4720</f>
        <v>19.465024258509271</v>
      </c>
    </row>
    <row r="617" spans="1:4" ht="16.5" hidden="1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313">
        <f>参数调整!$K$35*怪物掉落配置方案!$D4721</f>
        <v>21.921460056230345</v>
      </c>
    </row>
    <row r="618" spans="1:4" ht="16.5" hidden="1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313">
        <f>参数调整!$K$35*怪物掉落配置方案!$D4722</f>
        <v>24.523822733023966</v>
      </c>
    </row>
    <row r="619" spans="1:4" ht="16.5" hidden="1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313">
        <f>参数调整!$K$35*怪物掉落配置方案!$D4723</f>
        <v>27.272112288890117</v>
      </c>
    </row>
    <row r="620" spans="1:4" ht="16.5" hidden="1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313">
        <f>参数调整!$K$35*怪物掉落配置方案!$D4724</f>
        <v>30.166328723828812</v>
      </c>
    </row>
    <row r="621" spans="1:4" ht="16.5" hidden="1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313">
        <f>参数调整!$K$35*怪物掉落配置方案!$D4725</f>
        <v>33.206472037840051</v>
      </c>
    </row>
    <row r="622" spans="1:4" ht="16.5" hidden="1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313">
        <f>参数调整!$K$35*怪物掉落配置方案!$D4726</f>
        <v>36.392542230923823</v>
      </c>
    </row>
    <row r="623" spans="1:4" ht="16.5" hidden="1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313">
        <f>参数调整!$K$35*怪物掉落配置方案!$D4727</f>
        <v>39.724539303080135</v>
      </c>
    </row>
    <row r="624" spans="1:4" ht="16.5" hidden="1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313">
        <f>参数调整!$K$35*怪物掉落配置方案!$D4728</f>
        <v>6.4984941353856242E-4</v>
      </c>
    </row>
    <row r="625" spans="1:4" ht="16.5" hidden="1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313">
        <f>参数调整!$K$35*怪物掉落配置方案!$D4729</f>
        <v>8.22465664009743E-4</v>
      </c>
    </row>
    <row r="626" spans="1:4" ht="16.5" hidden="1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313">
        <f>参数调整!$K$35*怪物掉落配置方案!$D4730</f>
        <v>1.0153897086540035E-3</v>
      </c>
    </row>
    <row r="627" spans="1:4" ht="16.5" hidden="1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313">
        <f>参数调整!$K$35*怪物掉落配置方案!$D4731</f>
        <v>1.2286215474713444E-3</v>
      </c>
    </row>
    <row r="628" spans="1:4" ht="16.5" hidden="1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313">
        <f>参数调整!$K$35*怪物掉落配置方案!$D4732</f>
        <v>1.4621611804617649E-3</v>
      </c>
    </row>
    <row r="629" spans="1:4" ht="16.5" hidden="1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313">
        <f>参数调整!$K$35*怪物掉落配置方案!$D4733</f>
        <v>1.7160086076252665E-3</v>
      </c>
    </row>
    <row r="630" spans="1:4" ht="16.5" hidden="1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313">
        <f>参数调整!$K$35*怪物掉落配置方案!$D4734</f>
        <v>1.9901638289618467E-3</v>
      </c>
    </row>
    <row r="631" spans="1:4" ht="16.5" hidden="1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313">
        <f>参数调整!$K$35*怪物掉落配置方案!$D4735</f>
        <v>2.284626844471508E-3</v>
      </c>
    </row>
    <row r="632" spans="1:4" ht="16.5" hidden="1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313">
        <f>参数调整!$K$35*怪物掉落配置方案!$D4736</f>
        <v>2.5993976541542497E-3</v>
      </c>
    </row>
    <row r="633" spans="1:4" ht="16.5" hidden="1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313">
        <f>参数调整!$K$35*怪物掉落配置方案!$D4737</f>
        <v>3.289862656038972E-3</v>
      </c>
    </row>
    <row r="634" spans="1:4" ht="16.5" hidden="1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313">
        <f>参数调整!$K$35*怪物掉落配置方案!$D4738</f>
        <v>4.0615588346160142E-3</v>
      </c>
    </row>
    <row r="635" spans="1:4" ht="16.5" hidden="1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313">
        <f>参数调整!$K$35*怪物掉落配置方案!$D4739</f>
        <v>4.9144861898853774E-3</v>
      </c>
    </row>
    <row r="636" spans="1:4" ht="16.5" hidden="1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313">
        <f>参数调整!$K$35*怪物掉落配置方案!$D4740</f>
        <v>6.3461856790875222E-3</v>
      </c>
    </row>
    <row r="637" spans="1:4" ht="16.5" hidden="1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313">
        <f>参数调整!$K$35*怪物掉落配置方案!$D4741</f>
        <v>9.1385073778860303E-3</v>
      </c>
    </row>
    <row r="638" spans="1:4" ht="16.5" hidden="1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313">
        <f>参数调整!$K$35*怪物掉落配置方案!$D4742</f>
        <v>1.2438523931011539E-2</v>
      </c>
    </row>
    <row r="639" spans="1:4" ht="16.5" hidden="1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313">
        <f>参数调整!$K$35*怪物掉落配置方案!$D4743</f>
        <v>1.3900685111473311E-2</v>
      </c>
    </row>
    <row r="640" spans="1:4" ht="16.5" hidden="1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313">
        <f>参数调整!$K$35*怪物掉落配置方案!$D4744</f>
        <v>1.6246235338464057E-2</v>
      </c>
    </row>
    <row r="641" spans="1:4" ht="16.5" hidden="1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313">
        <f>参数调整!$K$35*怪物掉落配置方案!$D4745</f>
        <v>1.8774555713012526E-2</v>
      </c>
    </row>
    <row r="642" spans="1:4" ht="16.5" hidden="1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313">
        <f>参数调整!$K$35*怪物掉落配置方案!$D4746</f>
        <v>2.1485646235118713E-2</v>
      </c>
    </row>
    <row r="643" spans="1:4" ht="16.5" hidden="1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313">
        <f>参数调整!$K$35*怪物掉落配置方案!$D4747</f>
        <v>2.4379506904782633E-2</v>
      </c>
    </row>
    <row r="644" spans="1:4" ht="16.5" hidden="1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313">
        <f>参数调整!$K$35*怪物掉落配置方案!$D4748</f>
        <v>2.7456137722004257E-2</v>
      </c>
    </row>
    <row r="645" spans="1:4" ht="16.5" hidden="1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313">
        <f>参数调整!$K$35*怪物掉落配置方案!$D4749</f>
        <v>3.071553868678361E-2</v>
      </c>
    </row>
    <row r="646" spans="1:4" ht="16.5" hidden="1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313">
        <f>参数调整!$K$35*怪物掉落配置方案!$D4750</f>
        <v>3.4157709799120674E-2</v>
      </c>
    </row>
    <row r="647" spans="1:4" ht="16.5" hidden="1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313">
        <f>参数调整!$K$35*怪物掉落配置方案!$D4751</f>
        <v>3.778265105901546E-2</v>
      </c>
    </row>
    <row r="648" spans="1:4" ht="16.5" hidden="1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313">
        <f>参数调整!$K$35*怪物掉落配置方案!$D4752</f>
        <v>4.1590362466467995E-2</v>
      </c>
    </row>
    <row r="649" spans="1:4" ht="16.5" hidden="1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313">
        <f>参数调整!$K$35*怪物掉落配置方案!$D4753</f>
        <v>4.5580844021478217E-2</v>
      </c>
    </row>
    <row r="650" spans="1:4" ht="16.5" hidden="1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313">
        <f>参数调整!$K$35*怪物掉落配置方案!$D4754</f>
        <v>4.9754095724046182E-2</v>
      </c>
    </row>
    <row r="651" spans="1:4" ht="16.5" hidden="1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313">
        <f>参数调整!$K$35*怪物掉落配置方案!$D4755</f>
        <v>0.11824214577031912</v>
      </c>
    </row>
    <row r="652" spans="1:4" ht="16.5" hidden="1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313">
        <f>参数调整!$K$35*怪物掉落配置方案!$D4756</f>
        <v>0.14965021574056012</v>
      </c>
    </row>
    <row r="653" spans="1:4" ht="16.5" hidden="1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313">
        <f>参数调整!$K$35*怪物掉落配置方案!$D4757</f>
        <v>0.18475335276612359</v>
      </c>
    </row>
    <row r="654" spans="1:4" ht="16.5" hidden="1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313">
        <f>参数调整!$K$35*怪物掉落配置方案!$D4758</f>
        <v>0.22355155684700956</v>
      </c>
    </row>
    <row r="655" spans="1:4" ht="16.5" hidden="1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313">
        <f>参数调整!$K$35*怪物掉落配置方案!$D4759</f>
        <v>0.26604482798321794</v>
      </c>
    </row>
    <row r="656" spans="1:4" ht="16.5" hidden="1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313">
        <f>参数调整!$K$35*怪物掉落配置方案!$D4760</f>
        <v>0.31223316617474894</v>
      </c>
    </row>
    <row r="657" spans="1:4" ht="16.5" hidden="1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313">
        <f>参数调整!$K$35*怪物掉落配置方案!$D4761</f>
        <v>0.36211657142160214</v>
      </c>
    </row>
    <row r="658" spans="1:4" ht="16.5" hidden="1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313">
        <f>参数调整!$K$35*怪物掉落配置方案!$D4762</f>
        <v>0.41569504372377813</v>
      </c>
    </row>
    <row r="659" spans="1:4" ht="16.5" hidden="1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313">
        <f>参数调整!$K$35*怪物掉落配置方案!$D4763</f>
        <v>0.47296858308127648</v>
      </c>
    </row>
    <row r="660" spans="1:4" ht="16.5" hidden="1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313">
        <f>参数调整!$K$35*怪物掉落配置方案!$D4764</f>
        <v>0.59860086296224047</v>
      </c>
    </row>
    <row r="661" spans="1:4" ht="16.5" hidden="1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313">
        <f>参数调整!$K$35*怪物掉落配置方案!$D4765</f>
        <v>0.73901341106449425</v>
      </c>
    </row>
    <row r="662" spans="1:4" ht="16.5" hidden="1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313">
        <f>参数调整!$K$35*怪物掉落配置方案!$D4766</f>
        <v>0.89420622738803823</v>
      </c>
    </row>
    <row r="663" spans="1:4" ht="16.5" hidden="1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313">
        <f>参数调整!$K$35*怪物掉落配置方案!$D4767</f>
        <v>1.1547084547882722</v>
      </c>
    </row>
    <row r="664" spans="1:4" ht="16.5" hidden="1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313">
        <f>参数调整!$K$35*怪物掉落配置方案!$D4768</f>
        <v>1.6627801748951121</v>
      </c>
    </row>
    <row r="665" spans="1:4" ht="16.5" hidden="1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313">
        <f>参数调整!$K$35*怪物掉落配置方案!$D4769</f>
        <v>2.2632285713850138</v>
      </c>
    </row>
    <row r="666" spans="1:4" ht="16.5" hidden="1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313">
        <f>参数调整!$K$35*怪物掉落配置方案!$D4770</f>
        <v>2.5292733993682321</v>
      </c>
    </row>
    <row r="667" spans="1:4" ht="16.5" hidden="1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313">
        <f>参数调整!$K$35*怪物掉落配置方案!$D4771</f>
        <v>2.956053644257977</v>
      </c>
    </row>
    <row r="668" spans="1:4" ht="16.5" hidden="1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313">
        <f>参数调整!$K$35*怪物掉落配置方案!$D4772</f>
        <v>3.4160894926456242</v>
      </c>
    </row>
    <row r="669" spans="1:4" ht="16.5" hidden="1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313">
        <f>参数调整!$K$35*怪物掉落配置方案!$D4773</f>
        <v>3.9093809445311747</v>
      </c>
    </row>
    <row r="670" spans="1:4" ht="16.5" hidden="1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313">
        <f>参数调整!$K$35*怪物掉落配置方案!$D4774</f>
        <v>4.4359279999146279</v>
      </c>
    </row>
    <row r="671" spans="1:4" ht="16.5" hidden="1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313">
        <f>参数调整!$K$35*怪物掉落配置方案!$D4775</f>
        <v>4.9957306587959822</v>
      </c>
    </row>
    <row r="672" spans="1:4" ht="16.5" hidden="1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313">
        <f>参数调整!$K$35*怪物掉落配置方案!$D4776</f>
        <v>5.5887889211752393</v>
      </c>
    </row>
    <row r="673" spans="1:4" ht="16.5" hidden="1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313">
        <f>参数调整!$K$35*怪物掉落配置方案!$D4777</f>
        <v>6.2151027870523974</v>
      </c>
    </row>
    <row r="674" spans="1:4" ht="16.5" hidden="1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313">
        <f>参数调整!$K$35*怪物掉落配置方案!$D4778</f>
        <v>6.8746722564274565</v>
      </c>
    </row>
    <row r="675" spans="1:4" ht="16.5" hidden="1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313">
        <f>参数调整!$K$35*怪物掉落配置方案!$D4779</f>
        <v>7.5674973293004228</v>
      </c>
    </row>
    <row r="676" spans="1:4" ht="16.5" hidden="1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313">
        <f>参数调整!$K$35*怪物掉落配置方案!$D4780</f>
        <v>8.2935780056712893</v>
      </c>
    </row>
    <row r="677" spans="1:4" ht="16.5" hidden="1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313">
        <f>参数调整!$K$35*怪物掉落配置方案!$D4781</f>
        <v>9.0529142855400568</v>
      </c>
    </row>
    <row r="678" spans="1:4" ht="16.5" hidden="1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313">
        <f>参数调整!$K$35*怪物掉落配置方案!$D4782</f>
        <v>0.11824214577031912</v>
      </c>
    </row>
    <row r="679" spans="1:4" ht="16.5" hidden="1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313">
        <f>参数调整!$K$35*怪物掉落配置方案!$D4783</f>
        <v>0.14965021574056012</v>
      </c>
    </row>
    <row r="680" spans="1:4" ht="16.5" hidden="1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313">
        <f>参数调整!$K$35*怪物掉落配置方案!$D4784</f>
        <v>0.18475335276612359</v>
      </c>
    </row>
    <row r="681" spans="1:4" ht="16.5" hidden="1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313">
        <f>参数调整!$K$35*怪物掉落配置方案!$D4785</f>
        <v>0.22355155684700956</v>
      </c>
    </row>
    <row r="682" spans="1:4" ht="16.5" hidden="1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313">
        <f>参数调整!$K$35*怪物掉落配置方案!$D4786</f>
        <v>0.26604482798321794</v>
      </c>
    </row>
    <row r="683" spans="1:4" ht="16.5" hidden="1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313">
        <f>参数调整!$K$35*怪物掉落配置方案!$D4787</f>
        <v>0.31223316617474894</v>
      </c>
    </row>
    <row r="684" spans="1:4" ht="16.5" hidden="1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313">
        <f>参数调整!$K$35*怪物掉落配置方案!$D4788</f>
        <v>0.36211657142160214</v>
      </c>
    </row>
    <row r="685" spans="1:4" ht="16.5" hidden="1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313">
        <f>参数调整!$K$35*怪物掉落配置方案!$D4789</f>
        <v>0.41569504372377813</v>
      </c>
    </row>
    <row r="686" spans="1:4" ht="16.5" hidden="1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313">
        <f>参数调整!$K$35*怪物掉落配置方案!$D4790</f>
        <v>0.47296858308127648</v>
      </c>
    </row>
    <row r="687" spans="1:4" ht="16.5" hidden="1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313">
        <f>参数调整!$K$35*怪物掉落配置方案!$D4791</f>
        <v>0.59860086296224047</v>
      </c>
    </row>
    <row r="688" spans="1:4" ht="16.5" hidden="1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313">
        <f>参数调整!$K$35*怪物掉落配置方案!$D4792</f>
        <v>0.73901341106449425</v>
      </c>
    </row>
    <row r="689" spans="1:4" ht="16.5" hidden="1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313">
        <f>参数调整!$K$35*怪物掉落配置方案!$D4793</f>
        <v>0.89420622738803823</v>
      </c>
    </row>
    <row r="690" spans="1:4" ht="16.5" hidden="1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313">
        <f>参数调整!$K$35*怪物掉落配置方案!$D4794</f>
        <v>1.1547084547882722</v>
      </c>
    </row>
    <row r="691" spans="1:4" ht="16.5" hidden="1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313">
        <f>参数调整!$K$35*怪物掉落配置方案!$D4795</f>
        <v>1.6627801748951121</v>
      </c>
    </row>
    <row r="692" spans="1:4" ht="16.5" hidden="1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313">
        <f>参数调整!$K$35*怪物掉落配置方案!$D4796</f>
        <v>2.2632285713850138</v>
      </c>
    </row>
    <row r="693" spans="1:4" ht="16.5" hidden="1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313">
        <f>参数调整!$K$35*怪物掉落配置方案!$D4797</f>
        <v>2.5292733993682321</v>
      </c>
    </row>
    <row r="694" spans="1:4" ht="16.5" hidden="1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313">
        <f>参数调整!$K$35*怪物掉落配置方案!$D4798</f>
        <v>2.956053644257977</v>
      </c>
    </row>
    <row r="695" spans="1:4" ht="16.5" hidden="1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313">
        <f>参数调整!$K$35*怪物掉落配置方案!$D4799</f>
        <v>3.4160894926456242</v>
      </c>
    </row>
    <row r="696" spans="1:4" ht="16.5" hidden="1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313">
        <f>参数调整!$K$35*怪物掉落配置方案!$D4800</f>
        <v>3.9093809445311747</v>
      </c>
    </row>
    <row r="697" spans="1:4" ht="16.5" hidden="1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313">
        <f>参数调整!$K$35*怪物掉落配置方案!$D4801</f>
        <v>4.4359279999146279</v>
      </c>
    </row>
    <row r="698" spans="1:4" ht="16.5" hidden="1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313">
        <f>参数调整!$K$35*怪物掉落配置方案!$D4802</f>
        <v>4.9957306587959822</v>
      </c>
    </row>
    <row r="699" spans="1:4" ht="16.5" hidden="1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313">
        <f>参数调整!$K$35*怪物掉落配置方案!$D4803</f>
        <v>5.5887889211752393</v>
      </c>
    </row>
    <row r="700" spans="1:4" ht="16.5" hidden="1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313">
        <f>参数调整!$K$35*怪物掉落配置方案!$D4804</f>
        <v>6.2151027870523974</v>
      </c>
    </row>
    <row r="701" spans="1:4" ht="16.5" hidden="1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313">
        <f>参数调整!$K$35*怪物掉落配置方案!$D4805</f>
        <v>6.8746722564274565</v>
      </c>
    </row>
    <row r="702" spans="1:4" ht="16.5" hidden="1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313">
        <f>参数调整!$K$35*怪物掉落配置方案!$D4806</f>
        <v>7.5674973293004228</v>
      </c>
    </row>
    <row r="703" spans="1:4" ht="16.5" hidden="1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313">
        <f>参数调整!$K$35*怪物掉落配置方案!$D4807</f>
        <v>8.2935780056712893</v>
      </c>
    </row>
    <row r="704" spans="1:4" ht="16.5" hidden="1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313">
        <f>参数调整!$K$35*怪物掉落配置方案!$D4808</f>
        <v>9.0529142855400568</v>
      </c>
    </row>
    <row r="705" spans="1:4" ht="16.5" hidden="1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313">
        <f>参数调整!$K$35*怪物掉落配置方案!$D4809</f>
        <v>3.0310221383877414</v>
      </c>
    </row>
    <row r="706" spans="1:4" ht="16.5" hidden="1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313">
        <f>参数调整!$K$35*怪物掉落配置方案!$D4810</f>
        <v>3.8361373938969856</v>
      </c>
    </row>
    <row r="707" spans="1:4" ht="16.5" hidden="1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313">
        <f>参数调整!$K$35*怪物掉落配置方案!$D4811</f>
        <v>4.7359720912308463</v>
      </c>
    </row>
    <row r="708" spans="1:4" ht="16.5" hidden="1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313">
        <f>参数调整!$K$35*怪物掉落配置方案!$D4812</f>
        <v>5.7305262303893238</v>
      </c>
    </row>
    <row r="709" spans="1:4" ht="16.5" hidden="1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313">
        <f>参数调整!$K$35*怪物掉落配置方案!$D4813</f>
        <v>6.8197998113724161</v>
      </c>
    </row>
    <row r="710" spans="1:4" ht="16.5" hidden="1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313">
        <f>参数调整!$K$35*怪物掉落配置方案!$D4814</f>
        <v>8.0037928341801283</v>
      </c>
    </row>
    <row r="711" spans="1:4" ht="16.5" hidden="1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313">
        <f>参数调整!$K$35*怪物掉落配置方案!$D4815</f>
        <v>9.2825052988124561</v>
      </c>
    </row>
    <row r="712" spans="1:4" ht="16.5" hidden="1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313">
        <f>参数调整!$K$35*怪物掉落配置方案!$D4816</f>
        <v>10.655937205269403</v>
      </c>
    </row>
    <row r="713" spans="1:4" ht="16.5" hidden="1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313">
        <f>参数调整!$K$35*怪物掉落配置方案!$D4817</f>
        <v>12.124088553550967</v>
      </c>
    </row>
    <row r="714" spans="1:4" ht="16.5" hidden="1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313">
        <f>参数调整!$K$35*怪物掉落配置方案!$D4818</f>
        <v>15.344549575587942</v>
      </c>
    </row>
    <row r="715" spans="1:4" ht="16.5" hidden="1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313">
        <f>参数调整!$K$35*怪物掉落配置方案!$D4819</f>
        <v>18.943888364923382</v>
      </c>
    </row>
    <row r="716" spans="1:4" ht="16.5" hidden="1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313">
        <f>参数调整!$K$35*怪物掉落配置方案!$D4820</f>
        <v>22.922104921557295</v>
      </c>
    </row>
    <row r="717" spans="1:4" ht="16.5" hidden="1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313">
        <f>参数调整!$K$35*怪物掉落配置方案!$D4821</f>
        <v>29.599825570192785</v>
      </c>
    </row>
    <row r="718" spans="1:4" ht="16.5" hidden="1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313">
        <f>参数调整!$K$35*怪物掉落配置方案!$D4822</f>
        <v>42.623748821077598</v>
      </c>
    </row>
    <row r="719" spans="1:4" ht="16.5" hidden="1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313">
        <f>参数调整!$K$35*怪物掉落配置方案!$D4823</f>
        <v>58.01565811757785</v>
      </c>
    </row>
    <row r="720" spans="1:4" ht="16.5" hidden="1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313">
        <f>参数调整!$K$35*怪物掉落配置方案!$D4824</f>
        <v>64.835457928950277</v>
      </c>
    </row>
    <row r="721" spans="1:4" ht="16.5" hidden="1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313">
        <f>参数调整!$K$35*怪物掉落配置方案!$D4825</f>
        <v>75.775553459693526</v>
      </c>
    </row>
    <row r="722" spans="1:4" ht="16.5" hidden="1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313">
        <f>参数调整!$K$35*怪物掉落配置方案!$D4826</f>
        <v>87.568123966858309</v>
      </c>
    </row>
    <row r="723" spans="1:4" ht="16.5" hidden="1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313">
        <f>参数调整!$K$35*怪物掉落配置方案!$D4827</f>
        <v>100.21316945044467</v>
      </c>
    </row>
    <row r="724" spans="1:4" ht="16.5" hidden="1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313">
        <f>参数调整!$K$35*怪物掉落配置方案!$D4828</f>
        <v>113.71068991045261</v>
      </c>
    </row>
    <row r="725" spans="1:4" ht="16.5" hidden="1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313">
        <f>参数调整!$K$35*怪物掉落配置方案!$D4829</f>
        <v>128.06068534688205</v>
      </c>
    </row>
    <row r="726" spans="1:4" ht="16.5" hidden="1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313">
        <f>参数调整!$K$35*怪物掉落配置方案!$D4830</f>
        <v>143.26315575973311</v>
      </c>
    </row>
    <row r="727" spans="1:4" ht="16.5" hidden="1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313">
        <f>参数调整!$K$35*怪物掉落配置方案!$D4831</f>
        <v>159.31810114900566</v>
      </c>
    </row>
    <row r="728" spans="1:4" ht="16.5" hidden="1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313">
        <f>参数调整!$K$35*怪物掉落配置方案!$D4832</f>
        <v>176.22552151469975</v>
      </c>
    </row>
    <row r="729" spans="1:4" ht="16.5" hidden="1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313">
        <f>参数调整!$K$35*怪物掉落配置方案!$D4833</f>
        <v>193.98541685681545</v>
      </c>
    </row>
    <row r="730" spans="1:4" ht="16.5" hidden="1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313">
        <f>参数调整!$K$35*怪物掉落配置方案!$D4834</f>
        <v>212.59778717535269</v>
      </c>
    </row>
    <row r="731" spans="1:4" ht="16.5" hidden="1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313">
        <f>参数调整!$K$35*怪物掉落配置方案!$D4835</f>
        <v>232.06263247031146</v>
      </c>
    </row>
    <row r="732" spans="1:4" ht="16.5" hidden="1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313">
        <f>参数调整!$K$35*怪物掉落配置方案!$D4836</f>
        <v>1.7870858872310463E-2</v>
      </c>
    </row>
    <row r="733" spans="1:4" ht="16.5" hidden="1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313">
        <f>参数调整!$K$35*怪物掉落配置方案!$D4837</f>
        <v>2.2617805760267937E-2</v>
      </c>
    </row>
    <row r="734" spans="1:4" ht="16.5" hidden="1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313">
        <f>参数调整!$K$35*怪物掉落配置方案!$D4838</f>
        <v>2.7923216987985097E-2</v>
      </c>
    </row>
    <row r="735" spans="1:4" ht="16.5" hidden="1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313">
        <f>参数调整!$K$35*怪物掉落配置方案!$D4839</f>
        <v>3.3787092555461973E-2</v>
      </c>
    </row>
    <row r="736" spans="1:4" ht="16.5" hidden="1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313">
        <f>参数调整!$K$35*怪物掉落配置方案!$D4840</f>
        <v>4.0209432462698529E-2</v>
      </c>
    </row>
    <row r="737" spans="1:4" ht="16.5" hidden="1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313">
        <f>参数调整!$K$35*怪物掉落配置方案!$D4841</f>
        <v>4.719023670969482E-2</v>
      </c>
    </row>
    <row r="738" spans="1:4" ht="16.5" hidden="1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313">
        <f>参数调整!$K$35*怪物掉落配置方案!$D4842</f>
        <v>5.4729505296450785E-2</v>
      </c>
    </row>
    <row r="739" spans="1:4" ht="16.5" hidden="1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313">
        <f>参数调整!$K$35*怪物掉落配置方案!$D4843</f>
        <v>6.2827238222966472E-2</v>
      </c>
    </row>
    <row r="740" spans="1:4" ht="16.5" hidden="1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313">
        <f>参数调整!$K$35*怪物掉落配置方案!$D4844</f>
        <v>7.1483435489241853E-2</v>
      </c>
    </row>
    <row r="741" spans="1:4" ht="16.5" hidden="1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313">
        <f>参数调整!$K$35*怪物掉落配置方案!$D4845</f>
        <v>9.0471223041071719E-2</v>
      </c>
    </row>
    <row r="742" spans="1:4" ht="16.5" hidden="1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313">
        <f>参数调整!$K$35*怪物掉落配置方案!$D4846</f>
        <v>0.11169286795194037</v>
      </c>
    </row>
    <row r="743" spans="1:4" ht="16.5" hidden="1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313">
        <f>参数调整!$K$35*怪物掉落配置方案!$D4847</f>
        <v>0.13514837022184786</v>
      </c>
    </row>
    <row r="744" spans="1:4" ht="16.5" hidden="1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313">
        <f>参数调整!$K$35*怪物掉落配置方案!$D4848</f>
        <v>0.17452010617490685</v>
      </c>
    </row>
    <row r="745" spans="1:4" ht="16.5" hidden="1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313">
        <f>参数调整!$K$35*怪物掉落配置方案!$D4849</f>
        <v>0.25130895289186583</v>
      </c>
    </row>
    <row r="746" spans="1:4" ht="16.5" hidden="1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313">
        <f>参数调整!$K$35*怪物掉落配置方案!$D4850</f>
        <v>0.34205940810281737</v>
      </c>
    </row>
    <row r="747" spans="1:4" ht="16.5" hidden="1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313">
        <f>参数调整!$K$35*怪物掉落配置方案!$D4851</f>
        <v>0.38226884056551602</v>
      </c>
    </row>
    <row r="748" spans="1:4" ht="16.5" hidden="1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313">
        <f>参数调整!$K$35*怪物掉落配置方案!$D4852</f>
        <v>0.4467714718077615</v>
      </c>
    </row>
    <row r="749" spans="1:4" ht="16.5" hidden="1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313">
        <f>参数调整!$K$35*怪物掉落配置方案!$D4853</f>
        <v>0.5163002821078444</v>
      </c>
    </row>
    <row r="750" spans="1:4" ht="16.5" hidden="1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313">
        <f>参数调整!$K$35*怪物掉落配置方案!$D4854</f>
        <v>0.59085527146576466</v>
      </c>
    </row>
    <row r="751" spans="1:4" ht="16.5" hidden="1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313">
        <f>参数调整!$K$35*怪物掉落配置方案!$D4855</f>
        <v>0.67043643988152235</v>
      </c>
    </row>
    <row r="752" spans="1:4" ht="16.5" hidden="1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313">
        <f>参数调整!$K$35*怪物掉落配置方案!$D4856</f>
        <v>0.75504378735511701</v>
      </c>
    </row>
    <row r="753" spans="1:4" ht="16.5" hidden="1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313">
        <f>参数调整!$K$35*怪物掉落配置方案!$D4857</f>
        <v>0.8446773138865491</v>
      </c>
    </row>
    <row r="754" spans="1:4" ht="16.5" hidden="1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313">
        <f>参数调整!$K$35*怪物掉落配置方案!$D4858</f>
        <v>0.93933701947581849</v>
      </c>
    </row>
    <row r="755" spans="1:4" ht="16.5" hidden="1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313">
        <f>参数调整!$K$35*怪物掉落配置方案!$D4859</f>
        <v>1.0390229041229251</v>
      </c>
    </row>
    <row r="756" spans="1:4" ht="16.5" hidden="1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313">
        <f>参数调整!$K$35*怪物掉落配置方案!$D4860</f>
        <v>1.1437349678278697</v>
      </c>
    </row>
    <row r="757" spans="1:4" ht="16.5" hidden="1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313">
        <f>参数调整!$K$35*怪物掉落配置方案!$D4861</f>
        <v>1.253473210590651</v>
      </c>
    </row>
    <row r="758" spans="1:4" ht="16.5" hidden="1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313">
        <f>参数调整!$K$35*怪物掉落配置方案!$D4862</f>
        <v>1.3682376324112697</v>
      </c>
    </row>
    <row r="759" spans="1:4" ht="16.5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313">
        <f>参数调整!$K$35*怪物掉落配置方案!$D4863</f>
        <v>333400</v>
      </c>
    </row>
    <row r="760" spans="1:4" ht="16.5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313">
        <f>参数调整!$K$35*怪物掉落配置方案!$D4864</f>
        <v>532400</v>
      </c>
    </row>
    <row r="761" spans="1:4" ht="16.5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313">
        <f>参数调整!$K$35*怪物掉落配置方案!$D4865</f>
        <v>866600</v>
      </c>
    </row>
    <row r="762" spans="1:4" ht="16.5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313">
        <f>参数调整!$K$35*怪物掉落配置方案!$D4866</f>
        <v>1083400</v>
      </c>
    </row>
    <row r="763" spans="1:4" ht="16.5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313">
        <f>参数调整!$K$35*怪物掉落配置方案!$D4867</f>
        <v>1088800</v>
      </c>
    </row>
    <row r="764" spans="1:4" ht="16.5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313">
        <f>参数调整!$K$35*怪物掉落配置方案!$D4868</f>
        <v>1114800</v>
      </c>
    </row>
    <row r="765" spans="1:4" ht="16.5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313">
        <f>参数调整!$K$35*怪物掉落配置方案!$D4869</f>
        <v>1258200</v>
      </c>
    </row>
    <row r="766" spans="1:4" ht="16.5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313">
        <f>参数调整!$K$35*怪物掉落配置方案!$D4870</f>
        <v>2016200</v>
      </c>
    </row>
    <row r="767" spans="1:4" ht="16.5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313">
        <f>参数调整!$K$35*怪物掉落配置方案!$D4871</f>
        <v>3467000</v>
      </c>
    </row>
    <row r="768" spans="1:4" ht="16.5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313">
        <f>参数调整!$K$35*怪物掉落配置方案!$D4872</f>
        <v>4079400</v>
      </c>
    </row>
    <row r="769" spans="1:4" ht="16.5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313">
        <f>参数调整!$K$35*怪物掉落配置方案!$D4873</f>
        <v>6300000</v>
      </c>
    </row>
    <row r="770" spans="1:4" ht="16.5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313">
        <f>参数调整!$K$35*怪物掉落配置方案!$D4874</f>
        <v>6511200</v>
      </c>
    </row>
    <row r="771" spans="1:4" ht="16.5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313">
        <f>参数调整!$K$35*怪物掉落配置方案!$D4875</f>
        <v>25962800</v>
      </c>
    </row>
    <row r="772" spans="1:4" ht="16.5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313">
        <f>参数调整!$K$35*怪物掉落配置方案!$D4876</f>
        <v>88883400</v>
      </c>
    </row>
    <row r="773" spans="1:4" ht="16.5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313">
        <f>参数调整!$K$35*怪物掉落配置方案!$D4877</f>
        <v>1073677800</v>
      </c>
    </row>
    <row r="774" spans="1:4" ht="16.5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313">
        <f>参数调整!$K$35*怪物掉落配置方案!$D4878</f>
        <v>976293400</v>
      </c>
    </row>
    <row r="775" spans="1:4" ht="16.5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313">
        <f>参数调整!$K$35*怪物掉落配置方案!$D4879</f>
        <v>1166666600</v>
      </c>
    </row>
    <row r="776" spans="1:4" ht="16.5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313">
        <f>参数调整!$K$35*怪物掉落配置方案!$D4880</f>
        <v>233333400</v>
      </c>
    </row>
    <row r="777" spans="1:4" ht="16.5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313">
        <f>参数调整!$K$35*怪物掉落配置方案!$D4881</f>
        <v>233333400</v>
      </c>
    </row>
    <row r="778" spans="1:4" ht="16.5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313">
        <f>参数调整!$K$35*怪物掉落配置方案!$D4882</f>
        <v>233333400</v>
      </c>
    </row>
    <row r="779" spans="1:4" ht="16.5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313">
        <f>参数调整!$K$35*怪物掉落配置方案!$D4883</f>
        <v>233333400</v>
      </c>
    </row>
    <row r="780" spans="1:4" ht="16.5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313">
        <f>参数调整!$K$35*怪物掉落配置方案!$D4884</f>
        <v>233333400</v>
      </c>
    </row>
    <row r="781" spans="1:4" ht="16.5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313">
        <f>参数调整!$K$35*怪物掉落配置方案!$D4885</f>
        <v>116666600</v>
      </c>
    </row>
    <row r="782" spans="1:4" ht="16.5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313">
        <f>参数调整!$K$35*怪物掉落配置方案!$D4886</f>
        <v>116666600</v>
      </c>
    </row>
    <row r="783" spans="1:4" ht="16.5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313">
        <f>参数调整!$K$35*怪物掉落配置方案!$D4887</f>
        <v>116666600</v>
      </c>
    </row>
    <row r="784" spans="1:4" ht="16.5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313">
        <f>参数调整!$K$35*怪物掉落配置方案!$D4888</f>
        <v>116666600</v>
      </c>
    </row>
    <row r="785" spans="1:4" ht="16.5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313">
        <f>参数调整!$K$35*怪物掉落配置方案!$D4889</f>
        <v>116666600</v>
      </c>
    </row>
    <row r="786" spans="1:4" ht="16.5" hidden="1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313">
        <f>参数调整!$K$35*怪物掉落配置方案!$D4890</f>
        <v>0.10377022511825015</v>
      </c>
    </row>
    <row r="787" spans="1:4" ht="16.5" hidden="1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313">
        <f>参数调整!$K$35*怪物掉落配置方案!$D4891</f>
        <v>0.13133419116528539</v>
      </c>
    </row>
    <row r="788" spans="1:4" ht="16.5" hidden="1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313">
        <f>参数调整!$K$35*怪物掉落配置方案!$D4892</f>
        <v>0.16214097674726585</v>
      </c>
    </row>
    <row r="789" spans="1:4" ht="16.5" hidden="1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313">
        <f>参数调整!$K$35*怪物掉落配置方案!$D4893</f>
        <v>0.19619058186419172</v>
      </c>
    </row>
    <row r="790" spans="1:4" ht="16.5" hidden="1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313">
        <f>参数调整!$K$35*怪物掉落配置方案!$D4894</f>
        <v>0.23348300651606282</v>
      </c>
    </row>
    <row r="791" spans="1:4" ht="16.5" hidden="1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313">
        <f>参数调整!$K$35*怪物掉落配置方案!$D4895</f>
        <v>0.27401825070287938</v>
      </c>
    </row>
    <row r="792" spans="1:4" ht="16.5" hidden="1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313">
        <f>参数调整!$K$35*怪物掉落配置方案!$D4896</f>
        <v>0.31779631442464107</v>
      </c>
    </row>
    <row r="793" spans="1:4" ht="16.5" hidden="1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313">
        <f>参数调整!$K$35*怪物掉落配置方案!$D4897</f>
        <v>0.36481719768134818</v>
      </c>
    </row>
    <row r="794" spans="1:4" ht="16.5" hidden="1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313">
        <f>参数调整!$K$35*怪物掉落配置方案!$D4898</f>
        <v>0.41508090047300072</v>
      </c>
    </row>
    <row r="795" spans="1:4" ht="16.5" hidden="1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313">
        <f>参数调整!$K$35*怪物掉落配置方案!$D4899</f>
        <v>0.52533676466114143</v>
      </c>
    </row>
    <row r="796" spans="1:4" ht="16.5" hidden="1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313">
        <f>参数调整!$K$35*怪物掉落配置方案!$D4900</f>
        <v>0.64856390698906341</v>
      </c>
    </row>
    <row r="797" spans="1:4" ht="16.5" hidden="1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313">
        <f>参数调整!$K$35*怪物掉落配置方案!$D4901</f>
        <v>0.78476232745676688</v>
      </c>
    </row>
    <row r="798" spans="1:4" ht="16.5" hidden="1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313">
        <f>参数调整!$K$35*怪物掉落配置方案!$D4902</f>
        <v>1.0133811046704118</v>
      </c>
    </row>
    <row r="799" spans="1:4" ht="16.5" hidden="1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313">
        <f>参数调整!$K$35*怪物掉落配置方案!$D4903</f>
        <v>1.4592687907253925</v>
      </c>
    </row>
    <row r="800" spans="1:4" ht="16.5" hidden="1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313">
        <f>参数调整!$K$35*怪物掉落配置方案!$D4904</f>
        <v>1.9862269651540068</v>
      </c>
    </row>
    <row r="801" spans="1:4" ht="16.5" hidden="1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313">
        <f>参数调整!$K$35*怪物掉落配置方案!$D4905</f>
        <v>2.2197099716700701</v>
      </c>
    </row>
    <row r="802" spans="1:4" ht="16.5" hidden="1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313">
        <f>参数调整!$K$35*怪物掉落配置方案!$D4906</f>
        <v>2.5942556279562536</v>
      </c>
    </row>
    <row r="803" spans="1:4" ht="16.5" hidden="1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313">
        <f>参数调整!$K$35*怪物掉落配置方案!$D4907</f>
        <v>2.9979866600569456</v>
      </c>
    </row>
    <row r="804" spans="1:4" ht="16.5" hidden="1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313">
        <f>参数调整!$K$35*怪物掉落配置方案!$D4908</f>
        <v>3.4309030679721455</v>
      </c>
    </row>
    <row r="805" spans="1:4" ht="16.5" hidden="1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313">
        <f>参数调整!$K$35*怪物掉落配置方案!$D4909</f>
        <v>3.8930048517018547</v>
      </c>
    </row>
    <row r="806" spans="1:4" ht="16.5" hidden="1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313">
        <f>参数调整!$K$35*怪物掉落配置方案!$D4910</f>
        <v>4.3842920112460684</v>
      </c>
    </row>
    <row r="807" spans="1:4" ht="16.5" hidden="1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313">
        <f>参数调整!$K$35*怪物掉落配置方案!$D4911</f>
        <v>4.9047645466047927</v>
      </c>
    </row>
    <row r="808" spans="1:4" ht="16.5" hidden="1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313">
        <f>参数调整!$K$35*怪物掉落配置方案!$D4912</f>
        <v>5.4544224577780236</v>
      </c>
    </row>
    <row r="809" spans="1:4" ht="16.5" hidden="1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313">
        <f>参数调整!$K$35*怪物掉落配置方案!$D4913</f>
        <v>6.0332657447657621</v>
      </c>
    </row>
    <row r="810" spans="1:4" ht="16.5" hidden="1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313">
        <f>参数调整!$K$35*怪物掉落配置方案!$D4914</f>
        <v>6.6412944075680098</v>
      </c>
    </row>
    <row r="811" spans="1:4" ht="16.5" hidden="1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313">
        <f>参数调整!$K$35*怪物掉落配置方案!$D4915</f>
        <v>7.2785084461847642</v>
      </c>
    </row>
    <row r="812" spans="1:4" ht="16.5" hidden="1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313">
        <f>参数调整!$K$35*怪物掉落配置方案!$D4916</f>
        <v>7.9449078606160279</v>
      </c>
    </row>
    <row r="813" spans="1:4" ht="16.5" hidden="1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313">
        <f>参数调整!$K$35*怪物掉落配置方案!$D4917</f>
        <v>0</v>
      </c>
    </row>
    <row r="814" spans="1:4" ht="16.5" hidden="1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313">
        <f>参数调整!$K$35*怪物掉落配置方案!$D4918</f>
        <v>0</v>
      </c>
    </row>
    <row r="815" spans="1:4" ht="16.5" hidden="1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313">
        <f>参数调整!$K$35*怪物掉落配置方案!$D4919</f>
        <v>0</v>
      </c>
    </row>
    <row r="816" spans="1:4" ht="16.5" hidden="1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313">
        <f>参数调整!$K$35*怪物掉落配置方案!$D4920</f>
        <v>0</v>
      </c>
    </row>
    <row r="817" spans="1:4" ht="16.5" hidden="1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313">
        <f>参数调整!$K$35*怪物掉落配置方案!$D4921</f>
        <v>0</v>
      </c>
    </row>
    <row r="818" spans="1:4" ht="16.5" hidden="1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313">
        <f>参数调整!$K$35*怪物掉落配置方案!$D4922</f>
        <v>0</v>
      </c>
    </row>
    <row r="819" spans="1:4" ht="16.5" hidden="1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313">
        <f>参数调整!$K$35*怪物掉落配置方案!$D4923</f>
        <v>0</v>
      </c>
    </row>
    <row r="820" spans="1:4" ht="16.5" hidden="1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313">
        <f>参数调整!$K$35*怪物掉落配置方案!$D4924</f>
        <v>0</v>
      </c>
    </row>
    <row r="821" spans="1:4" ht="16.5" hidden="1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313">
        <f>参数调整!$K$35*怪物掉落配置方案!$D4925</f>
        <v>0</v>
      </c>
    </row>
    <row r="822" spans="1:4" ht="16.5" hidden="1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313">
        <f>参数调整!$K$35*怪物掉落配置方案!$D4926</f>
        <v>0</v>
      </c>
    </row>
    <row r="823" spans="1:4" ht="16.5" hidden="1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313">
        <f>参数调整!$K$35*怪物掉落配置方案!$D4927</f>
        <v>0</v>
      </c>
    </row>
    <row r="824" spans="1:4" ht="16.5" hidden="1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313">
        <f>参数调整!$K$35*怪物掉落配置方案!$D4928</f>
        <v>0</v>
      </c>
    </row>
    <row r="825" spans="1:4" ht="16.5" hidden="1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313">
        <f>参数调整!$K$35*怪物掉落配置方案!$D4929</f>
        <v>0</v>
      </c>
    </row>
    <row r="826" spans="1:4" ht="16.5" hidden="1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313">
        <f>参数调整!$K$35*怪物掉落配置方案!$D4930</f>
        <v>0</v>
      </c>
    </row>
    <row r="827" spans="1:4" ht="16.5" hidden="1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313">
        <f>参数调整!$K$35*怪物掉落配置方案!$D4931</f>
        <v>0</v>
      </c>
    </row>
    <row r="828" spans="1:4" ht="16.5" hidden="1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313">
        <f>参数调整!$K$35*怪物掉落配置方案!$D4932</f>
        <v>0</v>
      </c>
    </row>
    <row r="829" spans="1:4" ht="16.5" hidden="1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313">
        <f>参数调整!$K$35*怪物掉落配置方案!$D4933</f>
        <v>0</v>
      </c>
    </row>
    <row r="830" spans="1:4" ht="16.5" hidden="1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313">
        <f>参数调整!$K$35*怪物掉落配置方案!$D4934</f>
        <v>0</v>
      </c>
    </row>
    <row r="831" spans="1:4" ht="16.5" hidden="1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313">
        <f>参数调整!$K$35*怪物掉落配置方案!$D4935</f>
        <v>0</v>
      </c>
    </row>
    <row r="832" spans="1:4" ht="16.5" hidden="1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313">
        <f>参数调整!$K$35*怪物掉落配置方案!$D4936</f>
        <v>0</v>
      </c>
    </row>
    <row r="833" spans="1:4" ht="16.5" hidden="1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313">
        <f>参数调整!$K$35*怪物掉落配置方案!$D4937</f>
        <v>0</v>
      </c>
    </row>
    <row r="834" spans="1:4" ht="16.5" hidden="1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313">
        <f>参数调整!$K$35*怪物掉落配置方案!$D4938</f>
        <v>0</v>
      </c>
    </row>
    <row r="835" spans="1:4" ht="16.5" hidden="1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313">
        <f>参数调整!$K$35*怪物掉落配置方案!$D4939</f>
        <v>0</v>
      </c>
    </row>
    <row r="836" spans="1:4" ht="16.5" hidden="1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313">
        <f>参数调整!$K$35*怪物掉落配置方案!$D4940</f>
        <v>0</v>
      </c>
    </row>
    <row r="837" spans="1:4" ht="16.5" hidden="1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313">
        <f>参数调整!$K$35*怪物掉落配置方案!$D4941</f>
        <v>0</v>
      </c>
    </row>
    <row r="838" spans="1:4" ht="16.5" hidden="1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313">
        <f>参数调整!$K$35*怪物掉落配置方案!$D4942</f>
        <v>0</v>
      </c>
    </row>
    <row r="839" spans="1:4" ht="16.5" hidden="1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313">
        <f>参数调整!$K$35*怪物掉落配置方案!$D4943</f>
        <v>0</v>
      </c>
    </row>
    <row r="840" spans="1:4" ht="16.5" hidden="1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313">
        <f>参数调整!$K$35*怪物掉落配置方案!$D4944</f>
        <v>4.9232587948801428E-2</v>
      </c>
    </row>
    <row r="841" spans="1:4" ht="16.5" hidden="1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313">
        <f>参数调整!$K$35*怪物掉落配置方案!$D4945</f>
        <v>6.2309994122701821E-2</v>
      </c>
    </row>
    <row r="842" spans="1:4" ht="16.5" hidden="1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313">
        <f>参数调整!$K$35*怪物掉落配置方案!$D4946</f>
        <v>7.6925918670002216E-2</v>
      </c>
    </row>
    <row r="843" spans="1:4" ht="16.5" hidden="1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313">
        <f>参数调整!$K$35*怪物掉落配置方案!$D4947</f>
        <v>9.3080361590702695E-2</v>
      </c>
    </row>
    <row r="844" spans="1:4" ht="16.5" hidden="1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313">
        <f>参数调整!$K$35*怪物掉落配置方案!$D4948</f>
        <v>0.1107733228848032</v>
      </c>
    </row>
    <row r="845" spans="1:4" ht="16.5" hidden="1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313">
        <f>参数调整!$K$35*怪物掉落配置方案!$D4949</f>
        <v>0.13000480255230376</v>
      </c>
    </row>
    <row r="846" spans="1:4" ht="16.5" hidden="1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313">
        <f>参数调整!$K$35*怪物掉落配置方案!$D4950</f>
        <v>0.15077480059320433</v>
      </c>
    </row>
    <row r="847" spans="1:4" ht="16.5" hidden="1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313">
        <f>参数调整!$K$35*怪物掉落配置方案!$D4951</f>
        <v>0.17308331700750498</v>
      </c>
    </row>
    <row r="848" spans="1:4" ht="16.5" hidden="1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313">
        <f>参数调整!$K$35*怪物掉落配置方案!$D4952</f>
        <v>0.19693035179520574</v>
      </c>
    </row>
    <row r="849" spans="1:4" ht="16.5" hidden="1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313">
        <f>参数调整!$K$35*怪物掉落配置方案!$D4953</f>
        <v>0.2492399764908072</v>
      </c>
    </row>
    <row r="850" spans="1:4" ht="16.5" hidden="1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313">
        <f>参数调整!$K$35*怪物掉落配置方案!$D4954</f>
        <v>0.30770367468000887</v>
      </c>
    </row>
    <row r="851" spans="1:4" ht="16.5" hidden="1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313">
        <f>参数调整!$K$35*怪物掉落配置方案!$D4955</f>
        <v>0.37232144636281078</v>
      </c>
    </row>
    <row r="852" spans="1:4" ht="16.5" hidden="1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313">
        <f>参数调整!$K$35*怪物掉落配置方案!$D4956</f>
        <v>0.48078699168751388</v>
      </c>
    </row>
    <row r="853" spans="1:4" ht="16.5" hidden="1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313">
        <f>参数调整!$K$35*怪物掉落配置方案!$D4957</f>
        <v>0.69233326803001993</v>
      </c>
    </row>
    <row r="854" spans="1:4" ht="16.5" hidden="1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313">
        <f>参数调整!$K$35*怪物掉落配置方案!$D4958</f>
        <v>0.94234250370752703</v>
      </c>
    </row>
    <row r="855" spans="1:4" ht="16.5" hidden="1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313">
        <f>参数调整!$K$35*怪物掉落配置方案!$D4959</f>
        <v>1.0531158265923304</v>
      </c>
    </row>
    <row r="856" spans="1:4" ht="16.5" hidden="1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313">
        <f>参数调整!$K$35*怪物掉落配置方案!$D4960</f>
        <v>1.2308146987200355</v>
      </c>
    </row>
    <row r="857" spans="1:4" ht="16.5" hidden="1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313">
        <f>参数调整!$K$35*怪物掉落配置方案!$D4961</f>
        <v>1.422360236208341</v>
      </c>
    </row>
    <row r="858" spans="1:4" ht="16.5" hidden="1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313">
        <f>参数调整!$K$35*怪物掉落配置方案!$D4962</f>
        <v>1.6277524390572469</v>
      </c>
    </row>
    <row r="859" spans="1:4" ht="16.5" hidden="1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313">
        <f>参数调整!$K$35*怪物掉落配置方案!$D4963</f>
        <v>1.8469913072667536</v>
      </c>
    </row>
    <row r="860" spans="1:4" ht="16.5" hidden="1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313">
        <f>参数调整!$K$35*怪物掉落配置方案!$D4964</f>
        <v>2.0800768408368602</v>
      </c>
    </row>
    <row r="861" spans="1:4" ht="16.5" hidden="1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313">
        <f>参数调整!$K$35*怪物掉落配置方案!$D4965</f>
        <v>2.3270090397675673</v>
      </c>
    </row>
    <row r="862" spans="1:4" ht="16.5" hidden="1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313">
        <f>参数调整!$K$35*怪物掉落配置方案!$D4966</f>
        <v>2.5877879040588745</v>
      </c>
    </row>
    <row r="863" spans="1:4" ht="16.5" hidden="1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313">
        <f>参数调整!$K$35*怪物掉落配置方案!$D4967</f>
        <v>2.8624134337107821</v>
      </c>
    </row>
    <row r="864" spans="1:4" ht="16.5" hidden="1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313">
        <f>参数调整!$K$35*怪物掉落配置方案!$D4968</f>
        <v>3.1508856287232914</v>
      </c>
    </row>
    <row r="865" spans="1:4" ht="16.5" hidden="1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313">
        <f>参数调整!$K$35*怪物掉落配置方案!$D4969</f>
        <v>3.4532044890964002</v>
      </c>
    </row>
    <row r="866" spans="1:4" ht="16.5" hidden="1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313">
        <f>参数调整!$K$35*怪物掉落配置方案!$D4970</f>
        <v>3.769370014830109</v>
      </c>
    </row>
    <row r="867" spans="1:4" ht="16.5" hidden="1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313">
        <f>参数调整!$K$35*怪物掉落配置方案!$D4971</f>
        <v>1.3000294096767977</v>
      </c>
    </row>
    <row r="868" spans="1:4" ht="16.5" hidden="1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313">
        <f>参数调整!$K$35*怪物掉落配置方案!$D4972</f>
        <v>1.6453497216221975</v>
      </c>
    </row>
    <row r="869" spans="1:4" ht="16.5" hidden="1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313">
        <f>参数调整!$K$35*怪物掉落配置方案!$D4973</f>
        <v>2.0312959526199967</v>
      </c>
    </row>
    <row r="870" spans="1:4" ht="16.5" hidden="1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313">
        <f>参数调整!$K$35*怪物掉落配置方案!$D4974</f>
        <v>2.4578681026701963</v>
      </c>
    </row>
    <row r="871" spans="1:4" ht="16.5" hidden="1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313">
        <f>参数调整!$K$35*怪物掉落配置方案!$D4975</f>
        <v>2.9250661717727944</v>
      </c>
    </row>
    <row r="872" spans="1:4" ht="16.5" hidden="1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313">
        <f>参数调整!$K$35*怪物掉落配置方案!$D4976</f>
        <v>3.432890159927795</v>
      </c>
    </row>
    <row r="873" spans="1:4" ht="16.5" hidden="1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313">
        <f>参数调整!$K$35*怪物掉落配置方案!$D4977</f>
        <v>3.9813400671351933</v>
      </c>
    </row>
    <row r="874" spans="1:4" ht="16.5" hidden="1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313">
        <f>参数调整!$K$35*怪物掉落配置方案!$D4978</f>
        <v>4.5704158933949923</v>
      </c>
    </row>
    <row r="875" spans="1:4" ht="16.5" hidden="1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313">
        <f>参数调整!$K$35*怪物掉落配置方案!$D4979</f>
        <v>5.2001176387071926</v>
      </c>
    </row>
    <row r="876" spans="1:4" ht="16.5" hidden="1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313">
        <f>参数调整!$K$35*怪物掉落配置方案!$D4980</f>
        <v>6.58139888648879</v>
      </c>
    </row>
    <row r="877" spans="1:4" ht="16.5" hidden="1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313">
        <f>参数调整!$K$35*怪物掉落配置方案!$D4981</f>
        <v>8.1251838104799834</v>
      </c>
    </row>
    <row r="878" spans="1:4" ht="16.5" hidden="1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313">
        <f>参数调整!$K$35*怪物掉落配置方案!$D4982</f>
        <v>9.8314724106807851</v>
      </c>
    </row>
    <row r="879" spans="1:4" ht="16.5" hidden="1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313">
        <f>参数调整!$K$35*怪物掉落配置方案!$D4983</f>
        <v>12.695599703874977</v>
      </c>
    </row>
    <row r="880" spans="1:4" ht="16.5" hidden="1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313">
        <f>参数调整!$K$35*怪物掉落配置方案!$D4984</f>
        <v>18.281663573579966</v>
      </c>
    </row>
    <row r="881" spans="1:4" ht="16.5" hidden="1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313">
        <f>参数调整!$K$35*怪物掉落配置方案!$D4985</f>
        <v>24.883375419594955</v>
      </c>
    </row>
    <row r="882" spans="1:4" ht="16.5" hidden="1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313">
        <f>参数调整!$K$35*怪物掉落配置方案!$D4986</f>
        <v>27.808441591367757</v>
      </c>
    </row>
    <row r="883" spans="1:4" ht="16.5" hidden="1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313">
        <f>参数调整!$K$35*怪物掉落配置方案!$D4987</f>
        <v>32.500735241919934</v>
      </c>
    </row>
    <row r="884" spans="1:4" ht="16.5" hidden="1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313">
        <f>参数调整!$K$35*怪物掉落配置方案!$D4988</f>
        <v>37.55866216394373</v>
      </c>
    </row>
    <row r="885" spans="1:4" ht="16.5" hidden="1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313">
        <f>参数调整!$K$35*怪物掉落配置方案!$D4989</f>
        <v>42.98222235743912</v>
      </c>
    </row>
    <row r="886" spans="1:4" ht="16.5" hidden="1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313">
        <f>参数调整!$K$35*怪物掉落配置方案!$D4990</f>
        <v>48.771415822406119</v>
      </c>
    </row>
    <row r="887" spans="1:4" ht="16.5" hidden="1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313">
        <f>参数调整!$K$35*怪物掉落配置方案!$D4991</f>
        <v>54.926242558844706</v>
      </c>
    </row>
    <row r="888" spans="1:4" ht="16.5" hidden="1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313">
        <f>参数调整!$K$35*怪物掉落配置方案!$D4992</f>
        <v>61.446702566754894</v>
      </c>
    </row>
    <row r="889" spans="1:4" ht="16.5" hidden="1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313">
        <f>参数调整!$K$35*怪物掉落配置方案!$D4993</f>
        <v>68.33279584613669</v>
      </c>
    </row>
    <row r="890" spans="1:4" ht="16.5" hidden="1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313">
        <f>参数调整!$K$35*怪物掉落配置方案!$D4994</f>
        <v>75.584522396990067</v>
      </c>
    </row>
    <row r="891" spans="1:4" ht="16.5" hidden="1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313">
        <f>参数调整!$K$35*怪物掉落配置方案!$D4995</f>
        <v>83.201882219315053</v>
      </c>
    </row>
    <row r="892" spans="1:4" ht="16.5" hidden="1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313">
        <f>参数调整!$K$35*怪物掉落配置方案!$D4996</f>
        <v>91.184875313111633</v>
      </c>
    </row>
    <row r="893" spans="1:4" ht="16.5" hidden="1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313">
        <f>参数调整!$K$35*怪物掉落配置方案!$D4997</f>
        <v>99.533501678379849</v>
      </c>
    </row>
    <row r="894" spans="1:4" ht="16.5" hidden="1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313">
        <f>参数调整!$K$35*怪物掉落配置方案!$D4998</f>
        <v>6.4984941353856242E-4</v>
      </c>
    </row>
    <row r="895" spans="1:4" ht="16.5" hidden="1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313">
        <f>参数调整!$K$35*怪物掉落配置方案!$D4999</f>
        <v>8.22465664009743E-4</v>
      </c>
    </row>
    <row r="896" spans="1:4" ht="16.5" hidden="1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313">
        <f>参数调整!$K$35*怪物掉落配置方案!$D5000</f>
        <v>1.0153897086540035E-3</v>
      </c>
    </row>
    <row r="897" spans="1:4" ht="16.5" hidden="1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313">
        <f>参数调整!$K$35*怪物掉落配置方案!$D5001</f>
        <v>1.2286215474713444E-3</v>
      </c>
    </row>
    <row r="898" spans="1:4" ht="16.5" hidden="1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313">
        <f>参数调整!$K$35*怪物掉落配置方案!$D5002</f>
        <v>1.4621611804617649E-3</v>
      </c>
    </row>
    <row r="899" spans="1:4" ht="16.5" hidden="1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313">
        <f>参数调整!$K$35*怪物掉落配置方案!$D5003</f>
        <v>1.7160086076252665E-3</v>
      </c>
    </row>
    <row r="900" spans="1:4" ht="16.5" hidden="1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313">
        <f>参数调整!$K$35*怪物掉落配置方案!$D5004</f>
        <v>1.9901638289618467E-3</v>
      </c>
    </row>
    <row r="901" spans="1:4" ht="16.5" hidden="1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313">
        <f>参数调整!$K$35*怪物掉落配置方案!$D5005</f>
        <v>2.284626844471508E-3</v>
      </c>
    </row>
    <row r="902" spans="1:4" ht="16.5" hidden="1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313">
        <f>参数调整!$K$35*怪物掉落配置方案!$D5006</f>
        <v>2.5993976541542497E-3</v>
      </c>
    </row>
    <row r="903" spans="1:4" ht="16.5" hidden="1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313">
        <f>参数调整!$K$35*怪物掉落配置方案!$D5007</f>
        <v>3.289862656038972E-3</v>
      </c>
    </row>
    <row r="904" spans="1:4" ht="16.5" hidden="1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313">
        <f>参数调整!$K$35*怪物掉落配置方案!$D5008</f>
        <v>4.0615588346160142E-3</v>
      </c>
    </row>
    <row r="905" spans="1:4" ht="16.5" hidden="1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313">
        <f>参数调整!$K$35*怪物掉落配置方案!$D5009</f>
        <v>4.9144861898853774E-3</v>
      </c>
    </row>
    <row r="906" spans="1:4" ht="16.5" hidden="1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313">
        <f>参数调整!$K$35*怪物掉落配置方案!$D5010</f>
        <v>6.3461856790875222E-3</v>
      </c>
    </row>
    <row r="907" spans="1:4" ht="16.5" hidden="1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313">
        <f>参数调整!$K$35*怪物掉落配置方案!$D5011</f>
        <v>9.1385073778860303E-3</v>
      </c>
    </row>
    <row r="908" spans="1:4" ht="16.5" hidden="1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313">
        <f>参数调整!$K$35*怪物掉落配置方案!$D5012</f>
        <v>1.2438523931011539E-2</v>
      </c>
    </row>
    <row r="909" spans="1:4" ht="16.5" hidden="1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313">
        <f>参数调整!$K$35*怪物掉落配置方案!$D5013</f>
        <v>1.3900685111473311E-2</v>
      </c>
    </row>
    <row r="910" spans="1:4" ht="16.5" hidden="1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313">
        <f>参数调整!$K$35*怪物掉落配置方案!$D5014</f>
        <v>1.6246235338464057E-2</v>
      </c>
    </row>
    <row r="911" spans="1:4" ht="16.5" hidden="1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313">
        <f>参数调整!$K$35*怪物掉落配置方案!$D5015</f>
        <v>1.8774555713012526E-2</v>
      </c>
    </row>
    <row r="912" spans="1:4" ht="16.5" hidden="1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313">
        <f>参数调整!$K$35*怪物掉落配置方案!$D5016</f>
        <v>2.1485646235118713E-2</v>
      </c>
    </row>
    <row r="913" spans="1:4" ht="16.5" hidden="1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313">
        <f>参数调整!$K$35*怪物掉落配置方案!$D5017</f>
        <v>2.4379506904782633E-2</v>
      </c>
    </row>
    <row r="914" spans="1:4" ht="16.5" hidden="1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313">
        <f>参数调整!$K$35*怪物掉落配置方案!$D5018</f>
        <v>2.7456137722004257E-2</v>
      </c>
    </row>
    <row r="915" spans="1:4" ht="16.5" hidden="1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313">
        <f>参数调整!$K$35*怪物掉落配置方案!$D5019</f>
        <v>3.071553868678361E-2</v>
      </c>
    </row>
    <row r="916" spans="1:4" ht="16.5" hidden="1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313">
        <f>参数调整!$K$35*怪物掉落配置方案!$D5020</f>
        <v>3.4157709799120674E-2</v>
      </c>
    </row>
    <row r="917" spans="1:4" ht="16.5" hidden="1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313">
        <f>参数调整!$K$35*怪物掉落配置方案!$D5021</f>
        <v>3.778265105901546E-2</v>
      </c>
    </row>
    <row r="918" spans="1:4" ht="16.5" hidden="1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313">
        <f>参数调整!$K$35*怪物掉落配置方案!$D5022</f>
        <v>4.1590362466467995E-2</v>
      </c>
    </row>
    <row r="919" spans="1:4" ht="16.5" hidden="1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313">
        <f>参数调整!$K$35*怪物掉落配置方案!$D5023</f>
        <v>4.5580844021478217E-2</v>
      </c>
    </row>
    <row r="920" spans="1:4" ht="16.5" hidden="1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313">
        <f>参数调整!$K$35*怪物掉落配置方案!$D5024</f>
        <v>4.9754095724046182E-2</v>
      </c>
    </row>
    <row r="921" spans="1:4" ht="16.5" hidden="1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313">
        <f>参数调整!$K$35*怪物掉落配置方案!$D5025</f>
        <v>0.17870858872310463</v>
      </c>
    </row>
    <row r="922" spans="1:4" ht="16.5" hidden="1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313">
        <f>参数调整!$K$35*怪物掉落配置方案!$D5026</f>
        <v>0.22617805760267931</v>
      </c>
    </row>
    <row r="923" spans="1:4" ht="16.5" hidden="1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313">
        <f>参数调整!$K$35*怪物掉落配置方案!$D5027</f>
        <v>0.27923216987985094</v>
      </c>
    </row>
    <row r="924" spans="1:4" ht="16.5" hidden="1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313">
        <f>参数调整!$K$35*怪物掉落配置方案!$D5028</f>
        <v>0.33787092555461967</v>
      </c>
    </row>
    <row r="925" spans="1:4" ht="16.5" hidden="1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313">
        <f>参数调整!$K$35*怪物掉落配置方案!$D5029</f>
        <v>0.40209432462698536</v>
      </c>
    </row>
    <row r="926" spans="1:4" ht="16.5" hidden="1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313">
        <f>参数调整!$K$35*怪物掉落配置方案!$D5030</f>
        <v>0.47190236709694816</v>
      </c>
    </row>
    <row r="927" spans="1:4" ht="16.5" hidden="1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313">
        <f>参数调整!$K$35*怪物掉落配置方案!$D5031</f>
        <v>0.54729505296450776</v>
      </c>
    </row>
    <row r="928" spans="1:4" ht="16.5" hidden="1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313">
        <f>参数调整!$K$35*怪物掉落配置方案!$D5032</f>
        <v>0.62827238222966475</v>
      </c>
    </row>
    <row r="929" spans="1:4" ht="16.5" hidden="1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313">
        <f>参数调整!$K$35*怪物掉落配置方案!$D5033</f>
        <v>0.71483435489241853</v>
      </c>
    </row>
    <row r="930" spans="1:4" ht="16.5" hidden="1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313">
        <f>参数调整!$K$35*怪物掉落配置方案!$D5034</f>
        <v>0.90471223041071724</v>
      </c>
    </row>
    <row r="931" spans="1:4" ht="16.5" hidden="1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313">
        <f>参数调整!$K$35*怪物掉落配置方案!$D5035</f>
        <v>1.1169286795194038</v>
      </c>
    </row>
    <row r="932" spans="1:4" ht="16.5" hidden="1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313">
        <f>参数调整!$K$35*怪物掉落配置方案!$D5036</f>
        <v>1.3514837022184789</v>
      </c>
    </row>
    <row r="933" spans="1:4" ht="16.5" hidden="1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313">
        <f>参数调整!$K$35*怪物掉落配置方案!$D5037</f>
        <v>1.7452010617490687</v>
      </c>
    </row>
    <row r="934" spans="1:4" ht="16.5" hidden="1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313">
        <f>参数调整!$K$35*怪物掉落配置方案!$D5038</f>
        <v>2.5130895289186581</v>
      </c>
    </row>
    <row r="935" spans="1:4" ht="16.5" hidden="1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313">
        <f>参数调整!$K$35*怪物掉落配置方案!$D5039</f>
        <v>3.4205940810281743</v>
      </c>
    </row>
    <row r="936" spans="1:4" ht="16.5" hidden="1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313">
        <f>参数调整!$K$35*怪物掉落配置方案!$D5040</f>
        <v>3.82268840565516</v>
      </c>
    </row>
    <row r="937" spans="1:4" ht="16.5" hidden="1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313">
        <f>参数调整!$K$35*怪物掉落配置方案!$D5041</f>
        <v>4.4677147180776151</v>
      </c>
    </row>
    <row r="938" spans="1:4" ht="16.5" hidden="1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313">
        <f>参数调整!$K$35*怪物掉落配置方案!$D5042</f>
        <v>5.1630028210784431</v>
      </c>
    </row>
    <row r="939" spans="1:4" ht="16.5" hidden="1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313">
        <f>参数调整!$K$35*怪物掉落配置方案!$D5043</f>
        <v>5.9085527146576453</v>
      </c>
    </row>
    <row r="940" spans="1:4" ht="16.5" hidden="1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313">
        <f>参数调整!$K$35*怪物掉落配置方案!$D5044</f>
        <v>6.7043643988152208</v>
      </c>
    </row>
    <row r="941" spans="1:4" ht="16.5" hidden="1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313">
        <f>参数调整!$K$35*怪物掉落配置方案!$D5045</f>
        <v>7.5504378735511706</v>
      </c>
    </row>
    <row r="942" spans="1:4" ht="16.5" hidden="1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313">
        <f>参数调整!$K$35*怪物掉落配置方案!$D5046</f>
        <v>8.4467731388654919</v>
      </c>
    </row>
    <row r="943" spans="1:4" ht="16.5" hidden="1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313">
        <f>参数调整!$K$35*怪物掉落配置方案!$D5047</f>
        <v>9.3933701947581838</v>
      </c>
    </row>
    <row r="944" spans="1:4" ht="16.5" hidden="1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313">
        <f>参数调整!$K$35*怪物掉落配置方案!$D5048</f>
        <v>10.390229041229253</v>
      </c>
    </row>
    <row r="945" spans="1:4" ht="16.5" hidden="1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313">
        <f>参数调整!$K$35*怪物掉落配置方案!$D5049</f>
        <v>11.437349678278697</v>
      </c>
    </row>
    <row r="946" spans="1:4" ht="16.5" hidden="1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313">
        <f>参数调整!$K$35*怪物掉落配置方案!$D5050</f>
        <v>12.53473210590651</v>
      </c>
    </row>
    <row r="947" spans="1:4" ht="16.5" hidden="1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313">
        <f>参数调整!$K$35*怪物掉落配置方案!$D5051</f>
        <v>13.682376324112697</v>
      </c>
    </row>
    <row r="948" spans="1:4" ht="16.5" hidden="1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313">
        <f>参数调整!$K$35*怪物掉落配置方案!$D5052</f>
        <v>6.4984941353856233E-3</v>
      </c>
    </row>
    <row r="949" spans="1:4" ht="16.5" hidden="1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313">
        <f>参数调整!$K$35*怪物掉落配置方案!$D5053</f>
        <v>8.2246566400974302E-3</v>
      </c>
    </row>
    <row r="950" spans="1:4" ht="16.5" hidden="1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313">
        <f>参数调整!$K$35*怪物掉落配置方案!$D5054</f>
        <v>1.0153897086540036E-2</v>
      </c>
    </row>
    <row r="951" spans="1:4" ht="16.5" hidden="1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313">
        <f>参数调整!$K$35*怪物掉落配置方案!$D5055</f>
        <v>1.2286215474713444E-2</v>
      </c>
    </row>
    <row r="952" spans="1:4" ht="16.5" hidden="1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313">
        <f>参数调整!$K$35*怪物掉落配置方案!$D5056</f>
        <v>1.462161180461765E-2</v>
      </c>
    </row>
    <row r="953" spans="1:4" ht="16.5" hidden="1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313">
        <f>参数调整!$K$35*怪物掉落配置方案!$D5057</f>
        <v>1.7160086076252658E-2</v>
      </c>
    </row>
    <row r="954" spans="1:4" ht="16.5" hidden="1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313">
        <f>参数调整!$K$35*怪物掉落配置方案!$D5058</f>
        <v>1.9901638289618467E-2</v>
      </c>
    </row>
    <row r="955" spans="1:4" ht="16.5" hidden="1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313">
        <f>参数调整!$K$35*怪物掉落配置方案!$D5059</f>
        <v>2.2846268444715077E-2</v>
      </c>
    </row>
    <row r="956" spans="1:4" ht="16.5" hidden="1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313">
        <f>参数调整!$K$35*怪物掉落配置方案!$D5060</f>
        <v>2.59939765415425E-2</v>
      </c>
    </row>
    <row r="957" spans="1:4" ht="16.5" hidden="1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313">
        <f>参数调整!$K$35*怪物掉落配置方案!$D5061</f>
        <v>3.2898626560389714E-2</v>
      </c>
    </row>
    <row r="958" spans="1:4" ht="16.5" hidden="1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313">
        <f>参数调整!$K$35*怪物掉落配置方案!$D5062</f>
        <v>4.0615588346160136E-2</v>
      </c>
    </row>
    <row r="959" spans="1:4" ht="16.5" hidden="1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313">
        <f>参数调整!$K$35*怪物掉落配置方案!$D5063</f>
        <v>4.9144861898853774E-2</v>
      </c>
    </row>
    <row r="960" spans="1:4" ht="16.5" hidden="1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313">
        <f>参数调整!$K$35*怪物掉落配置方案!$D5064</f>
        <v>6.3461856790875223E-2</v>
      </c>
    </row>
    <row r="961" spans="1:4" ht="16.5" hidden="1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313">
        <f>参数调整!$K$35*怪物掉落配置方案!$D5065</f>
        <v>9.1385073778860293E-2</v>
      </c>
    </row>
    <row r="962" spans="1:4" ht="16.5" hidden="1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313">
        <f>参数调整!$K$35*怪物掉落配置方案!$D5066</f>
        <v>0.12438523931011541</v>
      </c>
    </row>
    <row r="963" spans="1:4" ht="16.5" hidden="1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313">
        <f>参数调整!$K$35*怪物掉落配置方案!$D5067</f>
        <v>0.1390068511147331</v>
      </c>
    </row>
    <row r="964" spans="1:4" ht="16.5" hidden="1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313">
        <f>参数调整!$K$35*怪物掉落配置方案!$D5068</f>
        <v>0.16246235338464055</v>
      </c>
    </row>
    <row r="965" spans="1:4" ht="16.5" hidden="1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313">
        <f>参数调整!$K$35*怪物掉落配置方案!$D5069</f>
        <v>0.1877455571301252</v>
      </c>
    </row>
    <row r="966" spans="1:4" ht="16.5" hidden="1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313">
        <f>参数调整!$K$35*怪物掉落配置方案!$D5070</f>
        <v>0.21485646235118713</v>
      </c>
    </row>
    <row r="967" spans="1:4" ht="16.5" hidden="1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313">
        <f>参数调整!$K$35*怪物掉落配置方案!$D5071</f>
        <v>0.2437950690478263</v>
      </c>
    </row>
    <row r="968" spans="1:4" ht="16.5" hidden="1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313">
        <f>参数调整!$K$35*怪物掉落配置方案!$D5072</f>
        <v>0.27456137722004254</v>
      </c>
    </row>
    <row r="969" spans="1:4" ht="16.5" hidden="1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313">
        <f>参数调整!$K$35*怪物掉落配置方案!$D5073</f>
        <v>0.30715538686783611</v>
      </c>
    </row>
    <row r="970" spans="1:4" ht="16.5" hidden="1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313">
        <f>参数调整!$K$35*怪物掉落配置方案!$D5074</f>
        <v>0.34157709799120672</v>
      </c>
    </row>
    <row r="971" spans="1:4" ht="16.5" hidden="1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313">
        <f>参数调整!$K$35*怪物掉落配置方案!$D5075</f>
        <v>0.37782651059015465</v>
      </c>
    </row>
    <row r="972" spans="1:4" ht="16.5" hidden="1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313">
        <f>参数调整!$K$35*怪物掉落配置方案!$D5076</f>
        <v>0.41590362466467989</v>
      </c>
    </row>
    <row r="973" spans="1:4" ht="16.5" hidden="1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313">
        <f>参数调整!$K$35*怪物掉落配置方案!$D5077</f>
        <v>0.45580844021478217</v>
      </c>
    </row>
    <row r="974" spans="1:4" ht="16.5" hidden="1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313">
        <f>参数调整!$K$35*怪物掉落配置方案!$D5078</f>
        <v>0.49754095724046177</v>
      </c>
    </row>
    <row r="975" spans="1:4" ht="16.5" hidden="1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313">
        <f>参数调整!$K$35*怪物掉落配置方案!$D5079</f>
        <v>0.90801854447843078</v>
      </c>
    </row>
    <row r="976" spans="1:4" ht="16.5" hidden="1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313">
        <f>参数调整!$K$35*怪物掉落配置方案!$D5080</f>
        <v>1.149210970355514</v>
      </c>
    </row>
    <row r="977" spans="1:4" ht="16.5" hidden="1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313">
        <f>参数调整!$K$35*怪物掉落配置方案!$D5081</f>
        <v>1.418778975747548</v>
      </c>
    </row>
    <row r="978" spans="1:4" ht="16.5" hidden="1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313">
        <f>参数调整!$K$35*怪物掉落配置方案!$D5082</f>
        <v>1.7167225606545333</v>
      </c>
    </row>
    <row r="979" spans="1:4" ht="16.5" hidden="1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313">
        <f>参数调整!$K$35*怪物掉落配置方案!$D5083</f>
        <v>2.0430417250764688</v>
      </c>
    </row>
    <row r="980" spans="1:4" ht="16.5" hidden="1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313">
        <f>参数调整!$K$35*怪物掉落配置方案!$D5084</f>
        <v>2.3977364690133562</v>
      </c>
    </row>
    <row r="981" spans="1:4" ht="16.5" hidden="1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313">
        <f>参数调整!$K$35*怪物掉落配置方案!$D5085</f>
        <v>2.7808067924651936</v>
      </c>
    </row>
    <row r="982" spans="1:4" ht="16.5" hidden="1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313">
        <f>参数调整!$K$35*怪物掉落配置方案!$D5086</f>
        <v>3.192252695431983</v>
      </c>
    </row>
    <row r="983" spans="1:4" ht="16.5" hidden="1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313">
        <f>参数调整!$K$35*怪物掉落配置方案!$D5087</f>
        <v>3.6320741779137236</v>
      </c>
    </row>
    <row r="984" spans="1:4" ht="16.5" hidden="1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313">
        <f>参数调整!$K$35*怪物掉落配置方案!$D5088</f>
        <v>4.5968438814220569</v>
      </c>
    </row>
    <row r="985" spans="1:4" ht="16.5" hidden="1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313">
        <f>参数调整!$K$35*怪物掉落配置方案!$D5089</f>
        <v>5.6751159029901919</v>
      </c>
    </row>
    <row r="986" spans="1:4" ht="16.5" hidden="1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313">
        <f>参数调整!$K$35*怪物掉落配置方案!$D5090</f>
        <v>6.8668902426181333</v>
      </c>
    </row>
    <row r="987" spans="1:4" ht="16.5" hidden="1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313">
        <f>参数调整!$K$35*怪物掉落配置方案!$D5091</f>
        <v>8.8673685984221748</v>
      </c>
    </row>
    <row r="988" spans="1:4" ht="16.5" hidden="1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313">
        <f>参数调整!$K$35*怪物掉落配置方案!$D5092</f>
        <v>12.76901078172793</v>
      </c>
    </row>
    <row r="989" spans="1:4" ht="16.5" hidden="1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313">
        <f>参数调整!$K$35*怪物掉落配置方案!$D5093</f>
        <v>17.38004245290746</v>
      </c>
    </row>
    <row r="990" spans="1:4" ht="16.5" hidden="1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313">
        <f>参数调整!$K$35*怪物掉落配置方案!$D5094</f>
        <v>19.423084177983934</v>
      </c>
    </row>
    <row r="991" spans="1:4" ht="16.5" hidden="1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313">
        <f>参数调整!$K$35*怪物掉落配置方案!$D5095</f>
        <v>22.700463611960767</v>
      </c>
    </row>
    <row r="992" spans="1:4" ht="16.5" hidden="1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313">
        <f>参数调整!$K$35*怪物掉落配置方案!$D5096</f>
        <v>26.233223261572157</v>
      </c>
    </row>
    <row r="993" spans="1:4" ht="16.5" hidden="1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313">
        <f>参数调整!$K$35*怪物掉落配置方案!$D5097</f>
        <v>30.021363126818112</v>
      </c>
    </row>
    <row r="994" spans="1:4" ht="16.5" hidden="1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313">
        <f>参数调整!$K$35*怪物掉落配置方案!$D5098</f>
        <v>34.064883207698635</v>
      </c>
    </row>
    <row r="995" spans="1:4" ht="16.5" hidden="1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313">
        <f>参数调整!$K$35*怪物掉落配置方案!$D5099</f>
        <v>38.363783504213693</v>
      </c>
    </row>
    <row r="996" spans="1:4" ht="16.5" hidden="1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313">
        <f>参数调整!$K$35*怪物掉落配置方案!$D5100</f>
        <v>42.918064016363324</v>
      </c>
    </row>
    <row r="997" spans="1:4" ht="16.5" hidden="1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313">
        <f>参数调整!$K$35*怪物掉落配置方案!$D5101</f>
        <v>47.727724744147515</v>
      </c>
    </row>
    <row r="998" spans="1:4" ht="16.5" hidden="1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313">
        <f>参数调整!$K$35*怪物掉落配置方案!$D5102</f>
        <v>52.792765687566245</v>
      </c>
    </row>
    <row r="999" spans="1:4" ht="16.5" hidden="1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313">
        <f>参数调整!$K$35*怪物掉落配置方案!$D5103</f>
        <v>58.113186846619577</v>
      </c>
    </row>
    <row r="1000" spans="1:4" ht="16.5" hidden="1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313">
        <f>参数调整!$K$35*怪物掉落配置方案!$D5104</f>
        <v>63.688988221307433</v>
      </c>
    </row>
    <row r="1001" spans="1:4" ht="16.5" hidden="1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313">
        <f>参数调整!$K$35*怪物掉落配置方案!$D5105</f>
        <v>69.520169811629856</v>
      </c>
    </row>
    <row r="1002" spans="1:4" ht="16.5" hidden="1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313">
        <f>参数调整!$K$35*怪物掉落配置方案!$D5106</f>
        <v>0.11824214577031912</v>
      </c>
    </row>
    <row r="1003" spans="1:4" ht="16.5" hidden="1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313">
        <f>参数调整!$K$35*怪物掉落配置方案!$D5107</f>
        <v>0.14965021574056012</v>
      </c>
    </row>
    <row r="1004" spans="1:4" ht="16.5" hidden="1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313">
        <f>参数调整!$K$35*怪物掉落配置方案!$D5108</f>
        <v>0.18475335276612359</v>
      </c>
    </row>
    <row r="1005" spans="1:4" ht="16.5" hidden="1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313">
        <f>参数调整!$K$35*怪物掉落配置方案!$D5109</f>
        <v>0.22355155684700956</v>
      </c>
    </row>
    <row r="1006" spans="1:4" ht="16.5" hidden="1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313">
        <f>参数调整!$K$35*怪物掉落配置方案!$D5110</f>
        <v>0.26604482798321794</v>
      </c>
    </row>
    <row r="1007" spans="1:4" ht="16.5" hidden="1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313">
        <f>参数调整!$K$35*怪物掉落配置方案!$D5111</f>
        <v>0.31223316617474894</v>
      </c>
    </row>
    <row r="1008" spans="1:4" ht="16.5" hidden="1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313">
        <f>参数调整!$K$35*怪物掉落配置方案!$D5112</f>
        <v>0.36211657142160214</v>
      </c>
    </row>
    <row r="1009" spans="1:4" ht="16.5" hidden="1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313">
        <f>参数调整!$K$35*怪物掉落配置方案!$D5113</f>
        <v>0.41569504372377813</v>
      </c>
    </row>
    <row r="1010" spans="1:4" ht="16.5" hidden="1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313">
        <f>参数调整!$K$35*怪物掉落配置方案!$D5114</f>
        <v>0.47296858308127648</v>
      </c>
    </row>
    <row r="1011" spans="1:4" ht="16.5" hidden="1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313">
        <f>参数调整!$K$35*怪物掉落配置方案!$D5115</f>
        <v>0.59860086296224047</v>
      </c>
    </row>
    <row r="1012" spans="1:4" ht="16.5" hidden="1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313">
        <f>参数调整!$K$35*怪物掉落配置方案!$D5116</f>
        <v>0.73901341106449425</v>
      </c>
    </row>
    <row r="1013" spans="1:4" ht="16.5" hidden="1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313">
        <f>参数调整!$K$35*怪物掉落配置方案!$D5117</f>
        <v>0.89420622738803823</v>
      </c>
    </row>
    <row r="1014" spans="1:4" ht="16.5" hidden="1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313">
        <f>参数调整!$K$35*怪物掉落配置方案!$D5118</f>
        <v>1.1547084547882722</v>
      </c>
    </row>
    <row r="1015" spans="1:4" ht="16.5" hidden="1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313">
        <f>参数调整!$K$35*怪物掉落配置方案!$D5119</f>
        <v>1.6627801748951121</v>
      </c>
    </row>
    <row r="1016" spans="1:4" ht="16.5" hidden="1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313">
        <f>参数调整!$K$35*怪物掉落配置方案!$D5120</f>
        <v>2.2632285713850138</v>
      </c>
    </row>
    <row r="1017" spans="1:4" ht="16.5" hidden="1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313">
        <f>参数调整!$K$35*怪物掉落配置方案!$D5121</f>
        <v>2.5292733993682321</v>
      </c>
    </row>
    <row r="1018" spans="1:4" ht="16.5" hidden="1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313">
        <f>参数调整!$K$35*怪物掉落配置方案!$D5122</f>
        <v>2.956053644257977</v>
      </c>
    </row>
    <row r="1019" spans="1:4" ht="16.5" hidden="1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313">
        <f>参数调整!$K$35*怪物掉落配置方案!$D5123</f>
        <v>3.4160894926456242</v>
      </c>
    </row>
    <row r="1020" spans="1:4" ht="16.5" hidden="1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313">
        <f>参数调整!$K$35*怪物掉落配置方案!$D5124</f>
        <v>3.9093809445311747</v>
      </c>
    </row>
    <row r="1021" spans="1:4" ht="16.5" hidden="1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313">
        <f>参数调整!$K$35*怪物掉落配置方案!$D5125</f>
        <v>4.4359279999146279</v>
      </c>
    </row>
    <row r="1022" spans="1:4" ht="16.5" hidden="1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313">
        <f>参数调整!$K$35*怪物掉落配置方案!$D5126</f>
        <v>4.9957306587959822</v>
      </c>
    </row>
    <row r="1023" spans="1:4" ht="16.5" hidden="1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313">
        <f>参数调整!$K$35*怪物掉落配置方案!$D5127</f>
        <v>5.5887889211752393</v>
      </c>
    </row>
    <row r="1024" spans="1:4" ht="16.5" hidden="1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313">
        <f>参数调整!$K$35*怪物掉落配置方案!$D5128</f>
        <v>6.2151027870523974</v>
      </c>
    </row>
    <row r="1025" spans="1:4" ht="16.5" hidden="1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313">
        <f>参数调整!$K$35*怪物掉落配置方案!$D5129</f>
        <v>6.8746722564274565</v>
      </c>
    </row>
    <row r="1026" spans="1:4" ht="16.5" hidden="1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313">
        <f>参数调整!$K$35*怪物掉落配置方案!$D5130</f>
        <v>7.5674973293004228</v>
      </c>
    </row>
    <row r="1027" spans="1:4" ht="16.5" hidden="1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313">
        <f>参数调整!$K$35*怪物掉落配置方案!$D5131</f>
        <v>8.2935780056712893</v>
      </c>
    </row>
    <row r="1028" spans="1:4" ht="16.5" hidden="1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313">
        <f>参数调整!$K$35*怪物掉落配置方案!$D5132</f>
        <v>9.0529142855400568</v>
      </c>
    </row>
    <row r="1029" spans="1:4" ht="16.5" hidden="1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313">
        <f>参数调整!$K$32*怪物掉落配置方案!$D4107</f>
        <v>3.9591509730546514E-3</v>
      </c>
    </row>
    <row r="1030" spans="1:4" ht="16.5" hidden="1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313">
        <f>参数调整!$K$32*怪物掉落配置方案!$D4108</f>
        <v>5.0108004502722944E-3</v>
      </c>
    </row>
    <row r="1031" spans="1:4" ht="16.5" hidden="1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313">
        <f>参数调整!$K$32*怪物掉落配置方案!$D4109</f>
        <v>6.1861733953978929E-3</v>
      </c>
    </row>
    <row r="1032" spans="1:4" ht="16.5" hidden="1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313">
        <f>参数调整!$K$32*怪物掉落配置方案!$D4110</f>
        <v>7.4852698084314512E-3</v>
      </c>
    </row>
    <row r="1033" spans="1:4" ht="16.5" hidden="1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313">
        <f>参数调整!$K$32*怪物掉落配置方案!$D4111</f>
        <v>8.9080896893729642E-3</v>
      </c>
    </row>
    <row r="1034" spans="1:4" ht="16.5" hidden="1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313">
        <f>参数调整!$K$32*怪物掉落配置方案!$D4112</f>
        <v>1.0454633038222437E-2</v>
      </c>
    </row>
    <row r="1035" spans="1:4" ht="16.5" hidden="1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313">
        <f>参数调整!$K$32*怪物掉落配置方案!$D4113</f>
        <v>1.2124899854979868E-2</v>
      </c>
    </row>
    <row r="1036" spans="1:4" ht="16.5" hidden="1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313">
        <f>参数调整!$K$32*怪物掉落配置方案!$D4114</f>
        <v>1.3918890139645259E-2</v>
      </c>
    </row>
    <row r="1037" spans="1:4" ht="16.5" hidden="1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313">
        <f>参数调整!$K$32*怪物掉落配置方案!$D4115</f>
        <v>1.5836603892218606E-2</v>
      </c>
    </row>
    <row r="1038" spans="1:4" ht="16.5" hidden="1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313">
        <f>参数调整!$K$32*怪物掉落配置方案!$D4116</f>
        <v>2.0043201801089174E-2</v>
      </c>
    </row>
    <row r="1039" spans="1:4" ht="16.5" hidden="1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313">
        <f>参数调整!$K$32*怪物掉落配置方案!$D4117</f>
        <v>2.4744693581591568E-2</v>
      </c>
    </row>
    <row r="1040" spans="1:4" ht="16.5" hidden="1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313">
        <f>参数调整!$K$32*怪物掉落配置方案!$D4118</f>
        <v>2.9941079233725805E-2</v>
      </c>
    </row>
    <row r="1041" spans="1:4" ht="16.5" hidden="1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313">
        <f>参数调整!$K$32*怪物掉落配置方案!$D4119</f>
        <v>3.8663583721236822E-2</v>
      </c>
    </row>
    <row r="1042" spans="1:4" ht="16.5" hidden="1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313">
        <f>参数调整!$K$32*怪物掉落配置方案!$D4120</f>
        <v>5.5675560558581028E-2</v>
      </c>
    </row>
    <row r="1043" spans="1:4" ht="16.5" hidden="1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313">
        <f>参数调整!$K$32*怪物掉落配置方案!$D4121</f>
        <v>7.5780624093624169E-2</v>
      </c>
    </row>
    <row r="1044" spans="1:4" ht="16.5" hidden="1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313">
        <f>参数调整!$K$32*怪物掉落配置方案!$D4122</f>
        <v>8.4688713782997152E-2</v>
      </c>
    </row>
    <row r="1045" spans="1:4" ht="16.5" hidden="1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313">
        <f>参数调整!$K$32*怪物掉落配置方案!$D4123</f>
        <v>9.8978774326366273E-2</v>
      </c>
    </row>
    <row r="1046" spans="1:4" ht="16.5" hidden="1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313">
        <f>参数调整!$K$32*怪物掉落配置方案!$D4124</f>
        <v>0.11438234608090701</v>
      </c>
    </row>
    <row r="1047" spans="1:4" ht="16.5" hidden="1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313">
        <f>参数调整!$K$32*怪物掉落配置方案!$D4125</f>
        <v>0.13089942904661939</v>
      </c>
    </row>
    <row r="1048" spans="1:4" ht="16.5" hidden="1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313">
        <f>参数调整!$K$32*怪物掉落配置方案!$D4126</f>
        <v>0.14853002322350342</v>
      </c>
    </row>
    <row r="1049" spans="1:4" ht="16.5" hidden="1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313">
        <f>参数调整!$K$32*怪物掉落配置方案!$D4127</f>
        <v>0.16727412861155899</v>
      </c>
    </row>
    <row r="1050" spans="1:4" ht="16.5" hidden="1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313">
        <f>参数调整!$K$32*怪物掉落配置方案!$D4128</f>
        <v>0.18713174521078624</v>
      </c>
    </row>
    <row r="1051" spans="1:4" ht="16.5" hidden="1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313">
        <f>参数调整!$K$32*怪物掉落配置方案!$D4129</f>
        <v>0.20810287302118508</v>
      </c>
    </row>
    <row r="1052" spans="1:4" ht="16.5" hidden="1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313">
        <f>参数调整!$K$32*怪物掉落配置方案!$D4130</f>
        <v>0.2301875120427555</v>
      </c>
    </row>
    <row r="1053" spans="1:4" ht="16.5" hidden="1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313">
        <f>参数调整!$K$32*怪物掉落配置方案!$D4131</f>
        <v>0.25338566227549769</v>
      </c>
    </row>
    <row r="1054" spans="1:4" ht="16.5" hidden="1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313">
        <f>参数调整!$K$32*怪物掉落配置方案!$D4132</f>
        <v>0.27769732371941142</v>
      </c>
    </row>
    <row r="1055" spans="1:4" ht="16.5" hidden="1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313">
        <f>参数调整!$K$32*怪物掉落配置方案!$D4133</f>
        <v>0.30312249637449673</v>
      </c>
    </row>
    <row r="1056" spans="1:4" ht="16.5" hidden="1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313">
        <f>参数调整!$K$32*怪物掉落配置方案!$D4134</f>
        <v>5.1885112559125091E-2</v>
      </c>
    </row>
    <row r="1057" spans="1:4" ht="16.5" hidden="1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313">
        <f>参数调整!$K$32*怪物掉落配置方案!$D4135</f>
        <v>6.5667095582642693E-2</v>
      </c>
    </row>
    <row r="1058" spans="1:4" ht="16.5" hidden="1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313">
        <f>参数调整!$K$32*怪物掉落配置方案!$D4136</f>
        <v>8.107048837363294E-2</v>
      </c>
    </row>
    <row r="1059" spans="1:4" ht="16.5" hidden="1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313">
        <f>参数调整!$K$32*怪物掉落配置方案!$D4137</f>
        <v>9.8095290932095874E-2</v>
      </c>
    </row>
    <row r="1060" spans="1:4" ht="16.5" hidden="1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313">
        <f>参数调整!$K$32*怪物掉落配置方案!$D4138</f>
        <v>0.1167415032580314</v>
      </c>
    </row>
    <row r="1061" spans="1:4" ht="16.5" hidden="1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313">
        <f>参数调整!$K$32*怪物掉落配置方案!$D4139</f>
        <v>0.13700912535143969</v>
      </c>
    </row>
    <row r="1062" spans="1:4" ht="16.5" hidden="1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313">
        <f>参数调整!$K$32*怪物掉落配置方案!$D4140</f>
        <v>0.15889815721232051</v>
      </c>
    </row>
    <row r="1063" spans="1:4" ht="16.5" hidden="1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313">
        <f>参数调整!$K$32*怪物掉落配置方案!$D4141</f>
        <v>0.18240859884067406</v>
      </c>
    </row>
    <row r="1064" spans="1:4" ht="16.5" hidden="1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313">
        <f>参数调整!$K$32*怪物掉落配置方案!$D4142</f>
        <v>0.20754045023650036</v>
      </c>
    </row>
    <row r="1065" spans="1:4" ht="16.5" hidden="1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313">
        <f>参数调整!$K$32*怪物掉落配置方案!$D4143</f>
        <v>0.26266838233057077</v>
      </c>
    </row>
    <row r="1066" spans="1:4" ht="16.5" hidden="1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313">
        <f>参数调整!$K$32*怪物掉落配置方案!$D4144</f>
        <v>0.32428195349453171</v>
      </c>
    </row>
    <row r="1067" spans="1:4" ht="16.5" hidden="1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313">
        <f>参数调整!$K$32*怪物掉落配置方案!$D4145</f>
        <v>0.3923811637283835</v>
      </c>
    </row>
    <row r="1068" spans="1:4" ht="16.5" hidden="1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313">
        <f>参数调整!$K$32*怪物掉落配置方案!$D4146</f>
        <v>0.50669055233520588</v>
      </c>
    </row>
    <row r="1069" spans="1:4" ht="16.5" hidden="1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313">
        <f>参数调整!$K$32*怪物掉落配置方案!$D4147</f>
        <v>0.72963439536269625</v>
      </c>
    </row>
    <row r="1070" spans="1:4" ht="16.5" hidden="1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313">
        <f>参数调整!$K$32*怪物掉落配置方案!$D4148</f>
        <v>0.99311348257700327</v>
      </c>
    </row>
    <row r="1071" spans="1:4" ht="16.5" hidden="1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313">
        <f>参数调整!$K$32*怪物掉落配置方案!$D4149</f>
        <v>1.1098549858350351</v>
      </c>
    </row>
    <row r="1072" spans="1:4" ht="16.5" hidden="1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313">
        <f>参数调整!$K$32*怪物掉落配置方案!$D4150</f>
        <v>1.2971278139781268</v>
      </c>
    </row>
    <row r="1073" spans="1:4" ht="16.5" hidden="1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313">
        <f>参数调整!$K$32*怪物掉落配置方案!$D4151</f>
        <v>1.4989933300284728</v>
      </c>
    </row>
    <row r="1074" spans="1:4" ht="16.5" hidden="1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313">
        <f>参数调整!$K$32*怪物掉落配置方案!$D4152</f>
        <v>1.7154515339860725</v>
      </c>
    </row>
    <row r="1075" spans="1:4" ht="16.5" hidden="1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313">
        <f>参数调整!$K$32*怪物掉落配置方案!$D4153</f>
        <v>1.9465024258509269</v>
      </c>
    </row>
    <row r="1076" spans="1:4" ht="16.5" hidden="1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313">
        <f>参数调整!$K$32*怪物掉落配置方案!$D4154</f>
        <v>2.1921460056230342</v>
      </c>
    </row>
    <row r="1077" spans="1:4" ht="16.5" hidden="1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313">
        <f>参数调整!$K$32*怪物掉落配置方案!$D4155</f>
        <v>2.4523822733023963</v>
      </c>
    </row>
    <row r="1078" spans="1:4" ht="16.5" hidden="1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313">
        <f>参数调整!$K$32*怪物掉落配置方案!$D4156</f>
        <v>2.7272112288890114</v>
      </c>
    </row>
    <row r="1079" spans="1:4" ht="16.5" hidden="1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313">
        <f>参数调整!$K$32*怪物掉落配置方案!$D4157</f>
        <v>3.016632872382881</v>
      </c>
    </row>
    <row r="1080" spans="1:4" ht="16.5" hidden="1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313">
        <f>参数调整!$K$32*怪物掉落配置方案!$D4158</f>
        <v>3.3206472037840049</v>
      </c>
    </row>
    <row r="1081" spans="1:4" ht="16.5" hidden="1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313">
        <f>参数调整!$K$32*怪物掉落配置方案!$D4159</f>
        <v>3.6392542230923826</v>
      </c>
    </row>
    <row r="1082" spans="1:4" ht="16.5" hidden="1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313">
        <f>参数调整!$K$32*怪物掉落配置方案!$D4160</f>
        <v>3.9724539303080135</v>
      </c>
    </row>
    <row r="1083" spans="1:4" ht="16.5" hidden="1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313">
        <f>参数调整!$K$32*怪物掉落配置方案!$D4161</f>
        <v>670</v>
      </c>
    </row>
    <row r="1084" spans="1:4" ht="16.5" hidden="1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313">
        <f>参数调整!$K$32*怪物掉落配置方案!$D4162</f>
        <v>850</v>
      </c>
    </row>
    <row r="1085" spans="1:4" ht="16.5" hidden="1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313">
        <f>参数调整!$K$32*怪物掉落配置方案!$D4163</f>
        <v>1050</v>
      </c>
    </row>
    <row r="1086" spans="1:4" ht="16.5" hidden="1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313">
        <f>参数调整!$K$32*怪物掉落配置方案!$D4164</f>
        <v>1270</v>
      </c>
    </row>
    <row r="1087" spans="1:4" ht="16.5" hidden="1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313">
        <f>参数调整!$K$32*怪物掉落配置方案!$D4165</f>
        <v>1510</v>
      </c>
    </row>
    <row r="1088" spans="1:4" ht="16.5" hidden="1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313">
        <f>参数调整!$K$32*怪物掉落配置方案!$D4166</f>
        <v>1770</v>
      </c>
    </row>
    <row r="1089" spans="1:4" ht="16.5" hidden="1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313">
        <f>参数调整!$K$32*怪物掉落配置方案!$D4167</f>
        <v>2060</v>
      </c>
    </row>
    <row r="1090" spans="1:4" ht="16.5" hidden="1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313">
        <f>参数调整!$K$32*怪物掉落配置方案!$D4168</f>
        <v>2360</v>
      </c>
    </row>
    <row r="1091" spans="1:4" ht="16.5" hidden="1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313">
        <f>参数调整!$K$32*怪物掉落配置方案!$D4169</f>
        <v>2680</v>
      </c>
    </row>
    <row r="1092" spans="1:4" ht="16.5" hidden="1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313">
        <f>参数调整!$K$32*怪物掉落配置方案!$D4170</f>
        <v>3400</v>
      </c>
    </row>
    <row r="1093" spans="1:4" ht="16.5" hidden="1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313">
        <f>参数调整!$K$32*怪物掉落配置方案!$D4171</f>
        <v>4190</v>
      </c>
    </row>
    <row r="1094" spans="1:4" ht="16.5" hidden="1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313">
        <f>参数调整!$K$32*怪物掉落配置方案!$D4172</f>
        <v>5080</v>
      </c>
    </row>
    <row r="1095" spans="1:4" ht="16.5" hidden="1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313">
        <f>参数调整!$K$32*怪物掉落配置方案!$D4173</f>
        <v>6550</v>
      </c>
    </row>
    <row r="1096" spans="1:4" ht="16.5" hidden="1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313">
        <f>参数调整!$K$32*怪物掉落配置方案!$D4174</f>
        <v>9440</v>
      </c>
    </row>
    <row r="1097" spans="1:4" ht="16.5" hidden="1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313">
        <f>参数调整!$K$32*怪物掉落配置方案!$D4175</f>
        <v>12850</v>
      </c>
    </row>
    <row r="1098" spans="1:4" ht="16.5" hidden="1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313">
        <f>参数调整!$K$32*怪物掉落配置方案!$D4176</f>
        <v>14360</v>
      </c>
    </row>
    <row r="1099" spans="1:4" ht="16.5" hidden="1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313">
        <f>参数调整!$K$32*怪物掉落配置方案!$D4177</f>
        <v>16780</v>
      </c>
    </row>
    <row r="1100" spans="1:4" ht="16.5" hidden="1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313">
        <f>参数调整!$K$32*怪物掉落配置方案!$D4178</f>
        <v>19390</v>
      </c>
    </row>
    <row r="1101" spans="1:4" ht="16.5" hidden="1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313">
        <f>参数调整!$K$32*怪物掉落配置方案!$D4179</f>
        <v>22190</v>
      </c>
    </row>
    <row r="1102" spans="1:4" ht="16.5" hidden="1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313">
        <f>参数调整!$K$32*怪物掉落配置方案!$D4180</f>
        <v>25180</v>
      </c>
    </row>
    <row r="1103" spans="1:4" ht="16.5" hidden="1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313">
        <f>参数调整!$K$32*怪物掉落配置方案!$D4181</f>
        <v>28360</v>
      </c>
    </row>
    <row r="1104" spans="1:4" ht="16.5" hidden="1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313">
        <f>参数调整!$K$32*怪物掉落配置方案!$D4182</f>
        <v>31720</v>
      </c>
    </row>
    <row r="1105" spans="1:4" ht="16.5" hidden="1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313">
        <f>参数调整!$K$32*怪物掉落配置方案!$D4183</f>
        <v>35280</v>
      </c>
    </row>
    <row r="1106" spans="1:4" ht="16.5" hidden="1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313">
        <f>参数调整!$K$32*怪物掉落配置方案!$D4184</f>
        <v>39020</v>
      </c>
    </row>
    <row r="1107" spans="1:4" ht="16.5" hidden="1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313">
        <f>参数调整!$K$32*怪物掉落配置方案!$D4185</f>
        <v>42950</v>
      </c>
    </row>
    <row r="1108" spans="1:4" ht="16.5" hidden="1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313">
        <f>参数调整!$K$32*怪物掉落配置方案!$D4186</f>
        <v>47070</v>
      </c>
    </row>
    <row r="1109" spans="1:4" ht="16.5" hidden="1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313">
        <f>参数调整!$K$32*怪物掉落配置方案!$D4187</f>
        <v>51380</v>
      </c>
    </row>
    <row r="1110" spans="1:4" ht="16.5" hidden="1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313">
        <f>参数调整!$K$32*怪物掉落配置方案!$D4188</f>
        <v>8.1231176692320289E-5</v>
      </c>
    </row>
    <row r="1111" spans="1:4" ht="16.5" hidden="1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313">
        <f>参数调整!$K$32*怪物掉落配置方案!$D4189</f>
        <v>1.0280820800121789E-4</v>
      </c>
    </row>
    <row r="1112" spans="1:4" ht="16.5" hidden="1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313">
        <f>参数调整!$K$32*怪物掉落配置方案!$D4190</f>
        <v>1.2692371358175044E-4</v>
      </c>
    </row>
    <row r="1113" spans="1:4" ht="16.5" hidden="1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313">
        <f>参数调整!$K$32*怪物掉落配置方案!$D4191</f>
        <v>1.5357769343391804E-4</v>
      </c>
    </row>
    <row r="1114" spans="1:4" ht="16.5" hidden="1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313">
        <f>参数调整!$K$32*怪物掉落配置方案!$D4192</f>
        <v>1.8277014755772061E-4</v>
      </c>
    </row>
    <row r="1115" spans="1:4" ht="16.5" hidden="1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313">
        <f>参数调整!$K$32*怪物掉落配置方案!$D4193</f>
        <v>2.1450107595315826E-4</v>
      </c>
    </row>
    <row r="1116" spans="1:4" ht="16.5" hidden="1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313">
        <f>参数调整!$K$32*怪物掉落配置方案!$D4194</f>
        <v>2.4877047862023084E-4</v>
      </c>
    </row>
    <row r="1117" spans="1:4" ht="16.5" hidden="1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313">
        <f>参数调整!$K$32*怪物掉落配置方案!$D4195</f>
        <v>2.855783555589385E-4</v>
      </c>
    </row>
    <row r="1118" spans="1:4" ht="16.5" hidden="1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313">
        <f>参数调整!$K$32*怪物掉落配置方案!$D4196</f>
        <v>3.2492470676928121E-4</v>
      </c>
    </row>
    <row r="1119" spans="1:4" ht="16.5" hidden="1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313">
        <f>参数调整!$K$32*怪物掉落配置方案!$D4197</f>
        <v>4.1123283200487145E-4</v>
      </c>
    </row>
    <row r="1120" spans="1:4" ht="16.5" hidden="1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313">
        <f>参数调整!$K$32*怪物掉落配置方案!$D4198</f>
        <v>5.0769485432700166E-4</v>
      </c>
    </row>
    <row r="1121" spans="1:4" ht="16.5" hidden="1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313">
        <f>参数调整!$K$32*怪物掉落配置方案!$D4199</f>
        <v>6.1431077373567218E-4</v>
      </c>
    </row>
    <row r="1122" spans="1:4" ht="16.5" hidden="1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313">
        <f>参数调整!$K$32*怪物掉落配置方案!$D4200</f>
        <v>7.9327320988594027E-4</v>
      </c>
    </row>
    <row r="1123" spans="1:4" ht="16.5" hidden="1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313">
        <f>参数调整!$K$32*怪物掉落配置方案!$D4201</f>
        <v>1.1423134222357536E-3</v>
      </c>
    </row>
    <row r="1124" spans="1:4" ht="16.5" hidden="1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313">
        <f>参数调整!$K$32*怪物掉落配置方案!$D4202</f>
        <v>1.5548154913764428E-3</v>
      </c>
    </row>
    <row r="1125" spans="1:4" ht="16.5" hidden="1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313">
        <f>参数调整!$K$32*怪物掉落配置方案!$D4203</f>
        <v>1.7375856389341636E-3</v>
      </c>
    </row>
    <row r="1126" spans="1:4" ht="16.5" hidden="1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313">
        <f>参数调整!$K$32*怪物掉落配置方案!$D4204</f>
        <v>2.0307794173080066E-3</v>
      </c>
    </row>
    <row r="1127" spans="1:4" ht="16.5" hidden="1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313">
        <f>参数调整!$K$32*怪物掉落配置方案!$D4205</f>
        <v>2.3468194641265653E-3</v>
      </c>
    </row>
    <row r="1128" spans="1:4" ht="16.5" hidden="1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313">
        <f>参数调整!$K$32*怪物掉落配置方案!$D4206</f>
        <v>2.6857057793898392E-3</v>
      </c>
    </row>
    <row r="1129" spans="1:4" ht="16.5" hidden="1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313">
        <f>参数调整!$K$32*怪物掉落配置方案!$D4207</f>
        <v>3.0474383630978287E-3</v>
      </c>
    </row>
    <row r="1130" spans="1:4" ht="16.5" hidden="1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313">
        <f>参数调整!$K$32*怪物掉落配置方案!$D4208</f>
        <v>3.4320172152505321E-3</v>
      </c>
    </row>
    <row r="1131" spans="1:4" ht="16.5" hidden="1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313">
        <f>参数调整!$K$32*怪物掉落配置方案!$D4209</f>
        <v>3.8394423358479512E-3</v>
      </c>
    </row>
    <row r="1132" spans="1:4" ht="16.5" hidden="1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313">
        <f>参数调整!$K$32*怪物掉落配置方案!$D4210</f>
        <v>4.2697137248900842E-3</v>
      </c>
    </row>
    <row r="1133" spans="1:4" ht="16.5" hidden="1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313">
        <f>参数调整!$K$32*怪物掉落配置方案!$D4211</f>
        <v>4.7228313823769333E-3</v>
      </c>
    </row>
    <row r="1134" spans="1:4" ht="16.5" hidden="1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313">
        <f>参数调整!$K$32*怪物掉落配置方案!$D4212</f>
        <v>5.1987953083084985E-3</v>
      </c>
    </row>
    <row r="1135" spans="1:4" ht="16.5" hidden="1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313">
        <f>参数调整!$K$32*怪物掉落配置方案!$D4213</f>
        <v>5.6976055026847772E-3</v>
      </c>
    </row>
    <row r="1136" spans="1:4" ht="16.5" hidden="1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313">
        <f>参数调整!$K$32*怪物掉落配置方案!$D4214</f>
        <v>6.2192619655057719E-3</v>
      </c>
    </row>
    <row r="1137" spans="1:4" ht="16.5" hidden="1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313">
        <f>参数调整!$K$32*怪物掉落配置方案!$D4215</f>
        <v>0</v>
      </c>
    </row>
    <row r="1138" spans="1:4" ht="16.5" hidden="1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313">
        <f>参数调整!$K$32*怪物掉落配置方案!$D4216</f>
        <v>0</v>
      </c>
    </row>
    <row r="1139" spans="1:4" ht="16.5" hidden="1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313">
        <f>参数调整!$K$32*怪物掉落配置方案!$D4217</f>
        <v>0</v>
      </c>
    </row>
    <row r="1140" spans="1:4" ht="16.5" hidden="1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313">
        <f>参数调整!$K$32*怪物掉落配置方案!$D4218</f>
        <v>0</v>
      </c>
    </row>
    <row r="1141" spans="1:4" ht="16.5" hidden="1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313">
        <f>参数调整!$K$32*怪物掉落配置方案!$D4219</f>
        <v>0</v>
      </c>
    </row>
    <row r="1142" spans="1:4" ht="16.5" hidden="1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313">
        <f>参数调整!$K$32*怪物掉落配置方案!$D4220</f>
        <v>0</v>
      </c>
    </row>
    <row r="1143" spans="1:4" ht="16.5" hidden="1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313">
        <f>参数调整!$K$32*怪物掉落配置方案!$D4221</f>
        <v>0</v>
      </c>
    </row>
    <row r="1144" spans="1:4" ht="16.5" hidden="1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313">
        <f>参数调整!$K$32*怪物掉落配置方案!$D4222</f>
        <v>0</v>
      </c>
    </row>
    <row r="1145" spans="1:4" ht="16.5" hidden="1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313">
        <f>参数调整!$K$32*怪物掉落配置方案!$D4223</f>
        <v>0</v>
      </c>
    </row>
    <row r="1146" spans="1:4" ht="16.5" hidden="1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313">
        <f>参数调整!$K$32*怪物掉落配置方案!$D4224</f>
        <v>0</v>
      </c>
    </row>
    <row r="1147" spans="1:4" ht="16.5" hidden="1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313">
        <f>参数调整!$K$32*怪物掉落配置方案!$D4225</f>
        <v>0</v>
      </c>
    </row>
    <row r="1148" spans="1:4" ht="16.5" hidden="1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313">
        <f>参数调整!$K$32*怪物掉落配置方案!$D4226</f>
        <v>0</v>
      </c>
    </row>
    <row r="1149" spans="1:4" ht="16.5" hidden="1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313">
        <f>参数调整!$K$32*怪物掉落配置方案!$D4227</f>
        <v>0</v>
      </c>
    </row>
    <row r="1150" spans="1:4" ht="16.5" hidden="1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313">
        <f>参数调整!$K$32*怪物掉落配置方案!$D4228</f>
        <v>0</v>
      </c>
    </row>
    <row r="1151" spans="1:4" ht="16.5" hidden="1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313">
        <f>参数调整!$K$32*怪物掉落配置方案!$D4229</f>
        <v>0</v>
      </c>
    </row>
    <row r="1152" spans="1:4" ht="16.5" hidden="1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313">
        <f>参数调整!$K$32*怪物掉落配置方案!$D4230</f>
        <v>0</v>
      </c>
    </row>
    <row r="1153" spans="1:4" ht="16.5" hidden="1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313">
        <f>参数调整!$K$32*怪物掉落配置方案!$D4231</f>
        <v>0</v>
      </c>
    </row>
    <row r="1154" spans="1:4" ht="16.5" hidden="1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313">
        <f>参数调整!$K$32*怪物掉落配置方案!$D4232</f>
        <v>0</v>
      </c>
    </row>
    <row r="1155" spans="1:4" ht="16.5" hidden="1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313">
        <f>参数调整!$K$32*怪物掉落配置方案!$D4233</f>
        <v>0</v>
      </c>
    </row>
    <row r="1156" spans="1:4" ht="16.5" hidden="1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313">
        <f>参数调整!$K$32*怪物掉落配置方案!$D4234</f>
        <v>0</v>
      </c>
    </row>
    <row r="1157" spans="1:4" ht="16.5" hidden="1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313">
        <f>参数调整!$K$32*怪物掉落配置方案!$D4235</f>
        <v>0</v>
      </c>
    </row>
    <row r="1158" spans="1:4" ht="16.5" hidden="1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313">
        <f>参数调整!$K$32*怪物掉落配置方案!$D4236</f>
        <v>0</v>
      </c>
    </row>
    <row r="1159" spans="1:4" ht="16.5" hidden="1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313">
        <f>参数调整!$K$32*怪物掉落配置方案!$D4237</f>
        <v>0</v>
      </c>
    </row>
    <row r="1160" spans="1:4" ht="16.5" hidden="1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313">
        <f>参数调整!$K$32*怪物掉落配置方案!$D4238</f>
        <v>0</v>
      </c>
    </row>
    <row r="1161" spans="1:4" ht="16.5" hidden="1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313">
        <f>参数调整!$K$32*怪物掉落配置方案!$D4239</f>
        <v>0</v>
      </c>
    </row>
    <row r="1162" spans="1:4" ht="16.5" hidden="1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313">
        <f>参数调整!$K$32*怪物掉落配置方案!$D4240</f>
        <v>0</v>
      </c>
    </row>
    <row r="1163" spans="1:4" ht="16.5" hidden="1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313">
        <f>参数调整!$K$32*怪物掉落配置方案!$D4241</f>
        <v>0</v>
      </c>
    </row>
    <row r="1164" spans="1:4" ht="16.5" hidden="1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313">
        <f>参数调整!$K$32*怪物掉落配置方案!$D4242</f>
        <v>0</v>
      </c>
    </row>
    <row r="1165" spans="1:4" ht="16.5" hidden="1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313">
        <f>参数调整!$K$32*怪物掉落配置方案!$D4243</f>
        <v>0</v>
      </c>
    </row>
    <row r="1166" spans="1:4" ht="16.5" hidden="1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313">
        <f>参数调整!$K$32*怪物掉落配置方案!$D4244</f>
        <v>0</v>
      </c>
    </row>
    <row r="1167" spans="1:4" ht="16.5" hidden="1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313">
        <f>参数调整!$K$32*怪物掉落配置方案!$D4245</f>
        <v>0</v>
      </c>
    </row>
    <row r="1168" spans="1:4" ht="16.5" hidden="1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313">
        <f>参数调整!$K$32*怪物掉落配置方案!$D4246</f>
        <v>0</v>
      </c>
    </row>
    <row r="1169" spans="1:4" ht="16.5" hidden="1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313">
        <f>参数调整!$K$32*怪物掉落配置方案!$D4247</f>
        <v>0</v>
      </c>
    </row>
    <row r="1170" spans="1:4" ht="16.5" hidden="1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313">
        <f>参数调整!$K$32*怪物掉落配置方案!$D4248</f>
        <v>0</v>
      </c>
    </row>
    <row r="1171" spans="1:4" ht="16.5" hidden="1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313">
        <f>参数调整!$K$32*怪物掉落配置方案!$D4249</f>
        <v>0</v>
      </c>
    </row>
    <row r="1172" spans="1:4" ht="16.5" hidden="1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313">
        <f>参数调整!$K$32*怪物掉落配置方案!$D4250</f>
        <v>0</v>
      </c>
    </row>
    <row r="1173" spans="1:4" ht="16.5" hidden="1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313">
        <f>参数调整!$K$32*怪物掉落配置方案!$D4251</f>
        <v>0</v>
      </c>
    </row>
    <row r="1174" spans="1:4" ht="16.5" hidden="1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313">
        <f>参数调整!$K$32*怪物掉落配置方案!$D4252</f>
        <v>0</v>
      </c>
    </row>
    <row r="1175" spans="1:4" ht="16.5" hidden="1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313">
        <f>参数调整!$K$32*怪物掉落配置方案!$D4253</f>
        <v>0</v>
      </c>
    </row>
    <row r="1176" spans="1:4" ht="16.5" hidden="1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313">
        <f>参数调整!$K$32*怪物掉落配置方案!$D4254</f>
        <v>0</v>
      </c>
    </row>
    <row r="1177" spans="1:4" ht="16.5" hidden="1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313">
        <f>参数调整!$K$32*怪物掉落配置方案!$D4255</f>
        <v>0</v>
      </c>
    </row>
    <row r="1178" spans="1:4" ht="16.5" hidden="1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313">
        <f>参数调整!$K$32*怪物掉落配置方案!$D4256</f>
        <v>0</v>
      </c>
    </row>
    <row r="1179" spans="1:4" ht="16.5" hidden="1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313">
        <f>参数调整!$K$32*怪物掉落配置方案!$D4257</f>
        <v>0</v>
      </c>
    </row>
    <row r="1180" spans="1:4" ht="16.5" hidden="1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313">
        <f>参数调整!$K$32*怪物掉落配置方案!$D4258</f>
        <v>0</v>
      </c>
    </row>
    <row r="1181" spans="1:4" ht="16.5" hidden="1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313">
        <f>参数调整!$K$32*怪物掉落配置方案!$D4259</f>
        <v>0</v>
      </c>
    </row>
    <row r="1182" spans="1:4" ht="16.5" hidden="1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313">
        <f>参数调整!$K$32*怪物掉落配置方案!$D4260</f>
        <v>0</v>
      </c>
    </row>
    <row r="1183" spans="1:4" ht="16.5" hidden="1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313">
        <f>参数调整!$K$32*怪物掉落配置方案!$D4261</f>
        <v>0</v>
      </c>
    </row>
    <row r="1184" spans="1:4" ht="16.5" hidden="1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313">
        <f>参数调整!$K$32*怪物掉落配置方案!$D4262</f>
        <v>0</v>
      </c>
    </row>
    <row r="1185" spans="1:4" ht="16.5" hidden="1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313">
        <f>参数调整!$K$32*怪物掉落配置方案!$D4263</f>
        <v>0</v>
      </c>
    </row>
    <row r="1186" spans="1:4" ht="16.5" hidden="1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313">
        <f>参数调整!$K$32*怪物掉落配置方案!$D4264</f>
        <v>0</v>
      </c>
    </row>
    <row r="1187" spans="1:4" ht="16.5" hidden="1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313">
        <f>参数调整!$K$32*怪物掉落配置方案!$D4265</f>
        <v>0</v>
      </c>
    </row>
    <row r="1188" spans="1:4" ht="16.5" hidden="1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313">
        <f>参数调整!$K$32*怪物掉落配置方案!$D4266</f>
        <v>0</v>
      </c>
    </row>
    <row r="1189" spans="1:4" ht="16.5" hidden="1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313">
        <f>参数调整!$K$32*怪物掉落配置方案!$D4267</f>
        <v>0</v>
      </c>
    </row>
    <row r="1190" spans="1:4" ht="16.5" hidden="1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313">
        <f>参数调整!$K$32*怪物掉落配置方案!$D4268</f>
        <v>0</v>
      </c>
    </row>
    <row r="1191" spans="1:4" ht="16.5" hidden="1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313">
        <f>参数调整!$K$32*怪物掉落配置方案!$D4269</f>
        <v>0</v>
      </c>
    </row>
    <row r="1192" spans="1:4" ht="16.5" hidden="1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313">
        <f>参数调整!$K$32*怪物掉落配置方案!$D4270</f>
        <v>0</v>
      </c>
    </row>
    <row r="1193" spans="1:4" ht="16.5" hidden="1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313">
        <f>参数调整!$K$32*怪物掉落配置方案!$D4271</f>
        <v>0</v>
      </c>
    </row>
    <row r="1194" spans="1:4" ht="16.5" hidden="1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313">
        <f>参数调整!$K$32*怪物掉落配置方案!$D4272</f>
        <v>0</v>
      </c>
    </row>
    <row r="1195" spans="1:4" ht="16.5" hidden="1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313">
        <f>参数调整!$K$32*怪物掉落配置方案!$D4273</f>
        <v>0</v>
      </c>
    </row>
    <row r="1196" spans="1:4" ht="16.5" hidden="1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313">
        <f>参数调整!$K$32*怪物掉落配置方案!$D4274</f>
        <v>0</v>
      </c>
    </row>
    <row r="1197" spans="1:4" ht="16.5" hidden="1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313">
        <f>参数调整!$K$32*怪物掉落配置方案!$D4275</f>
        <v>0</v>
      </c>
    </row>
    <row r="1198" spans="1:4" ht="16.5" hidden="1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313">
        <f>参数调整!$K$32*怪物掉落配置方案!$D4276</f>
        <v>0</v>
      </c>
    </row>
    <row r="1199" spans="1:4" ht="16.5" hidden="1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313">
        <f>参数调整!$K$32*怪物掉落配置方案!$D4277</f>
        <v>0</v>
      </c>
    </row>
    <row r="1200" spans="1:4" ht="16.5" hidden="1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313">
        <f>参数调整!$K$32*怪物掉落配置方案!$D4278</f>
        <v>0</v>
      </c>
    </row>
    <row r="1201" spans="1:4" ht="16.5" hidden="1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313">
        <f>参数调整!$K$32*怪物掉落配置方案!$D4279</f>
        <v>0</v>
      </c>
    </row>
    <row r="1202" spans="1:4" ht="16.5" hidden="1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313">
        <f>参数调整!$K$32*怪物掉落配置方案!$D4280</f>
        <v>0</v>
      </c>
    </row>
    <row r="1203" spans="1:4" ht="16.5" hidden="1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313">
        <f>参数调整!$K$32*怪物掉落配置方案!$D4281</f>
        <v>0</v>
      </c>
    </row>
    <row r="1204" spans="1:4" ht="16.5" hidden="1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313">
        <f>参数调整!$K$32*怪物掉落配置方案!$D4282</f>
        <v>0</v>
      </c>
    </row>
    <row r="1205" spans="1:4" ht="16.5" hidden="1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313">
        <f>参数调整!$K$32*怪物掉落配置方案!$D4283</f>
        <v>0</v>
      </c>
    </row>
    <row r="1206" spans="1:4" ht="16.5" hidden="1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313">
        <f>参数调整!$K$32*怪物掉落配置方案!$D4284</f>
        <v>0</v>
      </c>
    </row>
    <row r="1207" spans="1:4" ht="16.5" hidden="1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313">
        <f>参数调整!$K$32*怪物掉落配置方案!$D4285</f>
        <v>0</v>
      </c>
    </row>
    <row r="1208" spans="1:4" ht="16.5" hidden="1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313">
        <f>参数调整!$K$32*怪物掉落配置方案!$D4286</f>
        <v>0</v>
      </c>
    </row>
    <row r="1209" spans="1:4" ht="16.5" hidden="1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313">
        <f>参数调整!$K$32*怪物掉落配置方案!$D4287</f>
        <v>0</v>
      </c>
    </row>
    <row r="1210" spans="1:4" ht="16.5" hidden="1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313">
        <f>参数调整!$K$32*怪物掉落配置方案!$D4288</f>
        <v>0</v>
      </c>
    </row>
    <row r="1211" spans="1:4" ht="16.5" hidden="1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313">
        <f>参数调整!$K$32*怪物掉落配置方案!$D4289</f>
        <v>0</v>
      </c>
    </row>
    <row r="1212" spans="1:4" ht="16.5" hidden="1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313">
        <f>参数调整!$K$32*怪物掉落配置方案!$D4290</f>
        <v>0</v>
      </c>
    </row>
    <row r="1213" spans="1:4" ht="16.5" hidden="1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313">
        <f>参数调整!$K$32*怪物掉落配置方案!$D4291</f>
        <v>0</v>
      </c>
    </row>
    <row r="1214" spans="1:4" ht="16.5" hidden="1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313">
        <f>参数调整!$K$32*怪物掉落配置方案!$D4292</f>
        <v>0</v>
      </c>
    </row>
    <row r="1215" spans="1:4" ht="16.5" hidden="1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313">
        <f>参数调整!$K$32*怪物掉落配置方案!$D4293</f>
        <v>0</v>
      </c>
    </row>
    <row r="1216" spans="1:4" ht="16.5" hidden="1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313">
        <f>参数调整!$K$32*怪物掉落配置方案!$D4294</f>
        <v>0</v>
      </c>
    </row>
    <row r="1217" spans="1:4" ht="16.5" hidden="1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313">
        <f>参数调整!$K$32*怪物掉落配置方案!$D4295</f>
        <v>0</v>
      </c>
    </row>
    <row r="1218" spans="1:4" ht="16.5" hidden="1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313">
        <f>参数调整!$K$32*怪物掉落配置方案!$D4296</f>
        <v>0</v>
      </c>
    </row>
    <row r="1219" spans="1:4" ht="16.5" hidden="1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313">
        <f>参数调整!$K$32*怪物掉落配置方案!$D4297</f>
        <v>0</v>
      </c>
    </row>
    <row r="1220" spans="1:4" ht="16.5" hidden="1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313">
        <f>参数调整!$K$32*怪物掉落配置方案!$D4298</f>
        <v>0</v>
      </c>
    </row>
    <row r="1221" spans="1:4" ht="16.5" hidden="1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313">
        <f>参数调整!$K$32*怪物掉落配置方案!$D4299</f>
        <v>0</v>
      </c>
    </row>
    <row r="1222" spans="1:4" ht="16.5" hidden="1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313">
        <f>参数调整!$K$32*怪物掉落配置方案!$D4300</f>
        <v>0</v>
      </c>
    </row>
    <row r="1223" spans="1:4" ht="16.5" hidden="1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313">
        <f>参数调整!$K$32*怪物掉落配置方案!$D4301</f>
        <v>0</v>
      </c>
    </row>
    <row r="1224" spans="1:4" ht="16.5" hidden="1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313">
        <f>参数调整!$K$32*怪物掉落配置方案!$D4302</f>
        <v>0</v>
      </c>
    </row>
    <row r="1225" spans="1:4" ht="16.5" hidden="1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313">
        <f>参数调整!$K$32*怪物掉落配置方案!$D4303</f>
        <v>0</v>
      </c>
    </row>
    <row r="1226" spans="1:4" ht="16.5" hidden="1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313">
        <f>参数调整!$K$32*怪物掉落配置方案!$D4304</f>
        <v>0</v>
      </c>
    </row>
    <row r="1227" spans="1:4" ht="16.5" hidden="1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313">
        <f>参数调整!$K$32*怪物掉落配置方案!$D4305</f>
        <v>0</v>
      </c>
    </row>
    <row r="1228" spans="1:4" ht="16.5" hidden="1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313">
        <f>参数调整!$K$32*怪物掉落配置方案!$D4306</f>
        <v>0</v>
      </c>
    </row>
    <row r="1229" spans="1:4" ht="16.5" hidden="1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313">
        <f>参数调整!$K$32*怪物掉落配置方案!$D4307</f>
        <v>0</v>
      </c>
    </row>
    <row r="1230" spans="1:4" ht="16.5" hidden="1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313">
        <f>参数调整!$K$32*怪物掉落配置方案!$D4308</f>
        <v>0</v>
      </c>
    </row>
    <row r="1231" spans="1:4" ht="16.5" hidden="1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313">
        <f>参数调整!$K$32*怪物掉落配置方案!$D4309</f>
        <v>0</v>
      </c>
    </row>
    <row r="1232" spans="1:4" ht="16.5" hidden="1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313">
        <f>参数调整!$K$32*怪物掉落配置方案!$D4310</f>
        <v>0</v>
      </c>
    </row>
    <row r="1233" spans="1:4" ht="16.5" hidden="1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313">
        <f>参数调整!$K$32*怪物掉落配置方案!$D4311</f>
        <v>0</v>
      </c>
    </row>
    <row r="1234" spans="1:4" ht="16.5" hidden="1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313">
        <f>参数调整!$K$32*怪物掉落配置方案!$D4312</f>
        <v>0</v>
      </c>
    </row>
    <row r="1235" spans="1:4" ht="16.5" hidden="1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313">
        <f>参数调整!$K$32*怪物掉落配置方案!$D4313</f>
        <v>0</v>
      </c>
    </row>
    <row r="1236" spans="1:4" ht="16.5" hidden="1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313">
        <f>参数调整!$K$32*怪物掉落配置方案!$D4314</f>
        <v>0</v>
      </c>
    </row>
    <row r="1237" spans="1:4" ht="16.5" hidden="1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313">
        <f>参数调整!$K$32*怪物掉落配置方案!$D4315</f>
        <v>0</v>
      </c>
    </row>
    <row r="1238" spans="1:4" ht="16.5" hidden="1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313">
        <f>参数调整!$K$32*怪物掉落配置方案!$D4316</f>
        <v>0</v>
      </c>
    </row>
    <row r="1239" spans="1:4" ht="16.5" hidden="1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313">
        <f>参数调整!$K$32*怪物掉落配置方案!$D4317</f>
        <v>0</v>
      </c>
    </row>
    <row r="1240" spans="1:4" ht="16.5" hidden="1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313">
        <f>参数调整!$K$32*怪物掉落配置方案!$D4318</f>
        <v>0</v>
      </c>
    </row>
    <row r="1241" spans="1:4" ht="16.5" hidden="1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313">
        <f>参数调整!$K$32*怪物掉落配置方案!$D4319</f>
        <v>0</v>
      </c>
    </row>
    <row r="1242" spans="1:4" ht="16.5" hidden="1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313">
        <f>参数调整!$K$32*怪物掉落配置方案!$D4320</f>
        <v>0</v>
      </c>
    </row>
    <row r="1243" spans="1:4" ht="16.5" hidden="1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313">
        <f>参数调整!$K$32*怪物掉落配置方案!$D4321</f>
        <v>0</v>
      </c>
    </row>
    <row r="1244" spans="1:4" ht="16.5" hidden="1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313">
        <f>参数调整!$K$32*怪物掉落配置方案!$D4322</f>
        <v>0</v>
      </c>
    </row>
    <row r="1245" spans="1:4" ht="16.5" hidden="1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313">
        <f>参数调整!$K$32*怪物掉落配置方案!$D4323</f>
        <v>0</v>
      </c>
    </row>
    <row r="1246" spans="1:4" ht="16.5" hidden="1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313">
        <f>参数调整!$K$32*怪物掉落配置方案!$D4324</f>
        <v>0</v>
      </c>
    </row>
    <row r="1247" spans="1:4" ht="16.5" hidden="1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313">
        <f>参数调整!$K$32*怪物掉落配置方案!$D4325</f>
        <v>0</v>
      </c>
    </row>
    <row r="1248" spans="1:4" ht="16.5" hidden="1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313">
        <f>参数调整!$K$32*怪物掉落配置方案!$D4326</f>
        <v>0</v>
      </c>
    </row>
    <row r="1249" spans="1:4" ht="16.5" hidden="1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313">
        <f>参数调整!$K$32*怪物掉落配置方案!$D4327</f>
        <v>0</v>
      </c>
    </row>
    <row r="1250" spans="1:4" ht="16.5" hidden="1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313">
        <f>参数调整!$K$32*怪物掉落配置方案!$D4328</f>
        <v>0</v>
      </c>
    </row>
    <row r="1251" spans="1:4" ht="16.5" hidden="1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313">
        <f>参数调整!$K$32*怪物掉落配置方案!$D4329</f>
        <v>0</v>
      </c>
    </row>
    <row r="1252" spans="1:4" ht="16.5" hidden="1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313">
        <f>参数调整!$K$32*怪物掉落配置方案!$D4330</f>
        <v>0</v>
      </c>
    </row>
    <row r="1253" spans="1:4" ht="16.5" hidden="1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313">
        <f>参数调整!$K$32*怪物掉落配置方案!$D4331</f>
        <v>0</v>
      </c>
    </row>
    <row r="1254" spans="1:4" ht="16.5" hidden="1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313">
        <f>参数调整!$K$32*怪物掉落配置方案!$D4332</f>
        <v>0</v>
      </c>
    </row>
    <row r="1255" spans="1:4" ht="16.5" hidden="1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313">
        <f>参数调整!$K$32*怪物掉落配置方案!$D4333</f>
        <v>0</v>
      </c>
    </row>
    <row r="1256" spans="1:4" ht="16.5" hidden="1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313">
        <f>参数调整!$K$32*怪物掉落配置方案!$D4334</f>
        <v>0</v>
      </c>
    </row>
    <row r="1257" spans="1:4" ht="16.5" hidden="1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313">
        <f>参数调整!$K$32*怪物掉落配置方案!$D4335</f>
        <v>0</v>
      </c>
    </row>
    <row r="1258" spans="1:4" ht="16.5" hidden="1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313">
        <f>参数调整!$K$32*怪物掉落配置方案!$D4336</f>
        <v>0</v>
      </c>
    </row>
    <row r="1259" spans="1:4" ht="16.5" hidden="1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313">
        <f>参数调整!$K$32*怪物掉落配置方案!$D4337</f>
        <v>0</v>
      </c>
    </row>
    <row r="1260" spans="1:4" ht="16.5" hidden="1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313">
        <f>参数调整!$K$32*怪物掉落配置方案!$D4338</f>
        <v>0</v>
      </c>
    </row>
    <row r="1261" spans="1:4" ht="16.5" hidden="1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313">
        <f>参数调整!$K$32*怪物掉落配置方案!$D4339</f>
        <v>0</v>
      </c>
    </row>
    <row r="1262" spans="1:4" ht="16.5" hidden="1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313">
        <f>参数调整!$K$32*怪物掉落配置方案!$D4340</f>
        <v>0</v>
      </c>
    </row>
    <row r="1263" spans="1:4" ht="16.5" hidden="1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313">
        <f>参数调整!$K$32*怪物掉落配置方案!$D4341</f>
        <v>0</v>
      </c>
    </row>
    <row r="1264" spans="1:4" ht="16.5" hidden="1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313">
        <f>参数调整!$K$32*怪物掉落配置方案!$D4342</f>
        <v>0</v>
      </c>
    </row>
    <row r="1265" spans="1:4" ht="16.5" hidden="1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313">
        <f>参数调整!$K$32*怪物掉落配置方案!$D4343</f>
        <v>0</v>
      </c>
    </row>
    <row r="1266" spans="1:4" ht="16.5" hidden="1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313">
        <f>参数调整!$K$32*怪物掉落配置方案!$D4344</f>
        <v>0</v>
      </c>
    </row>
    <row r="1267" spans="1:4" ht="16.5" hidden="1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313">
        <f>参数调整!$K$32*怪物掉落配置方案!$D4345</f>
        <v>0</v>
      </c>
    </row>
    <row r="1268" spans="1:4" ht="16.5" hidden="1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313">
        <f>参数调整!$K$32*怪物掉落配置方案!$D4346</f>
        <v>0</v>
      </c>
    </row>
    <row r="1269" spans="1:4" ht="16.5" hidden="1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313">
        <f>参数调整!$K$32*怪物掉落配置方案!$D4347</f>
        <v>0</v>
      </c>
    </row>
    <row r="1270" spans="1:4" ht="16.5" hidden="1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313">
        <f>参数调整!$K$32*怪物掉落配置方案!$D4348</f>
        <v>0</v>
      </c>
    </row>
    <row r="1271" spans="1:4" ht="16.5" hidden="1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313">
        <f>参数调整!$K$32*怪物掉落配置方案!$D4349</f>
        <v>0</v>
      </c>
    </row>
    <row r="1272" spans="1:4" ht="16.5" hidden="1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313">
        <f>参数调整!$K$32*怪物掉落配置方案!$D4350</f>
        <v>0</v>
      </c>
    </row>
    <row r="1273" spans="1:4" ht="16.5" hidden="1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313">
        <f>参数调整!$K$32*怪物掉落配置方案!$D4351</f>
        <v>0</v>
      </c>
    </row>
    <row r="1274" spans="1:4" ht="16.5" hidden="1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313">
        <f>参数调整!$K$32*怪物掉落配置方案!$D4352</f>
        <v>0</v>
      </c>
    </row>
    <row r="1275" spans="1:4" ht="16.5" hidden="1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313">
        <f>参数调整!$K$32*怪物掉落配置方案!$D4353</f>
        <v>0</v>
      </c>
    </row>
    <row r="1276" spans="1:4" ht="16.5" hidden="1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313">
        <f>参数调整!$K$32*怪物掉落配置方案!$D4354</f>
        <v>0</v>
      </c>
    </row>
    <row r="1277" spans="1:4" ht="16.5" hidden="1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313">
        <f>参数调整!$K$32*怪物掉落配置方案!$D4355</f>
        <v>0</v>
      </c>
    </row>
    <row r="1278" spans="1:4" ht="16.5" hidden="1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313">
        <f>参数调整!$K$32*怪物掉落配置方案!$D4356</f>
        <v>0</v>
      </c>
    </row>
    <row r="1279" spans="1:4" ht="16.5" hidden="1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313">
        <f>参数调整!$K$32*怪物掉落配置方案!$D4357</f>
        <v>0</v>
      </c>
    </row>
    <row r="1280" spans="1:4" ht="16.5" hidden="1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313">
        <f>参数调整!$K$32*怪物掉落配置方案!$D4358</f>
        <v>0</v>
      </c>
    </row>
    <row r="1281" spans="1:4" ht="16.5" hidden="1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313">
        <f>参数调整!$K$32*怪物掉落配置方案!$D4359</f>
        <v>0</v>
      </c>
    </row>
    <row r="1282" spans="1:4" ht="16.5" hidden="1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313">
        <f>参数调整!$K$32*怪物掉落配置方案!$D4360</f>
        <v>0</v>
      </c>
    </row>
    <row r="1283" spans="1:4" ht="16.5" hidden="1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313">
        <f>参数调整!$K$32*怪物掉落配置方案!$D4361</f>
        <v>0</v>
      </c>
    </row>
    <row r="1284" spans="1:4" ht="16.5" hidden="1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313">
        <f>参数调整!$K$32*怪物掉落配置方案!$D4362</f>
        <v>0</v>
      </c>
    </row>
    <row r="1285" spans="1:4" ht="16.5" hidden="1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313">
        <f>参数调整!$K$32*怪物掉落配置方案!$D4363</f>
        <v>0</v>
      </c>
    </row>
    <row r="1286" spans="1:4" ht="16.5" hidden="1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313">
        <f>参数调整!$K$32*怪物掉落配置方案!$D4364</f>
        <v>0</v>
      </c>
    </row>
    <row r="1287" spans="1:4" ht="16.5" hidden="1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313">
        <f>参数调整!$K$32*怪物掉落配置方案!$D4365</f>
        <v>0</v>
      </c>
    </row>
    <row r="1288" spans="1:4" ht="16.5" hidden="1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313">
        <f>参数调整!$K$32*怪物掉落配置方案!$D4366</f>
        <v>0</v>
      </c>
    </row>
    <row r="1289" spans="1:4" ht="16.5" hidden="1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313">
        <f>参数调整!$K$32*怪物掉落配置方案!$D4367</f>
        <v>0</v>
      </c>
    </row>
    <row r="1290" spans="1:4" ht="16.5" hidden="1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313">
        <f>参数调整!$K$32*怪物掉落配置方案!$D4368</f>
        <v>0</v>
      </c>
    </row>
    <row r="1291" spans="1:4" ht="16.5" hidden="1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313">
        <f>参数调整!$K$32*怪物掉落配置方案!$D4369</f>
        <v>0</v>
      </c>
    </row>
    <row r="1292" spans="1:4" ht="16.5" hidden="1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313">
        <f>参数调整!$K$32*怪物掉落配置方案!$D4370</f>
        <v>0</v>
      </c>
    </row>
    <row r="1293" spans="1:4" ht="16.5" hidden="1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313">
        <f>参数调整!$K$32*怪物掉落配置方案!$D4371</f>
        <v>0</v>
      </c>
    </row>
    <row r="1294" spans="1:4" ht="16.5" hidden="1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313">
        <f>参数调整!$K$32*怪物掉落配置方案!$D4372</f>
        <v>0</v>
      </c>
    </row>
    <row r="1295" spans="1:4" ht="16.5" hidden="1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313">
        <f>参数调整!$K$32*怪物掉落配置方案!$D4373</f>
        <v>0</v>
      </c>
    </row>
    <row r="1296" spans="1:4" ht="16.5" hidden="1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313">
        <f>参数调整!$K$32*怪物掉落配置方案!$D4374</f>
        <v>0</v>
      </c>
    </row>
    <row r="1297" spans="1:4" ht="16.5" hidden="1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313">
        <f>参数调整!$K$32*怪物掉落配置方案!$D4375</f>
        <v>0</v>
      </c>
    </row>
    <row r="1298" spans="1:4" ht="16.5" hidden="1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313">
        <f>参数调整!$K$32*怪物掉落配置方案!$D4376</f>
        <v>0</v>
      </c>
    </row>
    <row r="1299" spans="1:4" ht="16.5" hidden="1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313">
        <f>参数调整!$K$32*怪物掉落配置方案!$D4377</f>
        <v>0</v>
      </c>
    </row>
    <row r="1300" spans="1:4" ht="16.5" hidden="1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313">
        <f>参数调整!$K$32*怪物掉落配置方案!$D4378</f>
        <v>0</v>
      </c>
    </row>
    <row r="1301" spans="1:4" ht="16.5" hidden="1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313">
        <f>参数调整!$K$32*怪物掉落配置方案!$D4379</f>
        <v>0</v>
      </c>
    </row>
    <row r="1302" spans="1:4" ht="16.5" hidden="1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313">
        <f>参数调整!$K$32*怪物掉落配置方案!$D4380</f>
        <v>0</v>
      </c>
    </row>
    <row r="1303" spans="1:4" ht="16.5" hidden="1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313">
        <f>参数调整!$K$32*怪物掉落配置方案!$D4381</f>
        <v>0</v>
      </c>
    </row>
    <row r="1304" spans="1:4" ht="16.5" hidden="1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313">
        <f>参数调整!$K$32*怪物掉落配置方案!$D4382</f>
        <v>0</v>
      </c>
    </row>
    <row r="1305" spans="1:4" ht="16.5" hidden="1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313">
        <f>参数调整!$K$32*怪物掉落配置方案!$D4383</f>
        <v>0</v>
      </c>
    </row>
    <row r="1306" spans="1:4" ht="16.5" hidden="1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313">
        <f>参数调整!$K$32*怪物掉落配置方案!$D4384</f>
        <v>0</v>
      </c>
    </row>
    <row r="1307" spans="1:4" ht="16.5" hidden="1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313">
        <f>参数调整!$K$32*怪物掉落配置方案!$D4385</f>
        <v>0</v>
      </c>
    </row>
    <row r="1308" spans="1:4" ht="16.5" hidden="1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313">
        <f>参数调整!$K$32*怪物掉落配置方案!$D4386</f>
        <v>0</v>
      </c>
    </row>
    <row r="1309" spans="1:4" ht="16.5" hidden="1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313">
        <f>参数调整!$K$32*怪物掉落配置方案!$D4387</f>
        <v>0</v>
      </c>
    </row>
    <row r="1310" spans="1:4" ht="16.5" hidden="1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313">
        <f>参数调整!$K$32*怪物掉落配置方案!$D4388</f>
        <v>0</v>
      </c>
    </row>
    <row r="1311" spans="1:4" ht="16.5" hidden="1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313">
        <f>参数调整!$K$32*怪物掉落配置方案!$D4389</f>
        <v>0</v>
      </c>
    </row>
    <row r="1312" spans="1:4" ht="16.5" hidden="1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313">
        <f>参数调整!$K$32*怪物掉落配置方案!$D4390</f>
        <v>0</v>
      </c>
    </row>
    <row r="1313" spans="1:4" ht="16.5" hidden="1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313">
        <f>参数调整!$K$32*怪物掉落配置方案!$D4391</f>
        <v>0</v>
      </c>
    </row>
    <row r="1314" spans="1:4" ht="16.5" hidden="1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313">
        <f>参数调整!$K$32*怪物掉落配置方案!$D4392</f>
        <v>0</v>
      </c>
    </row>
    <row r="1315" spans="1:4" ht="16.5" hidden="1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313">
        <f>参数调整!$K$32*怪物掉落配置方案!$D4393</f>
        <v>0</v>
      </c>
    </row>
    <row r="1316" spans="1:4" ht="16.5" hidden="1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313">
        <f>参数调整!$K$32*怪物掉落配置方案!$D4394</f>
        <v>0</v>
      </c>
    </row>
    <row r="1317" spans="1:4" ht="16.5" hidden="1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313">
        <f>参数调整!$K$32*怪物掉落配置方案!$D4395</f>
        <v>0</v>
      </c>
    </row>
    <row r="1318" spans="1:4" ht="16.5" hidden="1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313">
        <f>参数调整!$K$32*怪物掉落配置方案!$D4396</f>
        <v>0</v>
      </c>
    </row>
    <row r="1319" spans="1:4" ht="16.5" hidden="1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313">
        <f>参数调整!$K$32*怪物掉落配置方案!$D4397</f>
        <v>0</v>
      </c>
    </row>
    <row r="1320" spans="1:4" ht="16.5" hidden="1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313">
        <f>参数调整!$K$32*怪物掉落配置方案!$D4398</f>
        <v>0</v>
      </c>
    </row>
    <row r="1321" spans="1:4" ht="16.5" hidden="1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313">
        <f>参数调整!$K$32*怪物掉落配置方案!$D4399</f>
        <v>0</v>
      </c>
    </row>
    <row r="1322" spans="1:4" ht="16.5" hidden="1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313">
        <f>参数调整!$K$32*怪物掉落配置方案!$D4400</f>
        <v>0</v>
      </c>
    </row>
    <row r="1323" spans="1:4" ht="16.5" hidden="1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313">
        <f>参数调整!$K$32*怪物掉落配置方案!$D4401</f>
        <v>0</v>
      </c>
    </row>
    <row r="1324" spans="1:4" ht="16.5" hidden="1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313">
        <f>参数调整!$K$32*怪物掉落配置方案!$D4402</f>
        <v>0</v>
      </c>
    </row>
    <row r="1325" spans="1:4" ht="16.5" hidden="1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313">
        <f>参数调整!$K$32*怪物掉落配置方案!$D4403</f>
        <v>0</v>
      </c>
    </row>
    <row r="1326" spans="1:4" ht="16.5" hidden="1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313">
        <f>参数调整!$K$32*怪物掉落配置方案!$D4404</f>
        <v>0</v>
      </c>
    </row>
    <row r="1327" spans="1:4" ht="16.5" hidden="1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313">
        <f>参数调整!$K$32*怪物掉落配置方案!$D4405</f>
        <v>0</v>
      </c>
    </row>
    <row r="1328" spans="1:4" ht="16.5" hidden="1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313">
        <f>参数调整!$K$32*怪物掉落配置方案!$D4406</f>
        <v>0</v>
      </c>
    </row>
    <row r="1329" spans="1:4" ht="16.5" hidden="1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313">
        <f>参数调整!$K$32*怪物掉落配置方案!$D4407</f>
        <v>0</v>
      </c>
    </row>
    <row r="1330" spans="1:4" ht="16.5" hidden="1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313">
        <f>参数调整!$K$32*怪物掉落配置方案!$D4408</f>
        <v>0</v>
      </c>
    </row>
    <row r="1331" spans="1:4" ht="16.5" hidden="1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313">
        <f>参数调整!$K$32*怪物掉落配置方案!$D4409</f>
        <v>0</v>
      </c>
    </row>
    <row r="1332" spans="1:4" ht="16.5" hidden="1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313">
        <f>参数调整!$K$32*怪物掉落配置方案!$D4410</f>
        <v>0</v>
      </c>
    </row>
    <row r="1333" spans="1:4" ht="16.5" hidden="1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313">
        <f>参数调整!$K$32*怪物掉落配置方案!$D4411</f>
        <v>0</v>
      </c>
    </row>
    <row r="1334" spans="1:4" ht="16.5" hidden="1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313">
        <f>参数调整!$K$32*怪物掉落配置方案!$D4412</f>
        <v>0</v>
      </c>
    </row>
    <row r="1335" spans="1:4" ht="16.5" hidden="1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313">
        <f>参数调整!$K$32*怪物掉落配置方案!$D4413</f>
        <v>0</v>
      </c>
    </row>
    <row r="1336" spans="1:4" ht="16.5" hidden="1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313">
        <f>参数调整!$K$32*怪物掉落配置方案!$D4414</f>
        <v>0</v>
      </c>
    </row>
    <row r="1337" spans="1:4" ht="16.5" hidden="1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313">
        <f>参数调整!$K$32*怪物掉落配置方案!$D4415</f>
        <v>0</v>
      </c>
    </row>
    <row r="1338" spans="1:4" ht="16.5" hidden="1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313">
        <f>参数调整!$K$32*怪物掉落配置方案!$D4416</f>
        <v>0</v>
      </c>
    </row>
    <row r="1339" spans="1:4" ht="16.5" hidden="1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313">
        <f>参数调整!$K$32*怪物掉落配置方案!$D4417</f>
        <v>0</v>
      </c>
    </row>
    <row r="1340" spans="1:4" ht="16.5" hidden="1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313">
        <f>参数调整!$K$32*怪物掉落配置方案!$D4418</f>
        <v>0</v>
      </c>
    </row>
    <row r="1341" spans="1:4" ht="16.5" hidden="1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313">
        <f>参数调整!$K$32*怪物掉落配置方案!$D4419</f>
        <v>0</v>
      </c>
    </row>
    <row r="1342" spans="1:4" ht="16.5" hidden="1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313">
        <f>参数调整!$K$32*怪物掉落配置方案!$D4420</f>
        <v>0</v>
      </c>
    </row>
    <row r="1343" spans="1:4" ht="16.5" hidden="1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313">
        <f>参数调整!$K$32*怪物掉落配置方案!$D4421</f>
        <v>0</v>
      </c>
    </row>
    <row r="1344" spans="1:4" ht="16.5" hidden="1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313">
        <f>参数调整!$K$32*怪物掉落配置方案!$D4422</f>
        <v>0</v>
      </c>
    </row>
    <row r="1345" spans="1:4" ht="16.5" hidden="1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313">
        <f>参数调整!$K$32*怪物掉落配置方案!$D4423</f>
        <v>0</v>
      </c>
    </row>
    <row r="1346" spans="1:4" ht="16.5" hidden="1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313">
        <f>参数调整!$K$32*怪物掉落配置方案!$D4424</f>
        <v>0</v>
      </c>
    </row>
    <row r="1347" spans="1:4" ht="16.5" hidden="1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313">
        <f>参数调整!$K$32*怪物掉落配置方案!$D4425</f>
        <v>0</v>
      </c>
    </row>
    <row r="1348" spans="1:4" ht="16.5" hidden="1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313">
        <f>参数调整!$K$32*怪物掉落配置方案!$D4426</f>
        <v>0</v>
      </c>
    </row>
    <row r="1349" spans="1:4" ht="16.5" hidden="1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313">
        <f>参数调整!$K$32*怪物掉落配置方案!$D4427</f>
        <v>0</v>
      </c>
    </row>
    <row r="1350" spans="1:4" ht="16.5" hidden="1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313">
        <f>参数调整!$K$32*怪物掉落配置方案!$D4428</f>
        <v>0</v>
      </c>
    </row>
    <row r="1351" spans="1:4" ht="16.5" hidden="1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313">
        <f>参数调整!$K$32*怪物掉落配置方案!$D4429</f>
        <v>0</v>
      </c>
    </row>
    <row r="1352" spans="1:4" ht="16.5" hidden="1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313">
        <f>参数调整!$K$32*怪物掉落配置方案!$D4430</f>
        <v>0</v>
      </c>
    </row>
    <row r="1353" spans="1:4" ht="16.5" hidden="1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313">
        <f>参数调整!$K$32*怪物掉落配置方案!$D4431</f>
        <v>0</v>
      </c>
    </row>
    <row r="1354" spans="1:4" ht="16.5" hidden="1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313">
        <f>参数调整!$K$32*怪物掉落配置方案!$D4432</f>
        <v>0</v>
      </c>
    </row>
    <row r="1355" spans="1:4" ht="16.5" hidden="1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313">
        <f>参数调整!$K$32*怪物掉落配置方案!$D4433</f>
        <v>0</v>
      </c>
    </row>
    <row r="1356" spans="1:4" ht="16.5" hidden="1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313">
        <f>参数调整!$K$32*怪物掉落配置方案!$D4434</f>
        <v>0</v>
      </c>
    </row>
    <row r="1357" spans="1:4" ht="16.5" hidden="1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313">
        <f>参数调整!$K$32*怪物掉落配置方案!$D4435</f>
        <v>0</v>
      </c>
    </row>
    <row r="1358" spans="1:4" ht="16.5" hidden="1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313">
        <f>参数调整!$K$32*怪物掉落配置方案!$D4436</f>
        <v>0</v>
      </c>
    </row>
    <row r="1359" spans="1:4" ht="16.5" hidden="1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313">
        <f>参数调整!$K$32*怪物掉落配置方案!$D4437</f>
        <v>0</v>
      </c>
    </row>
    <row r="1360" spans="1:4" ht="16.5" hidden="1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313">
        <f>参数调整!$K$32*怪物掉落配置方案!$D4438</f>
        <v>0</v>
      </c>
    </row>
    <row r="1361" spans="1:4" ht="16.5" hidden="1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313">
        <f>参数调整!$K$32*怪物掉落配置方案!$D4439</f>
        <v>0</v>
      </c>
    </row>
    <row r="1362" spans="1:4" ht="16.5" hidden="1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313">
        <f>参数调整!$K$32*怪物掉落配置方案!$D4440</f>
        <v>0</v>
      </c>
    </row>
    <row r="1363" spans="1:4" ht="16.5" hidden="1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313">
        <f>参数调整!$K$32*怪物掉落配置方案!$D4441</f>
        <v>0</v>
      </c>
    </row>
    <row r="1364" spans="1:4" ht="16.5" hidden="1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313">
        <f>参数调整!$K$32*怪物掉落配置方案!$D4442</f>
        <v>0</v>
      </c>
    </row>
    <row r="1365" spans="1:4" ht="16.5" hidden="1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313">
        <f>参数调整!$K$32*怪物掉落配置方案!$D4443</f>
        <v>0</v>
      </c>
    </row>
    <row r="1366" spans="1:4" ht="16.5" hidden="1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313">
        <f>参数调整!$K$32*怪物掉落配置方案!$D4444</f>
        <v>0</v>
      </c>
    </row>
    <row r="1367" spans="1:4" ht="16.5" hidden="1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313">
        <f>参数调整!$K$32*怪物掉落配置方案!$D4445</f>
        <v>0</v>
      </c>
    </row>
    <row r="1368" spans="1:4" ht="16.5" hidden="1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313">
        <f>参数调整!$K$32*怪物掉落配置方案!$D4446</f>
        <v>0</v>
      </c>
    </row>
    <row r="1369" spans="1:4" ht="16.5" hidden="1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313">
        <f>参数调整!$K$32*怪物掉落配置方案!$D4447</f>
        <v>0</v>
      </c>
    </row>
    <row r="1370" spans="1:4" ht="16.5" hidden="1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313">
        <f>参数调整!$K$32*怪物掉落配置方案!$D4448</f>
        <v>0</v>
      </c>
    </row>
    <row r="1371" spans="1:4" ht="16.5" hidden="1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313">
        <f>参数调整!$K$32*怪物掉落配置方案!$D4449</f>
        <v>0</v>
      </c>
    </row>
    <row r="1372" spans="1:4" ht="16.5" hidden="1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313">
        <f>参数调整!$K$32*怪物掉落配置方案!$D4450</f>
        <v>0</v>
      </c>
    </row>
    <row r="1373" spans="1:4" ht="16.5" hidden="1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313">
        <f>参数调整!$K$32*怪物掉落配置方案!$D4451</f>
        <v>0</v>
      </c>
    </row>
    <row r="1374" spans="1:4" ht="16.5" hidden="1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313">
        <f>参数调整!$K$32*怪物掉落配置方案!$D4452</f>
        <v>0</v>
      </c>
    </row>
    <row r="1375" spans="1:4" ht="16.5" hidden="1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313">
        <f>参数调整!$K$32*怪物掉落配置方案!$D4453</f>
        <v>0</v>
      </c>
    </row>
    <row r="1376" spans="1:4" ht="16.5" hidden="1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313">
        <f>参数调整!$K$32*怪物掉落配置方案!$D4454</f>
        <v>0</v>
      </c>
    </row>
    <row r="1377" spans="1:4" ht="16.5" hidden="1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313">
        <f>参数调整!$K$32*怪物掉落配置方案!$D4455</f>
        <v>0</v>
      </c>
    </row>
    <row r="1378" spans="1:4" ht="16.5" hidden="1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313">
        <f>参数调整!$K$32*怪物掉落配置方案!$D4456</f>
        <v>0</v>
      </c>
    </row>
    <row r="1379" spans="1:4" ht="16.5" hidden="1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313">
        <f>参数调整!$K$32*怪物掉落配置方案!$D4457</f>
        <v>0</v>
      </c>
    </row>
    <row r="1380" spans="1:4" ht="16.5" hidden="1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313">
        <f>参数调整!$K$32*怪物掉落配置方案!$D4458</f>
        <v>0</v>
      </c>
    </row>
    <row r="1381" spans="1:4" ht="16.5" hidden="1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313">
        <f>参数调整!$K$32*怪物掉落配置方案!$D4459</f>
        <v>0</v>
      </c>
    </row>
    <row r="1382" spans="1:4" ht="16.5" hidden="1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313">
        <f>参数调整!$K$32*怪物掉落配置方案!$D4460</f>
        <v>0</v>
      </c>
    </row>
    <row r="1383" spans="1:4" ht="16.5" hidden="1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313">
        <f>参数调整!$K$32*怪物掉落配置方案!$D4461</f>
        <v>0</v>
      </c>
    </row>
    <row r="1384" spans="1:4" ht="16.5" hidden="1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313">
        <f>参数调整!$K$32*怪物掉落配置方案!$D4462</f>
        <v>0</v>
      </c>
    </row>
    <row r="1385" spans="1:4" ht="16.5" hidden="1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313">
        <f>参数调整!$K$32*怪物掉落配置方案!$D4463</f>
        <v>0</v>
      </c>
    </row>
    <row r="1386" spans="1:4" ht="16.5" hidden="1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313">
        <f>参数调整!$K$32*怪物掉落配置方案!$D4464</f>
        <v>0</v>
      </c>
    </row>
    <row r="1387" spans="1:4" ht="16.5" hidden="1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313">
        <f>参数调整!$K$32*怪物掉落配置方案!$D4465</f>
        <v>0</v>
      </c>
    </row>
    <row r="1388" spans="1:4" ht="16.5" hidden="1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313">
        <f>参数调整!$K$32*怪物掉落配置方案!$D4466</f>
        <v>0</v>
      </c>
    </row>
    <row r="1389" spans="1:4" ht="16.5" hidden="1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313">
        <f>参数调整!$K$32*怪物掉落配置方案!$D4467</f>
        <v>0</v>
      </c>
    </row>
    <row r="1390" spans="1:4" ht="16.5" hidden="1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313">
        <f>参数调整!$K$32*怪物掉落配置方案!$D4468</f>
        <v>0</v>
      </c>
    </row>
    <row r="1391" spans="1:4" ht="16.5" hidden="1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313">
        <f>参数调整!$K$32*怪物掉落配置方案!$D4469</f>
        <v>0</v>
      </c>
    </row>
    <row r="1392" spans="1:4" ht="16.5" hidden="1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313">
        <f>参数调整!$K$32*怪物掉落配置方案!$D4470</f>
        <v>0</v>
      </c>
    </row>
    <row r="1393" spans="1:4" ht="16.5" hidden="1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313">
        <f>参数调整!$K$32*怪物掉落配置方案!$D4471</f>
        <v>0</v>
      </c>
    </row>
    <row r="1394" spans="1:4" ht="16.5" hidden="1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313">
        <f>参数调整!$K$32*怪物掉落配置方案!$D4472</f>
        <v>0</v>
      </c>
    </row>
    <row r="1395" spans="1:4" ht="16.5" hidden="1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313">
        <f>参数调整!$K$32*怪物掉落配置方案!$D4473</f>
        <v>0</v>
      </c>
    </row>
    <row r="1396" spans="1:4" ht="16.5" hidden="1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313">
        <f>参数调整!$K$32*怪物掉落配置方案!$D4474</f>
        <v>0</v>
      </c>
    </row>
    <row r="1397" spans="1:4" ht="16.5" hidden="1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313">
        <f>参数调整!$K$32*怪物掉落配置方案!$D4475</f>
        <v>0</v>
      </c>
    </row>
    <row r="1398" spans="1:4" ht="16.5" hidden="1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313">
        <f>参数调整!$K$32*怪物掉落配置方案!$D4476</f>
        <v>0</v>
      </c>
    </row>
    <row r="1399" spans="1:4" ht="16.5" hidden="1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313">
        <f>参数调整!$K$32*怪物掉落配置方案!$D4477</f>
        <v>0</v>
      </c>
    </row>
    <row r="1400" spans="1:4" ht="16.5" hidden="1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313">
        <f>参数调整!$K$32*怪物掉落配置方案!$D4478</f>
        <v>0</v>
      </c>
    </row>
    <row r="1401" spans="1:4" ht="16.5" hidden="1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313">
        <f>参数调整!$K$32*怪物掉落配置方案!$D4479</f>
        <v>0</v>
      </c>
    </row>
    <row r="1402" spans="1:4" ht="16.5" hidden="1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313">
        <f>参数调整!$K$32*怪物掉落配置方案!$D4480</f>
        <v>0</v>
      </c>
    </row>
    <row r="1403" spans="1:4" ht="16.5" hidden="1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313">
        <f>参数调整!$K$32*怪物掉落配置方案!$D4481</f>
        <v>0</v>
      </c>
    </row>
    <row r="1404" spans="1:4" ht="16.5" hidden="1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313">
        <f>参数调整!$K$32*怪物掉落配置方案!$D4482</f>
        <v>0</v>
      </c>
    </row>
    <row r="1405" spans="1:4" ht="16.5" hidden="1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313">
        <f>参数调整!$K$32*怪物掉落配置方案!$D4483</f>
        <v>0</v>
      </c>
    </row>
    <row r="1406" spans="1:4" ht="16.5" hidden="1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313">
        <f>参数调整!$K$32*怪物掉落配置方案!$D4484</f>
        <v>0</v>
      </c>
    </row>
    <row r="1407" spans="1:4" ht="16.5" hidden="1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313">
        <f>参数调整!$K$32*怪物掉落配置方案!$D4485</f>
        <v>2.2700463611960771E-2</v>
      </c>
    </row>
    <row r="1408" spans="1:4" ht="16.5" hidden="1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313">
        <f>参数调整!$K$32*怪物掉落配置方案!$D4486</f>
        <v>2.8730274258887849E-2</v>
      </c>
    </row>
    <row r="1409" spans="1:4" ht="16.5" hidden="1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313">
        <f>参数调整!$K$32*怪物掉落配置方案!$D4487</f>
        <v>3.5469474393688701E-2</v>
      </c>
    </row>
    <row r="1410" spans="1:4" ht="16.5" hidden="1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313">
        <f>参数调整!$K$32*怪物掉落配置方案!$D4488</f>
        <v>4.2918064016363333E-2</v>
      </c>
    </row>
    <row r="1411" spans="1:4" ht="16.5" hidden="1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313">
        <f>参数调整!$K$32*怪物掉落配置方案!$D4489</f>
        <v>5.1076043126911719E-2</v>
      </c>
    </row>
    <row r="1412" spans="1:4" ht="16.5" hidden="1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313">
        <f>参数调整!$K$32*怪物掉落配置方案!$D4490</f>
        <v>5.9943411725333906E-2</v>
      </c>
    </row>
    <row r="1413" spans="1:4" ht="16.5" hidden="1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313">
        <f>参数调整!$K$32*怪物掉落配置方案!$D4491</f>
        <v>6.9520169811629839E-2</v>
      </c>
    </row>
    <row r="1414" spans="1:4" ht="16.5" hidden="1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313">
        <f>参数调整!$K$32*怪物掉落配置方案!$D4492</f>
        <v>7.9806317385799574E-2</v>
      </c>
    </row>
    <row r="1415" spans="1:4" ht="16.5" hidden="1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313">
        <f>参数调整!$K$32*怪物掉落配置方案!$D4493</f>
        <v>9.0801854447843097E-2</v>
      </c>
    </row>
    <row r="1416" spans="1:4" ht="16.5" hidden="1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313">
        <f>参数调整!$K$32*怪物掉落配置方案!$D4494</f>
        <v>0.11492109703555142</v>
      </c>
    </row>
    <row r="1417" spans="1:4" ht="16.5" hidden="1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313">
        <f>参数调整!$K$32*怪物掉落配置方案!$D4495</f>
        <v>0.1418778975747548</v>
      </c>
    </row>
    <row r="1418" spans="1:4" ht="16.5" hidden="1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313">
        <f>参数调整!$K$32*怪物掉落配置方案!$D4496</f>
        <v>0.17167225606545333</v>
      </c>
    </row>
    <row r="1419" spans="1:4" ht="16.5" hidden="1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313">
        <f>参数调整!$K$32*怪物掉落配置方案!$D4497</f>
        <v>0.22168421496055438</v>
      </c>
    </row>
    <row r="1420" spans="1:4" ht="16.5" hidden="1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313">
        <f>参数调整!$K$32*怪物掉落配置方案!$D4498</f>
        <v>0.31922526954319824</v>
      </c>
    </row>
    <row r="1421" spans="1:4" ht="16.5" hidden="1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313">
        <f>参数调整!$K$32*怪物掉落配置方案!$D4499</f>
        <v>0.43450106132268651</v>
      </c>
    </row>
    <row r="1422" spans="1:4" ht="16.5" hidden="1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313">
        <f>参数调整!$K$32*怪物掉落配置方案!$D4500</f>
        <v>0.48557710444959834</v>
      </c>
    </row>
    <row r="1423" spans="1:4" ht="16.5" hidden="1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313">
        <f>参数调整!$K$32*怪物掉落配置方案!$D4501</f>
        <v>0.56751159029901921</v>
      </c>
    </row>
    <row r="1424" spans="1:4" ht="16.5" hidden="1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313">
        <f>参数调整!$K$32*怪物掉落配置方案!$D4502</f>
        <v>0.65583058153930396</v>
      </c>
    </row>
    <row r="1425" spans="1:4" ht="16.5" hidden="1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313">
        <f>参数调整!$K$32*怪物掉落配置方案!$D4503</f>
        <v>0.75053407817045281</v>
      </c>
    </row>
    <row r="1426" spans="1:4" ht="16.5" hidden="1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313">
        <f>参数调整!$K$32*怪物掉落配置方案!$D4504</f>
        <v>0.85162208019246588</v>
      </c>
    </row>
    <row r="1427" spans="1:4" ht="16.5" hidden="1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313">
        <f>参数调整!$K$32*怪物掉落配置方案!$D4505</f>
        <v>0.95909458760534239</v>
      </c>
    </row>
    <row r="1428" spans="1:4" ht="16.5" hidden="1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313">
        <f>参数调整!$K$32*怪物掉落配置方案!$D4506</f>
        <v>1.0729516004090831</v>
      </c>
    </row>
    <row r="1429" spans="1:4" ht="16.5" hidden="1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313">
        <f>参数调整!$K$32*怪物掉落配置方案!$D4507</f>
        <v>1.1931931186036879</v>
      </c>
    </row>
    <row r="1430" spans="1:4" ht="16.5" hidden="1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313">
        <f>参数调整!$K$32*怪物掉落配置方案!$D4508</f>
        <v>1.3198191421891561</v>
      </c>
    </row>
    <row r="1431" spans="1:4" ht="16.5" hidden="1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313">
        <f>参数调整!$K$32*怪物掉落配置方案!$D4509</f>
        <v>1.4528296711654896</v>
      </c>
    </row>
    <row r="1432" spans="1:4" ht="16.5" hidden="1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313">
        <f>参数调整!$K$32*怪物掉落配置方案!$D4510</f>
        <v>1.5922247055326857</v>
      </c>
    </row>
    <row r="1433" spans="1:4" ht="16.5" hidden="1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313">
        <f>参数调整!$K$32*怪物掉落配置方案!$D4511</f>
        <v>1.7380042452907465</v>
      </c>
    </row>
    <row r="1434" spans="1:4" ht="16.5" hidden="1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313">
        <f>参数调整!$K$32*怪物掉落配置方案!$D4512</f>
        <v>5.9121072885159557E-3</v>
      </c>
    </row>
    <row r="1435" spans="1:4" ht="16.5" hidden="1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313">
        <f>参数调整!$K$32*怪物掉落配置方案!$D4513</f>
        <v>7.4825107870280056E-3</v>
      </c>
    </row>
    <row r="1436" spans="1:4" ht="16.5" hidden="1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313">
        <f>参数调整!$K$32*怪物掉落配置方案!$D4514</f>
        <v>9.2376676383061785E-3</v>
      </c>
    </row>
    <row r="1437" spans="1:4" ht="16.5" hidden="1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313">
        <f>参数调整!$K$32*怪物掉落配置方案!$D4515</f>
        <v>1.1177577842350479E-2</v>
      </c>
    </row>
    <row r="1438" spans="1:4" ht="16.5" hidden="1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313">
        <f>参数调整!$K$32*怪物掉落配置方案!$D4516</f>
        <v>1.3302241399160896E-2</v>
      </c>
    </row>
    <row r="1439" spans="1:4" ht="16.5" hidden="1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313">
        <f>参数调整!$K$32*怪物掉落配置方案!$D4517</f>
        <v>1.5611658308737446E-2</v>
      </c>
    </row>
    <row r="1440" spans="1:4" ht="16.5" hidden="1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313">
        <f>参数调整!$K$32*怪物掉落配置方案!$D4518</f>
        <v>1.8105828571080108E-2</v>
      </c>
    </row>
    <row r="1441" spans="1:4" ht="16.5" hidden="1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313">
        <f>参数调整!$K$32*怪物掉落配置方案!$D4519</f>
        <v>2.0784752186188905E-2</v>
      </c>
    </row>
    <row r="1442" spans="1:4" ht="16.5" hidden="1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313">
        <f>参数调整!$K$32*怪物掉落配置方案!$D4520</f>
        <v>2.3648429154063823E-2</v>
      </c>
    </row>
    <row r="1443" spans="1:4" ht="16.5" hidden="1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313">
        <f>参数调整!$K$32*怪物掉落配置方案!$D4521</f>
        <v>2.9930043148112023E-2</v>
      </c>
    </row>
    <row r="1444" spans="1:4" ht="16.5" hidden="1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313">
        <f>参数调整!$K$32*怪物掉落配置方案!$D4522</f>
        <v>3.6950670553224714E-2</v>
      </c>
    </row>
    <row r="1445" spans="1:4" ht="16.5" hidden="1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313">
        <f>参数调整!$K$32*怪物掉落配置方案!$D4523</f>
        <v>4.4710311369401914E-2</v>
      </c>
    </row>
    <row r="1446" spans="1:4" ht="16.5" hidden="1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313">
        <f>参数调整!$K$32*怪物掉落配置方案!$D4524</f>
        <v>5.7735422739413615E-2</v>
      </c>
    </row>
    <row r="1447" spans="1:4" ht="16.5" hidden="1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313">
        <f>参数调整!$K$32*怪物掉落配置方案!$D4525</f>
        <v>8.3139008744755605E-2</v>
      </c>
    </row>
    <row r="1448" spans="1:4" ht="16.5" hidden="1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313">
        <f>参数调整!$K$32*怪物掉落配置方案!$D4526</f>
        <v>0.11316142856925068</v>
      </c>
    </row>
    <row r="1449" spans="1:4" ht="16.5" hidden="1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313">
        <f>参数调整!$K$32*怪物掉落配置方案!$D4527</f>
        <v>0.1264636699684116</v>
      </c>
    </row>
    <row r="1450" spans="1:4" ht="16.5" hidden="1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313">
        <f>参数调整!$K$32*怪物掉落配置方案!$D4528</f>
        <v>0.14780268221289886</v>
      </c>
    </row>
    <row r="1451" spans="1:4" ht="16.5" hidden="1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313">
        <f>参数调整!$K$32*怪物掉落配置方案!$D4529</f>
        <v>0.17080447463228121</v>
      </c>
    </row>
    <row r="1452" spans="1:4" ht="16.5" hidden="1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313">
        <f>参数调整!$K$32*怪物掉落配置方案!$D4530</f>
        <v>0.19546904722655872</v>
      </c>
    </row>
    <row r="1453" spans="1:4" ht="16.5" hidden="1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313">
        <f>参数调整!$K$32*怪物掉落配置方案!$D4531</f>
        <v>0.22179639999573142</v>
      </c>
    </row>
    <row r="1454" spans="1:4" ht="16.5" hidden="1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313">
        <f>参数调整!$K$32*怪物掉落配置方案!$D4532</f>
        <v>0.24978653293979911</v>
      </c>
    </row>
    <row r="1455" spans="1:4" ht="16.5" hidden="1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313">
        <f>参数调整!$K$32*怪物掉落配置方案!$D4533</f>
        <v>0.27943944605876192</v>
      </c>
    </row>
    <row r="1456" spans="1:4" ht="16.5" hidden="1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313">
        <f>参数调整!$K$32*怪物掉落配置方案!$D4534</f>
        <v>0.31075513935261984</v>
      </c>
    </row>
    <row r="1457" spans="1:4" ht="16.5" hidden="1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313">
        <f>参数调整!$K$32*怪物掉落配置方案!$D4535</f>
        <v>0.34373361282137282</v>
      </c>
    </row>
    <row r="1458" spans="1:4" ht="16.5" hidden="1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313">
        <f>参数调整!$K$32*怪物掉落配置方案!$D4536</f>
        <v>0.37837486646502111</v>
      </c>
    </row>
    <row r="1459" spans="1:4" ht="16.5" hidden="1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313">
        <f>参数调整!$K$32*怪物掉落配置方案!$D4537</f>
        <v>0.41467890028356441</v>
      </c>
    </row>
    <row r="1460" spans="1:4" ht="16.5" hidden="1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313">
        <f>参数调整!$K$32*怪物掉落配置方案!$D4538</f>
        <v>0.45264571427700284</v>
      </c>
    </row>
    <row r="1461" spans="1:4" ht="16.5" hidden="1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313">
        <f>参数调整!$K$32*怪物掉落配置方案!$D4539</f>
        <v>8.1231176692320289E-5</v>
      </c>
    </row>
    <row r="1462" spans="1:4" ht="16.5" hidden="1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313">
        <f>参数调整!$K$32*怪物掉落配置方案!$D4540</f>
        <v>1.0280820800121789E-4</v>
      </c>
    </row>
    <row r="1463" spans="1:4" ht="16.5" hidden="1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313">
        <f>参数调整!$K$32*怪物掉落配置方案!$D4541</f>
        <v>1.2692371358175044E-4</v>
      </c>
    </row>
    <row r="1464" spans="1:4" ht="16.5" hidden="1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313">
        <f>参数调整!$K$32*怪物掉落配置方案!$D4542</f>
        <v>1.5357769343391804E-4</v>
      </c>
    </row>
    <row r="1465" spans="1:4" ht="16.5" hidden="1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313">
        <f>参数调整!$K$32*怪物掉落配置方案!$D4543</f>
        <v>1.8277014755772061E-4</v>
      </c>
    </row>
    <row r="1466" spans="1:4" ht="16.5" hidden="1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313">
        <f>参数调整!$K$32*怪物掉落配置方案!$D4544</f>
        <v>2.1450107595315826E-4</v>
      </c>
    </row>
    <row r="1467" spans="1:4" ht="16.5" hidden="1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313">
        <f>参数调整!$K$32*怪物掉落配置方案!$D4545</f>
        <v>2.4877047862023084E-4</v>
      </c>
    </row>
    <row r="1468" spans="1:4" ht="16.5" hidden="1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313">
        <f>参数调整!$K$32*怪物掉落配置方案!$D4546</f>
        <v>2.855783555589385E-4</v>
      </c>
    </row>
    <row r="1469" spans="1:4" ht="16.5" hidden="1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313">
        <f>参数调整!$K$32*怪物掉落配置方案!$D4547</f>
        <v>3.2492470676928121E-4</v>
      </c>
    </row>
    <row r="1470" spans="1:4" ht="16.5" hidden="1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313">
        <f>参数调整!$K$32*怪物掉落配置方案!$D4548</f>
        <v>4.1123283200487145E-4</v>
      </c>
    </row>
    <row r="1471" spans="1:4" ht="16.5" hidden="1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313">
        <f>参数调整!$K$32*怪物掉落配置方案!$D4549</f>
        <v>5.0769485432700166E-4</v>
      </c>
    </row>
    <row r="1472" spans="1:4" ht="16.5" hidden="1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313">
        <f>参数调整!$K$32*怪物掉落配置方案!$D4550</f>
        <v>6.1431077373567218E-4</v>
      </c>
    </row>
    <row r="1473" spans="1:4" ht="16.5" hidden="1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313">
        <f>参数调整!$K$32*怪物掉落配置方案!$D4551</f>
        <v>7.9327320988594027E-4</v>
      </c>
    </row>
    <row r="1474" spans="1:4" ht="16.5" hidden="1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313">
        <f>参数调整!$K$32*怪物掉落配置方案!$D4552</f>
        <v>1.1423134222357536E-3</v>
      </c>
    </row>
    <row r="1475" spans="1:4" ht="16.5" hidden="1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313">
        <f>参数调整!$K$32*怪物掉落配置方案!$D4553</f>
        <v>1.5548154913764428E-3</v>
      </c>
    </row>
    <row r="1476" spans="1:4" ht="16.5" hidden="1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313">
        <f>参数调整!$K$32*怪物掉落配置方案!$D4554</f>
        <v>1.7375856389341636E-3</v>
      </c>
    </row>
    <row r="1477" spans="1:4" ht="16.5" hidden="1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313">
        <f>参数调整!$K$32*怪物掉落配置方案!$D4555</f>
        <v>2.0307794173080066E-3</v>
      </c>
    </row>
    <row r="1478" spans="1:4" ht="16.5" hidden="1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313">
        <f>参数调整!$K$32*怪物掉落配置方案!$D4556</f>
        <v>2.3468194641265653E-3</v>
      </c>
    </row>
    <row r="1479" spans="1:4" ht="16.5" hidden="1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313">
        <f>参数调整!$K$32*怪物掉落配置方案!$D4557</f>
        <v>2.6857057793898392E-3</v>
      </c>
    </row>
    <row r="1480" spans="1:4" ht="16.5" hidden="1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313">
        <f>参数调整!$K$32*怪物掉落配置方案!$D4558</f>
        <v>3.0474383630978287E-3</v>
      </c>
    </row>
    <row r="1481" spans="1:4" ht="16.5" hidden="1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313">
        <f>参数调整!$K$32*怪物掉落配置方案!$D4559</f>
        <v>3.4320172152505321E-3</v>
      </c>
    </row>
    <row r="1482" spans="1:4" ht="16.5" hidden="1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313">
        <f>参数调整!$K$32*怪物掉落配置方案!$D4560</f>
        <v>3.8394423358479512E-3</v>
      </c>
    </row>
    <row r="1483" spans="1:4" ht="16.5" hidden="1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313">
        <f>参数调整!$K$32*怪物掉落配置方案!$D4561</f>
        <v>4.2697137248900842E-3</v>
      </c>
    </row>
    <row r="1484" spans="1:4" ht="16.5" hidden="1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313">
        <f>参数调整!$K$32*怪物掉落配置方案!$D4562</f>
        <v>4.7228313823769333E-3</v>
      </c>
    </row>
    <row r="1485" spans="1:4" ht="16.5" hidden="1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313">
        <f>参数调整!$K$32*怪物掉落配置方案!$D4563</f>
        <v>5.1987953083084985E-3</v>
      </c>
    </row>
    <row r="1486" spans="1:4" ht="16.5" hidden="1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313">
        <f>参数调整!$K$32*怪物掉落配置方案!$D4564</f>
        <v>5.6976055026847772E-3</v>
      </c>
    </row>
    <row r="1487" spans="1:4" ht="16.5" hidden="1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313">
        <f>参数调整!$K$32*怪物掉落配置方案!$D4565</f>
        <v>6.2192619655057719E-3</v>
      </c>
    </row>
    <row r="1488" spans="1:4" ht="16.5" hidden="1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313">
        <f>参数调整!$K$32*怪物掉落配置方案!$D4566</f>
        <v>0</v>
      </c>
    </row>
    <row r="1489" spans="1:4" ht="16.5" hidden="1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313">
        <f>参数调整!$K$32*怪物掉落配置方案!$D4567</f>
        <v>0</v>
      </c>
    </row>
    <row r="1490" spans="1:4" ht="16.5" hidden="1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313">
        <f>参数调整!$K$32*怪物掉落配置方案!$D4568</f>
        <v>0</v>
      </c>
    </row>
    <row r="1491" spans="1:4" ht="16.5" hidden="1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313">
        <f>参数调整!$K$32*怪物掉落配置方案!$D4569</f>
        <v>0</v>
      </c>
    </row>
    <row r="1492" spans="1:4" ht="16.5" hidden="1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313">
        <f>参数调整!$K$32*怪物掉落配置方案!$D4570</f>
        <v>0</v>
      </c>
    </row>
    <row r="1493" spans="1:4" ht="16.5" hidden="1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313">
        <f>参数调整!$K$32*怪物掉落配置方案!$D4571</f>
        <v>0</v>
      </c>
    </row>
    <row r="1494" spans="1:4" ht="16.5" hidden="1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313">
        <f>参数调整!$K$32*怪物掉落配置方案!$D4572</f>
        <v>0</v>
      </c>
    </row>
    <row r="1495" spans="1:4" ht="16.5" hidden="1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313">
        <f>参数调整!$K$32*怪物掉落配置方案!$D4573</f>
        <v>0</v>
      </c>
    </row>
    <row r="1496" spans="1:4" ht="16.5" hidden="1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313">
        <f>参数调整!$K$32*怪物掉落配置方案!$D4574</f>
        <v>0</v>
      </c>
    </row>
    <row r="1497" spans="1:4" ht="16.5" hidden="1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313">
        <f>参数调整!$K$32*怪物掉落配置方案!$D4575</f>
        <v>0</v>
      </c>
    </row>
    <row r="1498" spans="1:4" ht="16.5" hidden="1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313">
        <f>参数调整!$K$32*怪物掉落配置方案!$D4576</f>
        <v>0</v>
      </c>
    </row>
    <row r="1499" spans="1:4" ht="16.5" hidden="1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313">
        <f>参数调整!$K$32*怪物掉落配置方案!$D4577</f>
        <v>0</v>
      </c>
    </row>
    <row r="1500" spans="1:4" ht="16.5" hidden="1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313">
        <f>参数调整!$K$32*怪物掉落配置方案!$D4578</f>
        <v>0</v>
      </c>
    </row>
    <row r="1501" spans="1:4" ht="16.5" hidden="1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313">
        <f>参数调整!$K$32*怪物掉落配置方案!$D4579</f>
        <v>0</v>
      </c>
    </row>
    <row r="1502" spans="1:4" ht="16.5" hidden="1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313">
        <f>参数调整!$K$32*怪物掉落配置方案!$D4580</f>
        <v>0</v>
      </c>
    </row>
    <row r="1503" spans="1:4" ht="16.5" hidden="1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313">
        <f>参数调整!$K$32*怪物掉落配置方案!$D4581</f>
        <v>0</v>
      </c>
    </row>
    <row r="1504" spans="1:4" ht="16.5" hidden="1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313">
        <f>参数调整!$K$32*怪物掉落配置方案!$D4582</f>
        <v>0</v>
      </c>
    </row>
    <row r="1505" spans="1:4" ht="16.5" hidden="1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313">
        <f>参数调整!$K$32*怪物掉落配置方案!$D4583</f>
        <v>0</v>
      </c>
    </row>
    <row r="1506" spans="1:4" ht="16.5" hidden="1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313">
        <f>参数调整!$K$32*怪物掉落配置方案!$D4584</f>
        <v>0</v>
      </c>
    </row>
    <row r="1507" spans="1:4" ht="16.5" hidden="1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313">
        <f>参数调整!$K$32*怪物掉落配置方案!$D4585</f>
        <v>0</v>
      </c>
    </row>
    <row r="1508" spans="1:4" ht="16.5" hidden="1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313">
        <f>参数调整!$K$32*怪物掉落配置方案!$D4586</f>
        <v>0</v>
      </c>
    </row>
    <row r="1509" spans="1:4" ht="16.5" hidden="1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313">
        <f>参数调整!$K$32*怪物掉落配置方案!$D4587</f>
        <v>0</v>
      </c>
    </row>
    <row r="1510" spans="1:4" ht="16.5" hidden="1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313">
        <f>参数调整!$K$32*怪物掉落配置方案!$D4588</f>
        <v>0</v>
      </c>
    </row>
    <row r="1511" spans="1:4" ht="16.5" hidden="1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313">
        <f>参数调整!$K$32*怪物掉落配置方案!$D4589</f>
        <v>0</v>
      </c>
    </row>
    <row r="1512" spans="1:4" ht="16.5" hidden="1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313">
        <f>参数调整!$K$32*怪物掉落配置方案!$D4590</f>
        <v>0</v>
      </c>
    </row>
    <row r="1513" spans="1:4" ht="16.5" hidden="1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313">
        <f>参数调整!$K$32*怪物掉落配置方案!$D4591</f>
        <v>0</v>
      </c>
    </row>
    <row r="1514" spans="1:4" ht="16.5" hidden="1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313">
        <f>参数调整!$K$32*怪物掉落配置方案!$D4592</f>
        <v>0</v>
      </c>
    </row>
    <row r="1515" spans="1:4" ht="16.5" hidden="1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313">
        <f>参数调整!$K$32*怪物掉落配置方案!$D4593</f>
        <v>4.0615588346160146E-4</v>
      </c>
    </row>
    <row r="1516" spans="1:4" ht="16.5" hidden="1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313">
        <f>参数调整!$K$32*怪物掉落配置方案!$D4594</f>
        <v>5.1404104000608939E-4</v>
      </c>
    </row>
    <row r="1517" spans="1:4" ht="16.5" hidden="1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313">
        <f>参数调整!$K$32*怪物掉落配置方案!$D4595</f>
        <v>6.3461856790875224E-4</v>
      </c>
    </row>
    <row r="1518" spans="1:4" ht="16.5" hidden="1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313">
        <f>参数调整!$K$32*怪物掉落配置方案!$D4596</f>
        <v>7.6788846716959022E-4</v>
      </c>
    </row>
    <row r="1519" spans="1:4" ht="16.5" hidden="1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313">
        <f>参数调整!$K$32*怪物掉落配置方案!$D4597</f>
        <v>9.1385073778860312E-4</v>
      </c>
    </row>
    <row r="1520" spans="1:4" ht="16.5" hidden="1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313">
        <f>参数调整!$K$32*怪物掉落配置方案!$D4598</f>
        <v>1.0725053797657914E-3</v>
      </c>
    </row>
    <row r="1521" spans="1:4" ht="16.5" hidden="1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313">
        <f>参数调整!$K$32*怪物掉落配置方案!$D4599</f>
        <v>1.2438523931011542E-3</v>
      </c>
    </row>
    <row r="1522" spans="1:4" ht="16.5" hidden="1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313">
        <f>参数调整!$K$32*怪物掉落配置方案!$D4600</f>
        <v>1.4278917777946925E-3</v>
      </c>
    </row>
    <row r="1523" spans="1:4" ht="16.5" hidden="1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313">
        <f>参数调整!$K$32*怪物掉落配置方案!$D4601</f>
        <v>1.6246235338464061E-3</v>
      </c>
    </row>
    <row r="1524" spans="1:4" ht="16.5" hidden="1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313">
        <f>参数调整!$K$32*怪物掉落配置方案!$D4602</f>
        <v>2.0561641600243571E-3</v>
      </c>
    </row>
    <row r="1525" spans="1:4" ht="16.5" hidden="1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313">
        <f>参数调整!$K$32*怪物掉落配置方案!$D4603</f>
        <v>2.538474271635009E-3</v>
      </c>
    </row>
    <row r="1526" spans="1:4" ht="16.5" hidden="1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313">
        <f>参数调整!$K$32*怪物掉落配置方案!$D4604</f>
        <v>3.0715538686783609E-3</v>
      </c>
    </row>
    <row r="1527" spans="1:4" ht="16.5" hidden="1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313">
        <f>参数调整!$K$32*怪物掉落配置方案!$D4605</f>
        <v>3.9663660494297015E-3</v>
      </c>
    </row>
    <row r="1528" spans="1:4" ht="16.5" hidden="1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313">
        <f>参数调整!$K$32*怪物掉落配置方案!$D4606</f>
        <v>5.7115671111787692E-3</v>
      </c>
    </row>
    <row r="1529" spans="1:4" ht="16.5" hidden="1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313">
        <f>参数调整!$K$32*怪物掉落配置方案!$D4607</f>
        <v>7.7740774568822134E-3</v>
      </c>
    </row>
    <row r="1530" spans="1:4" ht="16.5" hidden="1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313">
        <f>参数调整!$K$32*怪物掉落配置方案!$D4608</f>
        <v>8.6879281946708187E-3</v>
      </c>
    </row>
    <row r="1531" spans="1:4" ht="16.5" hidden="1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313">
        <f>参数调整!$K$32*怪物掉落配置方案!$D4609</f>
        <v>1.0153897086540036E-2</v>
      </c>
    </row>
    <row r="1532" spans="1:4" ht="16.5" hidden="1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313">
        <f>参数调整!$K$32*怪物掉落配置方案!$D4610</f>
        <v>1.1734097320632826E-2</v>
      </c>
    </row>
    <row r="1533" spans="1:4" ht="16.5" hidden="1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313">
        <f>参数调整!$K$32*怪物掉落配置方案!$D4611</f>
        <v>1.3428528896949196E-2</v>
      </c>
    </row>
    <row r="1534" spans="1:4" ht="16.5" hidden="1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313">
        <f>参数调整!$K$32*怪物掉落配置方案!$D4612</f>
        <v>1.5237191815489144E-2</v>
      </c>
    </row>
    <row r="1535" spans="1:4" ht="16.5" hidden="1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313">
        <f>参数调整!$K$32*怪物掉落配置方案!$D4613</f>
        <v>1.7160086076252662E-2</v>
      </c>
    </row>
    <row r="1536" spans="1:4" ht="16.5" hidden="1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313">
        <f>参数调整!$K$32*怪物掉落配置方案!$D4614</f>
        <v>1.9197211679239757E-2</v>
      </c>
    </row>
    <row r="1537" spans="1:4" ht="16.5" hidden="1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313">
        <f>参数调整!$K$32*怪物掉落配置方案!$D4615</f>
        <v>2.134856862445042E-2</v>
      </c>
    </row>
    <row r="1538" spans="1:4" ht="16.5" hidden="1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313">
        <f>参数调整!$K$32*怪物掉落配置方案!$D4616</f>
        <v>2.3614156911884666E-2</v>
      </c>
    </row>
    <row r="1539" spans="1:4" ht="16.5" hidden="1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313">
        <f>参数调整!$K$32*怪物掉落配置方案!$D4617</f>
        <v>2.5993976541542497E-2</v>
      </c>
    </row>
    <row r="1540" spans="1:4" ht="16.5" hidden="1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313">
        <f>参数调整!$K$32*怪物掉落配置方案!$D4618</f>
        <v>2.8488027513423889E-2</v>
      </c>
    </row>
    <row r="1541" spans="1:4" ht="16.5" hidden="1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313">
        <f>参数调整!$K$32*怪物掉落配置方案!$D4619</f>
        <v>3.109630982752886E-2</v>
      </c>
    </row>
    <row r="1542" spans="1:4" ht="16.5" hidden="1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313">
        <f>参数调整!$K$32*怪物掉落配置方案!$D4620</f>
        <v>6.500147048383989E-2</v>
      </c>
    </row>
    <row r="1543" spans="1:4" ht="16.5" hidden="1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313">
        <f>参数调整!$K$32*怪物掉落配置方案!$D4621</f>
        <v>8.226748608110987E-2</v>
      </c>
    </row>
    <row r="1544" spans="1:4" ht="16.5" hidden="1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313">
        <f>参数调整!$K$32*怪物掉落配置方案!$D4622</f>
        <v>0.10156479763099983</v>
      </c>
    </row>
    <row r="1545" spans="1:4" ht="16.5" hidden="1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313">
        <f>参数调整!$K$32*怪物掉落配置方案!$D4623</f>
        <v>0.12289340513350981</v>
      </c>
    </row>
    <row r="1546" spans="1:4" ht="16.5" hidden="1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313">
        <f>参数调整!$K$32*怪物掉落配置方案!$D4624</f>
        <v>0.14625330858863972</v>
      </c>
    </row>
    <row r="1547" spans="1:4" ht="16.5" hidden="1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313">
        <f>参数调整!$K$32*怪物掉落配置方案!$D4625</f>
        <v>0.17164450799638975</v>
      </c>
    </row>
    <row r="1548" spans="1:4" ht="16.5" hidden="1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313">
        <f>参数调整!$K$32*怪物掉落配置方案!$D4626</f>
        <v>0.19906700335675964</v>
      </c>
    </row>
    <row r="1549" spans="1:4" ht="16.5" hidden="1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313">
        <f>参数调整!$K$32*怪物掉落配置方案!$D4627</f>
        <v>0.22852079466974962</v>
      </c>
    </row>
    <row r="1550" spans="1:4" ht="16.5" hidden="1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313">
        <f>参数调整!$K$32*怪物掉落配置方案!$D4628</f>
        <v>0.26000588193535962</v>
      </c>
    </row>
    <row r="1551" spans="1:4" ht="16.5" hidden="1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313">
        <f>参数调整!$K$32*怪物掉落配置方案!$D4629</f>
        <v>0.32906994432443948</v>
      </c>
    </row>
    <row r="1552" spans="1:4" ht="16.5" hidden="1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313">
        <f>参数调整!$K$32*怪物掉落配置方案!$D4630</f>
        <v>0.40625919052399923</v>
      </c>
    </row>
    <row r="1553" spans="1:4" ht="16.5" hidden="1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313">
        <f>参数调整!$K$32*怪物掉落配置方案!$D4631</f>
        <v>0.49157362053403925</v>
      </c>
    </row>
    <row r="1554" spans="1:4" ht="16.5" hidden="1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313">
        <f>参数调整!$K$32*怪物掉落配置方案!$D4632</f>
        <v>0.63477998519374879</v>
      </c>
    </row>
    <row r="1555" spans="1:4" ht="16.5" hidden="1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313">
        <f>参数调整!$K$32*怪物掉落配置方案!$D4633</f>
        <v>0.91408317867899824</v>
      </c>
    </row>
    <row r="1556" spans="1:4" ht="16.5" hidden="1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313">
        <f>参数调整!$K$32*怪物掉落配置方案!$D4634</f>
        <v>1.2441687709797478</v>
      </c>
    </row>
    <row r="1557" spans="1:4" ht="16.5" hidden="1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313">
        <f>参数调整!$K$32*怪物掉落配置方案!$D4635</f>
        <v>1.3904220795683877</v>
      </c>
    </row>
    <row r="1558" spans="1:4" ht="16.5" hidden="1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313">
        <f>参数调整!$K$32*怪物掉落配置方案!$D4636</f>
        <v>1.6250367620959969</v>
      </c>
    </row>
    <row r="1559" spans="1:4" ht="16.5" hidden="1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313">
        <f>参数调整!$K$32*怪物掉落配置方案!$D4637</f>
        <v>1.8779331081971864</v>
      </c>
    </row>
    <row r="1560" spans="1:4" ht="16.5" hidden="1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313">
        <f>参数调整!$K$32*怪物掉落配置方案!$D4638</f>
        <v>2.1491111178719562</v>
      </c>
    </row>
    <row r="1561" spans="1:4" ht="16.5" hidden="1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313">
        <f>参数调整!$K$32*怪物掉落配置方案!$D4639</f>
        <v>2.4385707911203061</v>
      </c>
    </row>
    <row r="1562" spans="1:4" ht="16.5" hidden="1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313">
        <f>参数调整!$K$32*怪物掉落配置方案!$D4640</f>
        <v>2.7463121279422351</v>
      </c>
    </row>
    <row r="1563" spans="1:4" ht="16.5" hidden="1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313">
        <f>参数调整!$K$32*怪物掉落配置方案!$D4641</f>
        <v>3.0723351283377447</v>
      </c>
    </row>
    <row r="1564" spans="1:4" ht="16.5" hidden="1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313">
        <f>参数调整!$K$32*怪物掉落配置方案!$D4642</f>
        <v>3.4166397923068343</v>
      </c>
    </row>
    <row r="1565" spans="1:4" ht="16.5" hidden="1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313">
        <f>参数调整!$K$32*怪物掉落配置方案!$D4643</f>
        <v>3.7792261198495032</v>
      </c>
    </row>
    <row r="1566" spans="1:4" ht="16.5" hidden="1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313">
        <f>参数调整!$K$32*怪物掉落配置方案!$D4644</f>
        <v>4.160094110965753</v>
      </c>
    </row>
    <row r="1567" spans="1:4" ht="16.5" hidden="1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313">
        <f>参数调整!$K$32*怪物掉落配置方案!$D4645</f>
        <v>4.559243765655582</v>
      </c>
    </row>
    <row r="1568" spans="1:4" ht="16.5" hidden="1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313">
        <f>参数调整!$K$32*怪物掉落配置方案!$D4646</f>
        <v>4.9766750839189919</v>
      </c>
    </row>
    <row r="1569" spans="1:4" ht="16.5" hidden="1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313">
        <f>参数调整!$K$32*怪物掉落配置方案!$D4647</f>
        <v>2.9243223609235299E-4</v>
      </c>
    </row>
    <row r="1570" spans="1:4" ht="16.5" hidden="1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313">
        <f>参数调整!$K$32*怪物掉落配置方案!$D4648</f>
        <v>3.7010954880438429E-4</v>
      </c>
    </row>
    <row r="1571" spans="1:4" ht="16.5" hidden="1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313">
        <f>参数调整!$K$32*怪物掉落配置方案!$D4649</f>
        <v>4.5692536889430156E-4</v>
      </c>
    </row>
    <row r="1572" spans="1:4" ht="16.5" hidden="1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313">
        <f>参数调整!$K$32*怪物掉落配置方案!$D4650</f>
        <v>5.5287969636210496E-4</v>
      </c>
    </row>
    <row r="1573" spans="1:4" ht="16.5" hidden="1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313">
        <f>参数调整!$K$32*怪物掉落配置方案!$D4651</f>
        <v>6.5797253120779406E-4</v>
      </c>
    </row>
    <row r="1574" spans="1:4" ht="16.5" hidden="1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313">
        <f>参数调整!$K$32*怪物掉落配置方案!$D4652</f>
        <v>7.7220387343136961E-4</v>
      </c>
    </row>
    <row r="1575" spans="1:4" ht="16.5" hidden="1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313">
        <f>参数调整!$K$32*怪物掉落配置方案!$D4653</f>
        <v>8.9557372303283086E-4</v>
      </c>
    </row>
    <row r="1576" spans="1:4" ht="16.5" hidden="1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313">
        <f>参数调整!$K$32*怪物掉落配置方案!$D4654</f>
        <v>1.0280820800121786E-3</v>
      </c>
    </row>
    <row r="1577" spans="1:4" ht="16.5" hidden="1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313">
        <f>参数调整!$K$32*怪物掉落配置方案!$D4655</f>
        <v>1.169728944369412E-3</v>
      </c>
    </row>
    <row r="1578" spans="1:4" ht="16.5" hidden="1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313">
        <f>参数调整!$K$32*怪物掉落配置方案!$D4656</f>
        <v>1.4804381952175372E-3</v>
      </c>
    </row>
    <row r="1579" spans="1:4" ht="16.5" hidden="1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313">
        <f>参数调整!$K$32*怪物掉落配置方案!$D4657</f>
        <v>1.8277014755772062E-3</v>
      </c>
    </row>
    <row r="1580" spans="1:4" ht="16.5" hidden="1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313">
        <f>参数调整!$K$32*怪物掉落配置方案!$D4658</f>
        <v>2.2115187854484198E-3</v>
      </c>
    </row>
    <row r="1581" spans="1:4" ht="16.5" hidden="1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313">
        <f>参数调整!$K$32*怪物掉落配置方案!$D4659</f>
        <v>2.8557835555893846E-3</v>
      </c>
    </row>
    <row r="1582" spans="1:4" ht="16.5" hidden="1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313">
        <f>参数调整!$K$32*怪物掉落配置方案!$D4660</f>
        <v>4.1123283200487134E-3</v>
      </c>
    </row>
    <row r="1583" spans="1:4" ht="16.5" hidden="1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313">
        <f>参数调整!$K$32*怪物掉落配置方案!$D4661</f>
        <v>5.5973357689551931E-3</v>
      </c>
    </row>
    <row r="1584" spans="1:4" ht="16.5" hidden="1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313">
        <f>参数调整!$K$32*怪物掉落配置方案!$D4662</f>
        <v>6.2553083001629884E-3</v>
      </c>
    </row>
    <row r="1585" spans="1:4" ht="16.5" hidden="1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313">
        <f>参数调整!$K$32*怪物掉落配置方案!$D4663</f>
        <v>7.310805902308825E-3</v>
      </c>
    </row>
    <row r="1586" spans="1:4" ht="16.5" hidden="1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313">
        <f>参数调整!$K$32*怪物掉落配置方案!$D4664</f>
        <v>8.4485500708556347E-3</v>
      </c>
    </row>
    <row r="1587" spans="1:4" ht="16.5" hidden="1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313">
        <f>参数调整!$K$32*怪物掉落配置方案!$D4665</f>
        <v>9.6685408058034186E-3</v>
      </c>
    </row>
    <row r="1588" spans="1:4" ht="16.5" hidden="1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313">
        <f>参数调整!$K$32*怪物掉落配置方案!$D4666</f>
        <v>1.0970778107152182E-2</v>
      </c>
    </row>
    <row r="1589" spans="1:4" ht="16.5" hidden="1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313">
        <f>参数调整!$K$32*怪物掉落配置方案!$D4667</f>
        <v>1.2355261974901914E-2</v>
      </c>
    </row>
    <row r="1590" spans="1:4" ht="16.5" hidden="1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313">
        <f>参数调整!$K$32*怪物掉落配置方案!$D4668</f>
        <v>1.3821992409052625E-2</v>
      </c>
    </row>
    <row r="1591" spans="1:4" ht="16.5" hidden="1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313">
        <f>参数调整!$K$32*怪物掉落配置方案!$D4669</f>
        <v>1.5370969409604302E-2</v>
      </c>
    </row>
    <row r="1592" spans="1:4" ht="16.5" hidden="1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313">
        <f>参数调整!$K$32*怪物掉落配置方案!$D4670</f>
        <v>1.7002192976556953E-2</v>
      </c>
    </row>
    <row r="1593" spans="1:4" ht="16.5" hidden="1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313">
        <f>参数调整!$K$32*怪物掉落配置方案!$D4671</f>
        <v>1.8715663109910591E-2</v>
      </c>
    </row>
    <row r="1594" spans="1:4" ht="16.5" hidden="1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313">
        <f>参数调整!$K$32*怪物掉落配置方案!$D4672</f>
        <v>2.0511379809665196E-2</v>
      </c>
    </row>
    <row r="1595" spans="1:4" ht="16.5" hidden="1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313">
        <f>参数调整!$K$32*怪物掉落配置方案!$D4673</f>
        <v>2.2389343075820776E-2</v>
      </c>
    </row>
    <row r="1596" spans="1:4" ht="16.5" hidden="1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313">
        <f>参数调整!$K$32*怪物掉落配置方案!$D4674</f>
        <v>4.5400927223921538E-3</v>
      </c>
    </row>
    <row r="1597" spans="1:4" ht="16.5" hidden="1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313">
        <f>参数调整!$K$32*怪物掉落配置方案!$D4675</f>
        <v>5.7460548517775708E-3</v>
      </c>
    </row>
    <row r="1598" spans="1:4" ht="16.5" hidden="1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313">
        <f>参数调整!$K$32*怪物掉落配置方案!$D4676</f>
        <v>7.0938948787377396E-3</v>
      </c>
    </row>
    <row r="1599" spans="1:4" ht="16.5" hidden="1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313">
        <f>参数调整!$K$32*怪物掉落配置方案!$D4677</f>
        <v>8.5836128032726663E-3</v>
      </c>
    </row>
    <row r="1600" spans="1:4" ht="16.5" hidden="1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313">
        <f>参数调整!$K$32*怪物掉落配置方案!$D4678</f>
        <v>1.0215208625382343E-2</v>
      </c>
    </row>
    <row r="1601" spans="1:4" ht="16.5" hidden="1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313">
        <f>参数调整!$K$32*怪物掉落配置方案!$D4679</f>
        <v>1.1988682345066783E-2</v>
      </c>
    </row>
    <row r="1602" spans="1:4" ht="16.5" hidden="1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313">
        <f>参数调整!$K$32*怪物掉落配置方案!$D4680</f>
        <v>1.390403396232597E-2</v>
      </c>
    </row>
    <row r="1603" spans="1:4" ht="16.5" hidden="1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313">
        <f>参数调整!$K$32*怪物掉落配置方案!$D4681</f>
        <v>1.5961263477159916E-2</v>
      </c>
    </row>
    <row r="1604" spans="1:4" ht="16.5" hidden="1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313">
        <f>参数调整!$K$32*怪物掉落配置方案!$D4682</f>
        <v>1.8160370889568615E-2</v>
      </c>
    </row>
    <row r="1605" spans="1:4" ht="16.5" hidden="1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313">
        <f>参数调整!$K$32*怪物掉落配置方案!$D4683</f>
        <v>2.298421940711028E-2</v>
      </c>
    </row>
    <row r="1606" spans="1:4" ht="16.5" hidden="1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313">
        <f>参数调整!$K$32*怪物掉落配置方案!$D4684</f>
        <v>2.8375579514950958E-2</v>
      </c>
    </row>
    <row r="1607" spans="1:4" ht="16.5" hidden="1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313">
        <f>参数调整!$K$32*怪物掉落配置方案!$D4685</f>
        <v>3.4334451213090665E-2</v>
      </c>
    </row>
    <row r="1608" spans="1:4" ht="16.5" hidden="1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313">
        <f>参数调整!$K$32*怪物掉落配置方案!$D4686</f>
        <v>4.4336842992110874E-2</v>
      </c>
    </row>
    <row r="1609" spans="1:4" ht="16.5" hidden="1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313">
        <f>参数调整!$K$32*怪物掉落配置方案!$D4687</f>
        <v>6.3845053908639648E-2</v>
      </c>
    </row>
    <row r="1610" spans="1:4" ht="16.5" hidden="1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313">
        <f>参数调整!$K$32*怪物掉落配置方案!$D4688</f>
        <v>8.6900212264537313E-2</v>
      </c>
    </row>
    <row r="1611" spans="1:4" ht="16.5" hidden="1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313">
        <f>参数调整!$K$32*怪物掉落配置方案!$D4689</f>
        <v>9.7115420889919674E-2</v>
      </c>
    </row>
    <row r="1612" spans="1:4" ht="16.5" hidden="1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313">
        <f>参数调整!$K$32*怪物掉落配置方案!$D4690</f>
        <v>0.11350231805980383</v>
      </c>
    </row>
    <row r="1613" spans="1:4" ht="16.5" hidden="1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313">
        <f>参数调整!$K$32*怪物掉落配置方案!$D4691</f>
        <v>0.13116611630786079</v>
      </c>
    </row>
    <row r="1614" spans="1:4" ht="16.5" hidden="1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313">
        <f>参数调整!$K$32*怪物掉落配置方案!$D4692</f>
        <v>0.15010681563409056</v>
      </c>
    </row>
    <row r="1615" spans="1:4" ht="16.5" hidden="1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313">
        <f>参数调整!$K$32*怪物掉落配置方案!$D4693</f>
        <v>0.17032441603849316</v>
      </c>
    </row>
    <row r="1616" spans="1:4" ht="16.5" hidden="1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313">
        <f>参数调整!$K$32*怪物掉落配置方案!$D4694</f>
        <v>0.19181891752106844</v>
      </c>
    </row>
    <row r="1617" spans="1:4" ht="16.5" hidden="1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313">
        <f>参数调整!$K$32*怪物掉落配置方案!$D4695</f>
        <v>0.21459032008181667</v>
      </c>
    </row>
    <row r="1618" spans="1:4" ht="16.5" hidden="1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313">
        <f>参数调整!$K$32*怪物掉落配置方案!$D4696</f>
        <v>0.23863862372073752</v>
      </c>
    </row>
    <row r="1619" spans="1:4" ht="16.5" hidden="1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313">
        <f>参数调整!$K$32*怪物掉落配置方案!$D4697</f>
        <v>0.26396382843783123</v>
      </c>
    </row>
    <row r="1620" spans="1:4" ht="16.5" hidden="1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313">
        <f>参数调整!$K$32*怪物掉落配置方案!$D4698</f>
        <v>0.29056593423309784</v>
      </c>
    </row>
    <row r="1621" spans="1:4" ht="16.5" hidden="1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313">
        <f>参数调整!$K$32*怪物掉落配置方案!$D4699</f>
        <v>0.31844494110653715</v>
      </c>
    </row>
    <row r="1622" spans="1:4" ht="16.5" hidden="1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313">
        <f>参数调整!$K$32*怪物掉落配置方案!$D4700</f>
        <v>0.34760084905814925</v>
      </c>
    </row>
    <row r="1623" spans="1:4" ht="16.5" hidden="1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313">
        <f>参数调整!$K$32*怪物掉落配置方案!$D4701</f>
        <v>2.5942556279562545E-2</v>
      </c>
    </row>
    <row r="1624" spans="1:4" ht="16.5" hidden="1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313">
        <f>参数调整!$K$32*怪物掉落配置方案!$D4702</f>
        <v>3.2833547791321346E-2</v>
      </c>
    </row>
    <row r="1625" spans="1:4" ht="16.5" hidden="1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313">
        <f>参数调整!$K$32*怪物掉落配置方案!$D4703</f>
        <v>4.053524418681647E-2</v>
      </c>
    </row>
    <row r="1626" spans="1:4" ht="16.5" hidden="1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313">
        <f>参数调整!$K$32*怪物掉落配置方案!$D4704</f>
        <v>4.9047645466047937E-2</v>
      </c>
    </row>
    <row r="1627" spans="1:4" ht="16.5" hidden="1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313">
        <f>参数调整!$K$32*怪物掉落配置方案!$D4705</f>
        <v>5.8370751629015699E-2</v>
      </c>
    </row>
    <row r="1628" spans="1:4" ht="16.5" hidden="1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313">
        <f>参数调整!$K$32*怪物掉落配置方案!$D4706</f>
        <v>6.8504562675719846E-2</v>
      </c>
    </row>
    <row r="1629" spans="1:4" ht="16.5" hidden="1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313">
        <f>参数调整!$K$32*怪物掉落配置方案!$D4707</f>
        <v>7.9449078606160253E-2</v>
      </c>
    </row>
    <row r="1630" spans="1:4" ht="16.5" hidden="1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313">
        <f>参数调整!$K$32*怪物掉落配置方案!$D4708</f>
        <v>9.1204299420337032E-2</v>
      </c>
    </row>
    <row r="1631" spans="1:4" ht="16.5" hidden="1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313">
        <f>参数调整!$K$32*怪物掉落配置方案!$D4709</f>
        <v>0.10377022511825018</v>
      </c>
    </row>
    <row r="1632" spans="1:4" ht="16.5" hidden="1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313">
        <f>参数调整!$K$32*怪物掉落配置方案!$D4710</f>
        <v>0.13133419116528539</v>
      </c>
    </row>
    <row r="1633" spans="1:4" ht="16.5" hidden="1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313">
        <f>参数调整!$K$32*怪物掉落配置方案!$D4711</f>
        <v>0.16214097674726585</v>
      </c>
    </row>
    <row r="1634" spans="1:4" ht="16.5" hidden="1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313">
        <f>参数调整!$K$32*怪物掉落配置方案!$D4712</f>
        <v>0.19619058186419175</v>
      </c>
    </row>
    <row r="1635" spans="1:4" ht="16.5" hidden="1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313">
        <f>参数调整!$K$32*怪物掉落配置方案!$D4713</f>
        <v>0.25334527616760294</v>
      </c>
    </row>
    <row r="1636" spans="1:4" ht="16.5" hidden="1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313">
        <f>参数调整!$K$32*怪物掉落配置方案!$D4714</f>
        <v>0.36481719768134813</v>
      </c>
    </row>
    <row r="1637" spans="1:4" ht="16.5" hidden="1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313">
        <f>参数调整!$K$32*怪物掉落配置方案!$D4715</f>
        <v>0.49655674128850164</v>
      </c>
    </row>
    <row r="1638" spans="1:4" ht="16.5" hidden="1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313">
        <f>参数调整!$K$32*怪物掉落配置方案!$D4716</f>
        <v>0.55492749291751753</v>
      </c>
    </row>
    <row r="1639" spans="1:4" ht="16.5" hidden="1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313">
        <f>参数调整!$K$32*怪物掉落配置方案!$D4717</f>
        <v>0.64856390698906341</v>
      </c>
    </row>
    <row r="1640" spans="1:4" ht="16.5" hidden="1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313">
        <f>参数调整!$K$32*怪物掉落配置方案!$D4718</f>
        <v>0.7494966650142364</v>
      </c>
    </row>
    <row r="1641" spans="1:4" ht="16.5" hidden="1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313">
        <f>参数调整!$K$32*怪物掉落配置方案!$D4719</f>
        <v>0.85772576699303626</v>
      </c>
    </row>
    <row r="1642" spans="1:4" ht="16.5" hidden="1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313">
        <f>参数调整!$K$32*怪物掉落配置方案!$D4720</f>
        <v>0.97325121292546346</v>
      </c>
    </row>
    <row r="1643" spans="1:4" ht="16.5" hidden="1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313">
        <f>参数调整!$K$32*怪物掉落配置方案!$D4721</f>
        <v>1.0960730028115171</v>
      </c>
    </row>
    <row r="1644" spans="1:4" ht="16.5" hidden="1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313">
        <f>参数调整!$K$32*怪物掉落配置方案!$D4722</f>
        <v>1.2261911366511982</v>
      </c>
    </row>
    <row r="1645" spans="1:4" ht="16.5" hidden="1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313">
        <f>参数调整!$K$32*怪物掉落配置方案!$D4723</f>
        <v>1.3636056144445057</v>
      </c>
    </row>
    <row r="1646" spans="1:4" ht="16.5" hidden="1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313">
        <f>参数调整!$K$32*怪物掉落配置方案!$D4724</f>
        <v>1.5083164361914405</v>
      </c>
    </row>
    <row r="1647" spans="1:4" ht="16.5" hidden="1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313">
        <f>参数调整!$K$32*怪物掉落配置方案!$D4725</f>
        <v>1.6603236018920025</v>
      </c>
    </row>
    <row r="1648" spans="1:4" ht="16.5" hidden="1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313">
        <f>参数调整!$K$32*怪物掉落配置方案!$D4726</f>
        <v>1.8196271115461913</v>
      </c>
    </row>
    <row r="1649" spans="1:4" ht="16.5" hidden="1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313">
        <f>参数调整!$K$32*怪物掉落配置方案!$D4727</f>
        <v>1.9862269651540068</v>
      </c>
    </row>
    <row r="1650" spans="1:4" ht="16.5" hidden="1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313">
        <f>参数调整!$K$32*怪物掉落配置方案!$D4728</f>
        <v>3.2492470676928117E-5</v>
      </c>
    </row>
    <row r="1651" spans="1:4" ht="16.5" hidden="1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313">
        <f>参数调整!$K$32*怪物掉落配置方案!$D4729</f>
        <v>4.1123283200487156E-5</v>
      </c>
    </row>
    <row r="1652" spans="1:4" ht="16.5" hidden="1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313">
        <f>参数调整!$K$32*怪物掉落配置方案!$D4730</f>
        <v>5.0769485432700182E-5</v>
      </c>
    </row>
    <row r="1653" spans="1:4" ht="16.5" hidden="1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313">
        <f>参数调整!$K$32*怪物掉落配置方案!$D4731</f>
        <v>6.1431077373567218E-5</v>
      </c>
    </row>
    <row r="1654" spans="1:4" ht="16.5" hidden="1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313">
        <f>参数调整!$K$32*怪物掉落配置方案!$D4732</f>
        <v>7.3108059023088248E-5</v>
      </c>
    </row>
    <row r="1655" spans="1:4" ht="16.5" hidden="1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313">
        <f>参数调整!$K$32*怪物掉落配置方案!$D4733</f>
        <v>8.5800430381263314E-5</v>
      </c>
    </row>
    <row r="1656" spans="1:4" ht="16.5" hidden="1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313">
        <f>参数调整!$K$32*怪物掉落配置方案!$D4734</f>
        <v>9.9508191448092334E-5</v>
      </c>
    </row>
    <row r="1657" spans="1:4" ht="16.5" hidden="1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313">
        <f>参数调整!$K$32*怪物掉落配置方案!$D4735</f>
        <v>1.142313422235754E-4</v>
      </c>
    </row>
    <row r="1658" spans="1:4" ht="16.5" hidden="1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313">
        <f>参数调整!$K$32*怪物掉落配置方案!$D4736</f>
        <v>1.2996988270771247E-4</v>
      </c>
    </row>
    <row r="1659" spans="1:4" ht="16.5" hidden="1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313">
        <f>参数调整!$K$32*怪物掉落配置方案!$D4737</f>
        <v>1.6449313280194862E-4</v>
      </c>
    </row>
    <row r="1660" spans="1:4" ht="16.5" hidden="1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313">
        <f>参数调整!$K$32*怪物掉落配置方案!$D4738</f>
        <v>2.0307794173080073E-4</v>
      </c>
    </row>
    <row r="1661" spans="1:4" ht="16.5" hidden="1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313">
        <f>参数调整!$K$32*怪物掉落配置方案!$D4739</f>
        <v>2.4572430949426887E-4</v>
      </c>
    </row>
    <row r="1662" spans="1:4" ht="16.5" hidden="1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313">
        <f>参数调整!$K$32*怪物掉落配置方案!$D4740</f>
        <v>3.1730928395437612E-4</v>
      </c>
    </row>
    <row r="1663" spans="1:4" ht="16.5" hidden="1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313">
        <f>参数调整!$K$32*怪物掉落配置方案!$D4741</f>
        <v>4.5692536889430156E-4</v>
      </c>
    </row>
    <row r="1664" spans="1:4" ht="16.5" hidden="1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313">
        <f>参数调整!$K$32*怪物掉落配置方案!$D4742</f>
        <v>6.21926196550577E-4</v>
      </c>
    </row>
    <row r="1665" spans="1:4" ht="16.5" hidden="1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313">
        <f>参数调整!$K$32*怪物掉落配置方案!$D4743</f>
        <v>6.950342555736655E-4</v>
      </c>
    </row>
    <row r="1666" spans="1:4" ht="16.5" hidden="1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313">
        <f>参数调整!$K$32*怪物掉落配置方案!$D4744</f>
        <v>8.1231176692320292E-4</v>
      </c>
    </row>
    <row r="1667" spans="1:4" ht="16.5" hidden="1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313">
        <f>参数调整!$K$32*怪物掉落配置方案!$D4745</f>
        <v>9.3872778565062625E-4</v>
      </c>
    </row>
    <row r="1668" spans="1:4" ht="16.5" hidden="1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313">
        <f>参数调整!$K$32*怪物掉落配置方案!$D4746</f>
        <v>1.0742823117559357E-3</v>
      </c>
    </row>
    <row r="1669" spans="1:4" ht="16.5" hidden="1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313">
        <f>参数调整!$K$32*怪物掉落配置方案!$D4747</f>
        <v>1.2189753452391315E-3</v>
      </c>
    </row>
    <row r="1670" spans="1:4" ht="16.5" hidden="1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313">
        <f>参数调整!$K$32*怪物掉落配置方案!$D4748</f>
        <v>1.3728068861002128E-3</v>
      </c>
    </row>
    <row r="1671" spans="1:4" ht="16.5" hidden="1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313">
        <f>参数调整!$K$32*怪物掉落配置方案!$D4749</f>
        <v>1.5357769343391804E-3</v>
      </c>
    </row>
    <row r="1672" spans="1:4" ht="16.5" hidden="1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313">
        <f>参数调整!$K$32*怪物掉落配置方案!$D4750</f>
        <v>1.7078854899560338E-3</v>
      </c>
    </row>
    <row r="1673" spans="1:4" ht="16.5" hidden="1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313">
        <f>参数调整!$K$32*怪物掉落配置方案!$D4751</f>
        <v>1.8891325529507732E-3</v>
      </c>
    </row>
    <row r="1674" spans="1:4" ht="16.5" hidden="1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313">
        <f>参数调整!$K$32*怪物掉落配置方案!$D4752</f>
        <v>2.0795181233233995E-3</v>
      </c>
    </row>
    <row r="1675" spans="1:4" ht="16.5" hidden="1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313">
        <f>参数调整!$K$32*怪物掉落配置方案!$D4753</f>
        <v>2.2790422010739108E-3</v>
      </c>
    </row>
    <row r="1676" spans="1:4" ht="16.5" hidden="1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313">
        <f>参数调整!$K$32*怪物掉落配置方案!$D4754</f>
        <v>2.4877047862023089E-3</v>
      </c>
    </row>
    <row r="1677" spans="1:4" ht="16.5" hidden="1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313">
        <f>参数调整!$K$32*怪物掉落配置方案!$D4755</f>
        <v>5.9121072885159557E-3</v>
      </c>
    </row>
    <row r="1678" spans="1:4" ht="16.5" hidden="1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313">
        <f>参数调整!$K$32*怪物掉落配置方案!$D4756</f>
        <v>7.4825107870280056E-3</v>
      </c>
    </row>
    <row r="1679" spans="1:4" ht="16.5" hidden="1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313">
        <f>参数调整!$K$32*怪物掉落配置方案!$D4757</f>
        <v>9.2376676383061785E-3</v>
      </c>
    </row>
    <row r="1680" spans="1:4" ht="16.5" hidden="1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313">
        <f>参数调整!$K$32*怪物掉落配置方案!$D4758</f>
        <v>1.1177577842350479E-2</v>
      </c>
    </row>
    <row r="1681" spans="1:4" ht="16.5" hidden="1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313">
        <f>参数调整!$K$32*怪物掉落配置方案!$D4759</f>
        <v>1.3302241399160896E-2</v>
      </c>
    </row>
    <row r="1682" spans="1:4" ht="16.5" hidden="1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313">
        <f>参数调整!$K$32*怪物掉落配置方案!$D4760</f>
        <v>1.5611658308737446E-2</v>
      </c>
    </row>
    <row r="1683" spans="1:4" ht="16.5" hidden="1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313">
        <f>参数调整!$K$32*怪物掉落配置方案!$D4761</f>
        <v>1.8105828571080108E-2</v>
      </c>
    </row>
    <row r="1684" spans="1:4" ht="16.5" hidden="1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313">
        <f>参数调整!$K$32*怪物掉落配置方案!$D4762</f>
        <v>2.0784752186188905E-2</v>
      </c>
    </row>
    <row r="1685" spans="1:4" ht="16.5" hidden="1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313">
        <f>参数调整!$K$32*怪物掉落配置方案!$D4763</f>
        <v>2.3648429154063823E-2</v>
      </c>
    </row>
    <row r="1686" spans="1:4" ht="16.5" hidden="1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313">
        <f>参数调整!$K$32*怪物掉落配置方案!$D4764</f>
        <v>2.9930043148112023E-2</v>
      </c>
    </row>
    <row r="1687" spans="1:4" ht="16.5" hidden="1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313">
        <f>参数调整!$K$32*怪物掉落配置方案!$D4765</f>
        <v>3.6950670553224714E-2</v>
      </c>
    </row>
    <row r="1688" spans="1:4" ht="16.5" hidden="1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313">
        <f>参数调整!$K$32*怪物掉落配置方案!$D4766</f>
        <v>4.4710311369401914E-2</v>
      </c>
    </row>
    <row r="1689" spans="1:4" ht="16.5" hidden="1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313">
        <f>参数调整!$K$32*怪物掉落配置方案!$D4767</f>
        <v>5.7735422739413615E-2</v>
      </c>
    </row>
    <row r="1690" spans="1:4" ht="16.5" hidden="1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313">
        <f>参数调整!$K$32*怪物掉落配置方案!$D4768</f>
        <v>8.3139008744755605E-2</v>
      </c>
    </row>
    <row r="1691" spans="1:4" ht="16.5" hidden="1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313">
        <f>参数调整!$K$32*怪物掉落配置方案!$D4769</f>
        <v>0.11316142856925068</v>
      </c>
    </row>
    <row r="1692" spans="1:4" ht="16.5" hidden="1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313">
        <f>参数调整!$K$32*怪物掉落配置方案!$D4770</f>
        <v>0.1264636699684116</v>
      </c>
    </row>
    <row r="1693" spans="1:4" ht="16.5" hidden="1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313">
        <f>参数调整!$K$32*怪物掉落配置方案!$D4771</f>
        <v>0.14780268221289886</v>
      </c>
    </row>
    <row r="1694" spans="1:4" ht="16.5" hidden="1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313">
        <f>参数调整!$K$32*怪物掉落配置方案!$D4772</f>
        <v>0.17080447463228121</v>
      </c>
    </row>
    <row r="1695" spans="1:4" ht="16.5" hidden="1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313">
        <f>参数调整!$K$32*怪物掉落配置方案!$D4773</f>
        <v>0.19546904722655872</v>
      </c>
    </row>
    <row r="1696" spans="1:4" ht="16.5" hidden="1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313">
        <f>参数调整!$K$32*怪物掉落配置方案!$D4774</f>
        <v>0.22179639999573142</v>
      </c>
    </row>
    <row r="1697" spans="1:4" ht="16.5" hidden="1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313">
        <f>参数调整!$K$32*怪物掉落配置方案!$D4775</f>
        <v>0.24978653293979911</v>
      </c>
    </row>
    <row r="1698" spans="1:4" ht="16.5" hidden="1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313">
        <f>参数调整!$K$32*怪物掉落配置方案!$D4776</f>
        <v>0.27943944605876192</v>
      </c>
    </row>
    <row r="1699" spans="1:4" ht="16.5" hidden="1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313">
        <f>参数调整!$K$32*怪物掉落配置方案!$D4777</f>
        <v>0.31075513935261984</v>
      </c>
    </row>
    <row r="1700" spans="1:4" ht="16.5" hidden="1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313">
        <f>参数调整!$K$32*怪物掉落配置方案!$D4778</f>
        <v>0.34373361282137282</v>
      </c>
    </row>
    <row r="1701" spans="1:4" ht="16.5" hidden="1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313">
        <f>参数调整!$K$32*怪物掉落配置方案!$D4779</f>
        <v>0.37837486646502111</v>
      </c>
    </row>
    <row r="1702" spans="1:4" ht="16.5" hidden="1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313">
        <f>参数调整!$K$32*怪物掉落配置方案!$D4780</f>
        <v>0.41467890028356441</v>
      </c>
    </row>
    <row r="1703" spans="1:4" ht="16.5" hidden="1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313">
        <f>参数调整!$K$32*怪物掉落配置方案!$D4781</f>
        <v>0.45264571427700284</v>
      </c>
    </row>
    <row r="1704" spans="1:4" ht="16.5" hidden="1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313">
        <f>参数调整!$K$32*怪物掉落配置方案!$D4782</f>
        <v>5.9121072885159557E-3</v>
      </c>
    </row>
    <row r="1705" spans="1:4" ht="16.5" hidden="1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313">
        <f>参数调整!$K$32*怪物掉落配置方案!$D4783</f>
        <v>7.4825107870280056E-3</v>
      </c>
    </row>
    <row r="1706" spans="1:4" ht="16.5" hidden="1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313">
        <f>参数调整!$K$32*怪物掉落配置方案!$D4784</f>
        <v>9.2376676383061785E-3</v>
      </c>
    </row>
    <row r="1707" spans="1:4" ht="16.5" hidden="1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313">
        <f>参数调整!$K$32*怪物掉落配置方案!$D4785</f>
        <v>1.1177577842350479E-2</v>
      </c>
    </row>
    <row r="1708" spans="1:4" ht="16.5" hidden="1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313">
        <f>参数调整!$K$32*怪物掉落配置方案!$D4786</f>
        <v>1.3302241399160896E-2</v>
      </c>
    </row>
    <row r="1709" spans="1:4" ht="16.5" hidden="1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313">
        <f>参数调整!$K$32*怪物掉落配置方案!$D4787</f>
        <v>1.5611658308737446E-2</v>
      </c>
    </row>
    <row r="1710" spans="1:4" ht="16.5" hidden="1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313">
        <f>参数调整!$K$32*怪物掉落配置方案!$D4788</f>
        <v>1.8105828571080108E-2</v>
      </c>
    </row>
    <row r="1711" spans="1:4" ht="16.5" hidden="1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313">
        <f>参数调整!$K$32*怪物掉落配置方案!$D4789</f>
        <v>2.0784752186188905E-2</v>
      </c>
    </row>
    <row r="1712" spans="1:4" ht="16.5" hidden="1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313">
        <f>参数调整!$K$32*怪物掉落配置方案!$D4790</f>
        <v>2.3648429154063823E-2</v>
      </c>
    </row>
    <row r="1713" spans="1:4" ht="16.5" hidden="1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313">
        <f>参数调整!$K$32*怪物掉落配置方案!$D4791</f>
        <v>2.9930043148112023E-2</v>
      </c>
    </row>
    <row r="1714" spans="1:4" ht="16.5" hidden="1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313">
        <f>参数调整!$K$32*怪物掉落配置方案!$D4792</f>
        <v>3.6950670553224714E-2</v>
      </c>
    </row>
    <row r="1715" spans="1:4" ht="16.5" hidden="1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313">
        <f>参数调整!$K$32*怪物掉落配置方案!$D4793</f>
        <v>4.4710311369401914E-2</v>
      </c>
    </row>
    <row r="1716" spans="1:4" ht="16.5" hidden="1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313">
        <f>参数调整!$K$32*怪物掉落配置方案!$D4794</f>
        <v>5.7735422739413615E-2</v>
      </c>
    </row>
    <row r="1717" spans="1:4" ht="16.5" hidden="1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313">
        <f>参数调整!$K$32*怪物掉落配置方案!$D4795</f>
        <v>8.3139008744755605E-2</v>
      </c>
    </row>
    <row r="1718" spans="1:4" ht="16.5" hidden="1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313">
        <f>参数调整!$K$32*怪物掉落配置方案!$D4796</f>
        <v>0.11316142856925068</v>
      </c>
    </row>
    <row r="1719" spans="1:4" ht="16.5" hidden="1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313">
        <f>参数调整!$K$32*怪物掉落配置方案!$D4797</f>
        <v>0.1264636699684116</v>
      </c>
    </row>
    <row r="1720" spans="1:4" ht="16.5" hidden="1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313">
        <f>参数调整!$K$32*怪物掉落配置方案!$D4798</f>
        <v>0.14780268221289886</v>
      </c>
    </row>
    <row r="1721" spans="1:4" ht="16.5" hidden="1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313">
        <f>参数调整!$K$32*怪物掉落配置方案!$D4799</f>
        <v>0.17080447463228121</v>
      </c>
    </row>
    <row r="1722" spans="1:4" ht="16.5" hidden="1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313">
        <f>参数调整!$K$32*怪物掉落配置方案!$D4800</f>
        <v>0.19546904722655872</v>
      </c>
    </row>
    <row r="1723" spans="1:4" ht="16.5" hidden="1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313">
        <f>参数调整!$K$32*怪物掉落配置方案!$D4801</f>
        <v>0.22179639999573142</v>
      </c>
    </row>
    <row r="1724" spans="1:4" ht="16.5" hidden="1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313">
        <f>参数调整!$K$32*怪物掉落配置方案!$D4802</f>
        <v>0.24978653293979911</v>
      </c>
    </row>
    <row r="1725" spans="1:4" ht="16.5" hidden="1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313">
        <f>参数调整!$K$32*怪物掉落配置方案!$D4803</f>
        <v>0.27943944605876192</v>
      </c>
    </row>
    <row r="1726" spans="1:4" ht="16.5" hidden="1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313">
        <f>参数调整!$K$32*怪物掉落配置方案!$D4804</f>
        <v>0.31075513935261984</v>
      </c>
    </row>
    <row r="1727" spans="1:4" ht="16.5" hidden="1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313">
        <f>参数调整!$K$32*怪物掉落配置方案!$D4805</f>
        <v>0.34373361282137282</v>
      </c>
    </row>
    <row r="1728" spans="1:4" ht="16.5" hidden="1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313">
        <f>参数调整!$K$32*怪物掉落配置方案!$D4806</f>
        <v>0.37837486646502111</v>
      </c>
    </row>
    <row r="1729" spans="1:4" ht="16.5" hidden="1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313">
        <f>参数调整!$K$32*怪物掉落配置方案!$D4807</f>
        <v>0.41467890028356441</v>
      </c>
    </row>
    <row r="1730" spans="1:4" ht="16.5" hidden="1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313">
        <f>参数调整!$K$32*怪物掉落配置方案!$D4808</f>
        <v>0.45264571427700284</v>
      </c>
    </row>
    <row r="1731" spans="1:4" ht="16.5" hidden="1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313">
        <f>参数调整!$K$32*怪物掉落配置方案!$D4809</f>
        <v>0.15155110691938706</v>
      </c>
    </row>
    <row r="1732" spans="1:4" ht="16.5" hidden="1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313">
        <f>参数调整!$K$32*怪物掉落配置方案!$D4810</f>
        <v>0.19180686969484928</v>
      </c>
    </row>
    <row r="1733" spans="1:4" ht="16.5" hidden="1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313">
        <f>参数调整!$K$32*怪物掉落配置方案!$D4811</f>
        <v>0.23679860456154228</v>
      </c>
    </row>
    <row r="1734" spans="1:4" ht="16.5" hidden="1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313">
        <f>参数调整!$K$32*怪物掉落配置方案!$D4812</f>
        <v>0.28652631151946617</v>
      </c>
    </row>
    <row r="1735" spans="1:4" ht="16.5" hidden="1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313">
        <f>参数调整!$K$32*怪物掉落配置方案!$D4813</f>
        <v>0.34098999056862084</v>
      </c>
    </row>
    <row r="1736" spans="1:4" ht="16.5" hidden="1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313">
        <f>参数调整!$K$32*怪物掉落配置方案!$D4814</f>
        <v>0.40018964170900645</v>
      </c>
    </row>
    <row r="1737" spans="1:4" ht="16.5" hidden="1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313">
        <f>参数调整!$K$32*怪物掉落配置方案!$D4815</f>
        <v>0.46412526494062278</v>
      </c>
    </row>
    <row r="1738" spans="1:4" ht="16.5" hidden="1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313">
        <f>参数调整!$K$32*怪物掉落配置方案!$D4816</f>
        <v>0.53279686026347017</v>
      </c>
    </row>
    <row r="1739" spans="1:4" ht="16.5" hidden="1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313">
        <f>参数调整!$K$32*怪物掉落配置方案!$D4817</f>
        <v>0.60620442767754834</v>
      </c>
    </row>
    <row r="1740" spans="1:4" ht="16.5" hidden="1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313">
        <f>参数调整!$K$32*怪物掉落配置方案!$D4818</f>
        <v>0.76722747877939712</v>
      </c>
    </row>
    <row r="1741" spans="1:4" ht="16.5" hidden="1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313">
        <f>参数调整!$K$32*怪物掉落配置方案!$D4819</f>
        <v>0.94719441824616901</v>
      </c>
    </row>
    <row r="1742" spans="1:4" ht="16.5" hidden="1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313">
        <f>参数调整!$K$32*怪物掉落配置方案!$D4820</f>
        <v>1.1461052460778647</v>
      </c>
    </row>
    <row r="1743" spans="1:4" ht="16.5" hidden="1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313">
        <f>参数调整!$K$32*怪物掉落配置方案!$D4821</f>
        <v>1.4799912785096392</v>
      </c>
    </row>
    <row r="1744" spans="1:4" ht="16.5" hidden="1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313">
        <f>参数调整!$K$32*怪物掉落配置方案!$D4822</f>
        <v>2.1311874410538802</v>
      </c>
    </row>
    <row r="1745" spans="1:4" ht="16.5" hidden="1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313">
        <f>参数调整!$K$32*怪物掉落配置方案!$D4823</f>
        <v>2.9007829058788923</v>
      </c>
    </row>
    <row r="1746" spans="1:4" ht="16.5" hidden="1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313">
        <f>参数调整!$K$32*怪物掉落配置方案!$D4824</f>
        <v>3.2417728964475141</v>
      </c>
    </row>
    <row r="1747" spans="1:4" ht="16.5" hidden="1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313">
        <f>参数调整!$K$32*怪物掉落配置方案!$D4825</f>
        <v>3.788777672984676</v>
      </c>
    </row>
    <row r="1748" spans="1:4" ht="16.5" hidden="1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313">
        <f>参数调整!$K$32*怪物掉落配置方案!$D4826</f>
        <v>4.3784061983429154</v>
      </c>
    </row>
    <row r="1749" spans="1:4" ht="16.5" hidden="1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313">
        <f>参数调整!$K$32*怪物掉落配置方案!$D4827</f>
        <v>5.0106584725222341</v>
      </c>
    </row>
    <row r="1750" spans="1:4" ht="16.5" hidden="1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313">
        <f>参数调整!$K$32*怪物掉落配置方案!$D4828</f>
        <v>5.6855344955226306</v>
      </c>
    </row>
    <row r="1751" spans="1:4" ht="16.5" hidden="1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313">
        <f>参数调整!$K$32*怪物掉落配置方案!$D4829</f>
        <v>6.4030342673441032</v>
      </c>
    </row>
    <row r="1752" spans="1:4" ht="16.5" hidden="1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313">
        <f>参数调整!$K$32*怪物掉落配置方案!$D4830</f>
        <v>7.1631577879866555</v>
      </c>
    </row>
    <row r="1753" spans="1:4" ht="16.5" hidden="1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313">
        <f>参数调整!$K$32*怪物掉落配置方案!$D4831</f>
        <v>7.9659050574502821</v>
      </c>
    </row>
    <row r="1754" spans="1:4" ht="16.5" hidden="1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313">
        <f>参数调整!$K$32*怪物掉落配置方案!$D4832</f>
        <v>8.8112760757349875</v>
      </c>
    </row>
    <row r="1755" spans="1:4" ht="16.5" hidden="1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313">
        <f>参数调整!$K$32*怪物掉落配置方案!$D4833</f>
        <v>9.6992708428407717</v>
      </c>
    </row>
    <row r="1756" spans="1:4" ht="16.5" hidden="1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313">
        <f>参数调整!$K$32*怪物掉落配置方案!$D4834</f>
        <v>10.629889358767635</v>
      </c>
    </row>
    <row r="1757" spans="1:4" ht="16.5" hidden="1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313">
        <f>参数调整!$K$32*怪物掉落配置方案!$D4835</f>
        <v>11.603131623515573</v>
      </c>
    </row>
    <row r="1758" spans="1:4" ht="16.5" hidden="1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313">
        <f>参数调整!$K$32*怪物掉落配置方案!$D4836</f>
        <v>8.9354294361552317E-4</v>
      </c>
    </row>
    <row r="1759" spans="1:4" ht="16.5" hidden="1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313">
        <f>参数调整!$K$32*怪物掉落配置方案!$D4837</f>
        <v>1.1308902880133968E-3</v>
      </c>
    </row>
    <row r="1760" spans="1:4" ht="16.5" hidden="1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313">
        <f>参数调整!$K$32*怪物掉落配置方案!$D4838</f>
        <v>1.3961608493992549E-3</v>
      </c>
    </row>
    <row r="1761" spans="1:4" ht="16.5" hidden="1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313">
        <f>参数调整!$K$32*怪物掉落配置方案!$D4839</f>
        <v>1.6893546277730988E-3</v>
      </c>
    </row>
    <row r="1762" spans="1:4" ht="16.5" hidden="1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313">
        <f>参数调整!$K$32*怪物掉落配置方案!$D4840</f>
        <v>2.0104716231349263E-3</v>
      </c>
    </row>
    <row r="1763" spans="1:4" ht="16.5" hidden="1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313">
        <f>参数调整!$K$32*怪物掉落配置方案!$D4841</f>
        <v>2.3595118354847408E-3</v>
      </c>
    </row>
    <row r="1764" spans="1:4" ht="16.5" hidden="1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313">
        <f>参数调整!$K$32*怪物掉落配置方案!$D4842</f>
        <v>2.7364752648225393E-3</v>
      </c>
    </row>
    <row r="1765" spans="1:4" ht="16.5" hidden="1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313">
        <f>参数调整!$K$32*怪物掉落配置方案!$D4843</f>
        <v>3.1413619111483235E-3</v>
      </c>
    </row>
    <row r="1766" spans="1:4" ht="16.5" hidden="1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313">
        <f>参数调整!$K$32*怪物掉落配置方案!$D4844</f>
        <v>3.5741717744620927E-3</v>
      </c>
    </row>
    <row r="1767" spans="1:4" ht="16.5" hidden="1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313">
        <f>参数调整!$K$32*怪物掉落配置方案!$D4845</f>
        <v>4.5235611520535856E-3</v>
      </c>
    </row>
    <row r="1768" spans="1:4" ht="16.5" hidden="1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313">
        <f>参数调整!$K$32*怪物掉落配置方案!$D4846</f>
        <v>5.5846433975970189E-3</v>
      </c>
    </row>
    <row r="1769" spans="1:4" ht="16.5" hidden="1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313">
        <f>参数调整!$K$32*怪物掉落配置方案!$D4847</f>
        <v>6.7574185110923926E-3</v>
      </c>
    </row>
    <row r="1770" spans="1:4" ht="16.5" hidden="1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313">
        <f>参数调整!$K$32*怪物掉落配置方案!$D4848</f>
        <v>8.726005308745342E-3</v>
      </c>
    </row>
    <row r="1771" spans="1:4" ht="16.5" hidden="1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313">
        <f>参数调整!$K$32*怪物掉落配置方案!$D4849</f>
        <v>1.2565447644593292E-2</v>
      </c>
    </row>
    <row r="1772" spans="1:4" ht="16.5" hidden="1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313">
        <f>参数调整!$K$32*怪物掉落配置方案!$D4850</f>
        <v>1.7102970405140867E-2</v>
      </c>
    </row>
    <row r="1773" spans="1:4" ht="16.5" hidden="1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313">
        <f>参数调整!$K$32*怪物掉落配置方案!$D4851</f>
        <v>1.9113442028275803E-2</v>
      </c>
    </row>
    <row r="1774" spans="1:4" ht="16.5" hidden="1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313">
        <f>参数调整!$K$32*怪物掉落配置方案!$D4852</f>
        <v>2.2338573590388076E-2</v>
      </c>
    </row>
    <row r="1775" spans="1:4" ht="16.5" hidden="1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313">
        <f>参数调整!$K$32*怪物掉落配置方案!$D4853</f>
        <v>2.581501410539222E-2</v>
      </c>
    </row>
    <row r="1776" spans="1:4" ht="16.5" hidden="1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313">
        <f>参数调整!$K$32*怪物掉落配置方案!$D4854</f>
        <v>2.9542763573288233E-2</v>
      </c>
    </row>
    <row r="1777" spans="1:4" ht="16.5" hidden="1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313">
        <f>参数调整!$K$32*怪物掉落配置方案!$D4855</f>
        <v>3.3521821994076113E-2</v>
      </c>
    </row>
    <row r="1778" spans="1:4" ht="16.5" hidden="1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313">
        <f>参数调整!$K$32*怪物掉落配置方案!$D4856</f>
        <v>3.7752189367755852E-2</v>
      </c>
    </row>
    <row r="1779" spans="1:4" ht="16.5" hidden="1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313">
        <f>参数调整!$K$32*怪物掉落配置方案!$D4857</f>
        <v>4.2233865694327459E-2</v>
      </c>
    </row>
    <row r="1780" spans="1:4" ht="16.5" hidden="1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313">
        <f>参数调整!$K$32*怪物掉落配置方案!$D4858</f>
        <v>4.6966850973790927E-2</v>
      </c>
    </row>
    <row r="1781" spans="1:4" ht="16.5" hidden="1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313">
        <f>参数调整!$K$32*怪物掉落配置方案!$D4859</f>
        <v>5.1951145206146257E-2</v>
      </c>
    </row>
    <row r="1782" spans="1:4" ht="16.5" hidden="1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313">
        <f>参数调整!$K$32*怪物掉落配置方案!$D4860</f>
        <v>5.7186748391393483E-2</v>
      </c>
    </row>
    <row r="1783" spans="1:4" ht="16.5" hidden="1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313">
        <f>参数调整!$K$32*怪物掉落配置方案!$D4861</f>
        <v>6.2673660529532549E-2</v>
      </c>
    </row>
    <row r="1784" spans="1:4" ht="16.5" hidden="1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313">
        <f>参数调整!$K$32*怪物掉落配置方案!$D4862</f>
        <v>6.8411881620563497E-2</v>
      </c>
    </row>
    <row r="1785" spans="1:4" ht="16.5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313">
        <f>参数调整!$K$32*怪物掉落配置方案!$D4863</f>
        <v>16670</v>
      </c>
    </row>
    <row r="1786" spans="1:4" ht="16.5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313">
        <f>参数调整!$K$32*怪物掉落配置方案!$D4864</f>
        <v>26620</v>
      </c>
    </row>
    <row r="1787" spans="1:4" ht="16.5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313">
        <f>参数调整!$K$32*怪物掉落配置方案!$D4865</f>
        <v>43330</v>
      </c>
    </row>
    <row r="1788" spans="1:4" ht="16.5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313">
        <f>参数调整!$K$32*怪物掉落配置方案!$D4866</f>
        <v>54170</v>
      </c>
    </row>
    <row r="1789" spans="1:4" ht="16.5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313">
        <f>参数调整!$K$32*怪物掉落配置方案!$D4867</f>
        <v>54440</v>
      </c>
    </row>
    <row r="1790" spans="1:4" ht="16.5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313">
        <f>参数调整!$K$32*怪物掉落配置方案!$D4868</f>
        <v>55740</v>
      </c>
    </row>
    <row r="1791" spans="1:4" ht="16.5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313">
        <f>参数调整!$K$32*怪物掉落配置方案!$D4869</f>
        <v>62910</v>
      </c>
    </row>
    <row r="1792" spans="1:4" ht="16.5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313">
        <f>参数调整!$K$32*怪物掉落配置方案!$D4870</f>
        <v>100810</v>
      </c>
    </row>
    <row r="1793" spans="1:4" ht="16.5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313">
        <f>参数调整!$K$32*怪物掉落配置方案!$D4871</f>
        <v>173350</v>
      </c>
    </row>
    <row r="1794" spans="1:4" ht="16.5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313">
        <f>参数调整!$K$32*怪物掉落配置方案!$D4872</f>
        <v>203970</v>
      </c>
    </row>
    <row r="1795" spans="1:4" ht="16.5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313">
        <f>参数调整!$K$32*怪物掉落配置方案!$D4873</f>
        <v>315000</v>
      </c>
    </row>
    <row r="1796" spans="1:4" ht="16.5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313">
        <f>参数调整!$K$32*怪物掉落配置方案!$D4874</f>
        <v>325560</v>
      </c>
    </row>
    <row r="1797" spans="1:4" ht="16.5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313">
        <f>参数调整!$K$32*怪物掉落配置方案!$D4875</f>
        <v>1298140</v>
      </c>
    </row>
    <row r="1798" spans="1:4" ht="16.5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313">
        <f>参数调整!$K$32*怪物掉落配置方案!$D4876</f>
        <v>4444170</v>
      </c>
    </row>
    <row r="1799" spans="1:4" ht="16.5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313">
        <f>参数调整!$K$32*怪物掉落配置方案!$D4877</f>
        <v>53683890</v>
      </c>
    </row>
    <row r="1800" spans="1:4" ht="16.5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313">
        <f>参数调整!$K$32*怪物掉落配置方案!$D4878</f>
        <v>48814670</v>
      </c>
    </row>
    <row r="1801" spans="1:4" ht="16.5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313">
        <f>参数调整!$K$32*怪物掉落配置方案!$D4879</f>
        <v>58333330</v>
      </c>
    </row>
    <row r="1802" spans="1:4" ht="16.5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313">
        <f>参数调整!$K$32*怪物掉落配置方案!$D4880</f>
        <v>11666670</v>
      </c>
    </row>
    <row r="1803" spans="1:4" ht="16.5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313">
        <f>参数调整!$K$32*怪物掉落配置方案!$D4881</f>
        <v>11666670</v>
      </c>
    </row>
    <row r="1804" spans="1:4" ht="16.5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313">
        <f>参数调整!$K$32*怪物掉落配置方案!$D4882</f>
        <v>11666670</v>
      </c>
    </row>
    <row r="1805" spans="1:4" ht="16.5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313">
        <f>参数调整!$K$32*怪物掉落配置方案!$D4883</f>
        <v>11666670</v>
      </c>
    </row>
    <row r="1806" spans="1:4" ht="16.5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313">
        <f>参数调整!$K$32*怪物掉落配置方案!$D4884</f>
        <v>11666670</v>
      </c>
    </row>
    <row r="1807" spans="1:4" ht="16.5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313">
        <f>参数调整!$K$32*怪物掉落配置方案!$D4885</f>
        <v>5833330</v>
      </c>
    </row>
    <row r="1808" spans="1:4" ht="16.5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313">
        <f>参数调整!$K$32*怪物掉落配置方案!$D4886</f>
        <v>5833330</v>
      </c>
    </row>
    <row r="1809" spans="1:4" ht="16.5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313">
        <f>参数调整!$K$32*怪物掉落配置方案!$D4887</f>
        <v>5833330</v>
      </c>
    </row>
    <row r="1810" spans="1:4" ht="16.5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313">
        <f>参数调整!$K$32*怪物掉落配置方案!$D4888</f>
        <v>5833330</v>
      </c>
    </row>
    <row r="1811" spans="1:4" ht="16.5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313">
        <f>参数调整!$K$32*怪物掉落配置方案!$D4889</f>
        <v>5833330</v>
      </c>
    </row>
    <row r="1812" spans="1:4" ht="16.5" hidden="1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313">
        <f>参数调整!$K$32*怪物掉落配置方案!$D4890</f>
        <v>5.188511255912508E-3</v>
      </c>
    </row>
    <row r="1813" spans="1:4" ht="16.5" hidden="1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313">
        <f>参数调整!$K$32*怪物掉落配置方案!$D4891</f>
        <v>6.5667095582642694E-3</v>
      </c>
    </row>
    <row r="1814" spans="1:4" ht="16.5" hidden="1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313">
        <f>参数调整!$K$32*怪物掉落配置方案!$D4892</f>
        <v>8.1070488373632937E-3</v>
      </c>
    </row>
    <row r="1815" spans="1:4" ht="16.5" hidden="1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313">
        <f>参数调整!$K$32*怪物掉落配置方案!$D4893</f>
        <v>9.8095290932095867E-3</v>
      </c>
    </row>
    <row r="1816" spans="1:4" ht="16.5" hidden="1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313">
        <f>参数调整!$K$32*怪物掉落配置方案!$D4894</f>
        <v>1.1674150325803141E-2</v>
      </c>
    </row>
    <row r="1817" spans="1:4" ht="16.5" hidden="1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313">
        <f>参数调整!$K$32*怪物掉落配置方案!$D4895</f>
        <v>1.370091253514397E-2</v>
      </c>
    </row>
    <row r="1818" spans="1:4" ht="16.5" hidden="1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313">
        <f>参数调整!$K$32*怪物掉落配置方案!$D4896</f>
        <v>1.5889815721232055E-2</v>
      </c>
    </row>
    <row r="1819" spans="1:4" ht="16.5" hidden="1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313">
        <f>参数调整!$K$32*怪物掉落配置方案!$D4897</f>
        <v>1.8240859884067411E-2</v>
      </c>
    </row>
    <row r="1820" spans="1:4" ht="16.5" hidden="1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313">
        <f>参数调整!$K$32*怪物掉落配置方案!$D4898</f>
        <v>2.0754045023650036E-2</v>
      </c>
    </row>
    <row r="1821" spans="1:4" ht="16.5" hidden="1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313">
        <f>参数调整!$K$32*怪物掉落配置方案!$D4899</f>
        <v>2.6266838233057074E-2</v>
      </c>
    </row>
    <row r="1822" spans="1:4" ht="16.5" hidden="1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313">
        <f>参数调整!$K$32*怪物掉落配置方案!$D4900</f>
        <v>3.2428195349453175E-2</v>
      </c>
    </row>
    <row r="1823" spans="1:4" ht="16.5" hidden="1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313">
        <f>参数调整!$K$32*怪物掉落配置方案!$D4901</f>
        <v>3.9238116372838347E-2</v>
      </c>
    </row>
    <row r="1824" spans="1:4" ht="16.5" hidden="1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313">
        <f>参数调整!$K$32*怪物掉落配置方案!$D4902</f>
        <v>5.0669055233520589E-2</v>
      </c>
    </row>
    <row r="1825" spans="1:4" ht="16.5" hidden="1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313">
        <f>参数调整!$K$32*怪物掉落配置方案!$D4903</f>
        <v>7.2963439536269631E-2</v>
      </c>
    </row>
    <row r="1826" spans="1:4" ht="16.5" hidden="1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313">
        <f>参数调整!$K$32*怪物掉落配置方案!$D4904</f>
        <v>9.9311348257700327E-2</v>
      </c>
    </row>
    <row r="1827" spans="1:4" ht="16.5" hidden="1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313">
        <f>参数调整!$K$32*怪物掉落配置方案!$D4905</f>
        <v>0.1109854985835035</v>
      </c>
    </row>
    <row r="1828" spans="1:4" ht="16.5" hidden="1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313">
        <f>参数调整!$K$32*怪物掉落配置方案!$D4906</f>
        <v>0.1297127813978127</v>
      </c>
    </row>
    <row r="1829" spans="1:4" ht="16.5" hidden="1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313">
        <f>参数调整!$K$32*怪物掉落配置方案!$D4907</f>
        <v>0.14989933300284727</v>
      </c>
    </row>
    <row r="1830" spans="1:4" ht="16.5" hidden="1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313">
        <f>参数调整!$K$32*怪物掉落配置方案!$D4908</f>
        <v>0.17154515339860729</v>
      </c>
    </row>
    <row r="1831" spans="1:4" ht="16.5" hidden="1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313">
        <f>参数调整!$K$32*怪物掉落配置方案!$D4909</f>
        <v>0.19465024258509273</v>
      </c>
    </row>
    <row r="1832" spans="1:4" ht="16.5" hidden="1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313">
        <f>参数调整!$K$32*怪物掉落配置方案!$D4910</f>
        <v>0.21921460056230344</v>
      </c>
    </row>
    <row r="1833" spans="1:4" ht="16.5" hidden="1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313">
        <f>参数调整!$K$32*怪物掉落配置方案!$D4911</f>
        <v>0.24523822733023964</v>
      </c>
    </row>
    <row r="1834" spans="1:4" ht="16.5" hidden="1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313">
        <f>参数调整!$K$32*怪物掉落配置方案!$D4912</f>
        <v>0.27272112288890116</v>
      </c>
    </row>
    <row r="1835" spans="1:4" ht="16.5" hidden="1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313">
        <f>参数调整!$K$32*怪物掉落配置方案!$D4913</f>
        <v>0.30166328723828811</v>
      </c>
    </row>
    <row r="1836" spans="1:4" ht="16.5" hidden="1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313">
        <f>参数调整!$K$32*怪物掉落配置方案!$D4914</f>
        <v>0.33206472037840051</v>
      </c>
    </row>
    <row r="1837" spans="1:4" ht="16.5" hidden="1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313">
        <f>参数调整!$K$32*怪物掉落配置方案!$D4915</f>
        <v>0.36392542230923819</v>
      </c>
    </row>
    <row r="1838" spans="1:4" ht="16.5" hidden="1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313">
        <f>参数调整!$K$32*怪物掉落配置方案!$D4916</f>
        <v>0.39724539303080142</v>
      </c>
    </row>
    <row r="1839" spans="1:4" ht="16.5" hidden="1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313">
        <f>参数调整!$K$32*怪物掉落配置方案!$D4917</f>
        <v>0</v>
      </c>
    </row>
    <row r="1840" spans="1:4" ht="16.5" hidden="1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313">
        <f>参数调整!$K$32*怪物掉落配置方案!$D4918</f>
        <v>0</v>
      </c>
    </row>
    <row r="1841" spans="1:4" ht="16.5" hidden="1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313">
        <f>参数调整!$K$32*怪物掉落配置方案!$D4919</f>
        <v>0</v>
      </c>
    </row>
    <row r="1842" spans="1:4" ht="16.5" hidden="1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313">
        <f>参数调整!$K$32*怪物掉落配置方案!$D4920</f>
        <v>0</v>
      </c>
    </row>
    <row r="1843" spans="1:4" ht="16.5" hidden="1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313">
        <f>参数调整!$K$32*怪物掉落配置方案!$D4921</f>
        <v>0</v>
      </c>
    </row>
    <row r="1844" spans="1:4" ht="16.5" hidden="1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313">
        <f>参数调整!$K$32*怪物掉落配置方案!$D4922</f>
        <v>0</v>
      </c>
    </row>
    <row r="1845" spans="1:4" ht="16.5" hidden="1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313">
        <f>参数调整!$K$32*怪物掉落配置方案!$D4923</f>
        <v>0</v>
      </c>
    </row>
    <row r="1846" spans="1:4" ht="16.5" hidden="1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313">
        <f>参数调整!$K$32*怪物掉落配置方案!$D4924</f>
        <v>0</v>
      </c>
    </row>
    <row r="1847" spans="1:4" ht="16.5" hidden="1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313">
        <f>参数调整!$K$32*怪物掉落配置方案!$D4925</f>
        <v>0</v>
      </c>
    </row>
    <row r="1848" spans="1:4" ht="16.5" hidden="1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313">
        <f>参数调整!$K$32*怪物掉落配置方案!$D4926</f>
        <v>0</v>
      </c>
    </row>
    <row r="1849" spans="1:4" ht="16.5" hidden="1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313">
        <f>参数调整!$K$32*怪物掉落配置方案!$D4927</f>
        <v>0</v>
      </c>
    </row>
    <row r="1850" spans="1:4" ht="16.5" hidden="1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313">
        <f>参数调整!$K$32*怪物掉落配置方案!$D4928</f>
        <v>0</v>
      </c>
    </row>
    <row r="1851" spans="1:4" ht="16.5" hidden="1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313">
        <f>参数调整!$K$32*怪物掉落配置方案!$D4929</f>
        <v>0</v>
      </c>
    </row>
    <row r="1852" spans="1:4" ht="16.5" hidden="1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313">
        <f>参数调整!$K$32*怪物掉落配置方案!$D4930</f>
        <v>0</v>
      </c>
    </row>
    <row r="1853" spans="1:4" ht="16.5" hidden="1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313">
        <f>参数调整!$K$32*怪物掉落配置方案!$D4931</f>
        <v>0</v>
      </c>
    </row>
    <row r="1854" spans="1:4" ht="16.5" hidden="1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313">
        <f>参数调整!$K$32*怪物掉落配置方案!$D4932</f>
        <v>0</v>
      </c>
    </row>
    <row r="1855" spans="1:4" ht="16.5" hidden="1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313">
        <f>参数调整!$K$32*怪物掉落配置方案!$D4933</f>
        <v>0</v>
      </c>
    </row>
    <row r="1856" spans="1:4" ht="16.5" hidden="1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313">
        <f>参数调整!$K$32*怪物掉落配置方案!$D4934</f>
        <v>0</v>
      </c>
    </row>
    <row r="1857" spans="1:4" ht="16.5" hidden="1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313">
        <f>参数调整!$K$32*怪物掉落配置方案!$D4935</f>
        <v>0</v>
      </c>
    </row>
    <row r="1858" spans="1:4" ht="16.5" hidden="1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313">
        <f>参数调整!$K$32*怪物掉落配置方案!$D4936</f>
        <v>0</v>
      </c>
    </row>
    <row r="1859" spans="1:4" ht="16.5" hidden="1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313">
        <f>参数调整!$K$32*怪物掉落配置方案!$D4937</f>
        <v>0</v>
      </c>
    </row>
    <row r="1860" spans="1:4" ht="16.5" hidden="1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313">
        <f>参数调整!$K$32*怪物掉落配置方案!$D4938</f>
        <v>0</v>
      </c>
    </row>
    <row r="1861" spans="1:4" ht="16.5" hidden="1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313">
        <f>参数调整!$K$32*怪物掉落配置方案!$D4939</f>
        <v>0</v>
      </c>
    </row>
    <row r="1862" spans="1:4" ht="16.5" hidden="1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313">
        <f>参数调整!$K$32*怪物掉落配置方案!$D4940</f>
        <v>0</v>
      </c>
    </row>
    <row r="1863" spans="1:4" ht="16.5" hidden="1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313">
        <f>参数调整!$K$32*怪物掉落配置方案!$D4941</f>
        <v>0</v>
      </c>
    </row>
    <row r="1864" spans="1:4" ht="16.5" hidden="1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313">
        <f>参数调整!$K$32*怪物掉落配置方案!$D4942</f>
        <v>0</v>
      </c>
    </row>
    <row r="1865" spans="1:4" ht="16.5" hidden="1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313">
        <f>参数调整!$K$32*怪物掉落配置方案!$D4943</f>
        <v>0</v>
      </c>
    </row>
    <row r="1866" spans="1:4" ht="16.5" hidden="1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313">
        <f>参数调整!$K$32*怪物掉落配置方案!$D4944</f>
        <v>2.4616293974400712E-3</v>
      </c>
    </row>
    <row r="1867" spans="1:4" ht="16.5" hidden="1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313">
        <f>参数调整!$K$32*怪物掉落配置方案!$D4945</f>
        <v>3.1154997061350912E-3</v>
      </c>
    </row>
    <row r="1868" spans="1:4" ht="16.5" hidden="1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313">
        <f>参数调整!$K$32*怪物掉落配置方案!$D4946</f>
        <v>3.846295933500111E-3</v>
      </c>
    </row>
    <row r="1869" spans="1:4" ht="16.5" hidden="1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313">
        <f>参数调整!$K$32*怪物掉落配置方案!$D4947</f>
        <v>4.6540180795351348E-3</v>
      </c>
    </row>
    <row r="1870" spans="1:4" ht="16.5" hidden="1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313">
        <f>参数调整!$K$32*怪物掉落配置方案!$D4948</f>
        <v>5.53866614424016E-3</v>
      </c>
    </row>
    <row r="1871" spans="1:4" ht="16.5" hidden="1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313">
        <f>参数调整!$K$32*怪物掉落配置方案!$D4949</f>
        <v>6.5002401276151884E-3</v>
      </c>
    </row>
    <row r="1872" spans="1:4" ht="16.5" hidden="1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313">
        <f>参数调整!$K$32*怪物掉落配置方案!$D4950</f>
        <v>7.5387400296602156E-3</v>
      </c>
    </row>
    <row r="1873" spans="1:4" ht="16.5" hidden="1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313">
        <f>参数调整!$K$32*怪物掉落配置方案!$D4951</f>
        <v>8.6541658503752495E-3</v>
      </c>
    </row>
    <row r="1874" spans="1:4" ht="16.5" hidden="1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313">
        <f>参数调整!$K$32*怪物掉落配置方案!$D4952</f>
        <v>9.8465175897602883E-3</v>
      </c>
    </row>
    <row r="1875" spans="1:4" ht="16.5" hidden="1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313">
        <f>参数调整!$K$32*怪物掉落配置方案!$D4953</f>
        <v>1.246199882454036E-2</v>
      </c>
    </row>
    <row r="1876" spans="1:4" ht="16.5" hidden="1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313">
        <f>参数调整!$K$32*怪物掉落配置方案!$D4954</f>
        <v>1.5385183734000444E-2</v>
      </c>
    </row>
    <row r="1877" spans="1:4" ht="16.5" hidden="1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313">
        <f>参数调整!$K$32*怪物掉落配置方案!$D4955</f>
        <v>1.8616072318140539E-2</v>
      </c>
    </row>
    <row r="1878" spans="1:4" ht="16.5" hidden="1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313">
        <f>参数调整!$K$32*怪物掉落配置方案!$D4956</f>
        <v>2.4039349584375692E-2</v>
      </c>
    </row>
    <row r="1879" spans="1:4" ht="16.5" hidden="1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313">
        <f>参数调整!$K$32*怪物掉落配置方案!$D4957</f>
        <v>3.4616663401500991E-2</v>
      </c>
    </row>
    <row r="1880" spans="1:4" ht="16.5" hidden="1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313">
        <f>参数调整!$K$32*怪物掉落配置方案!$D4958</f>
        <v>4.7117125185376356E-2</v>
      </c>
    </row>
    <row r="1881" spans="1:4" ht="16.5" hidden="1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313">
        <f>参数调整!$K$32*怪物掉落配置方案!$D4959</f>
        <v>5.2655791329616522E-2</v>
      </c>
    </row>
    <row r="1882" spans="1:4" ht="16.5" hidden="1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313">
        <f>参数调整!$K$32*怪物掉落配置方案!$D4960</f>
        <v>6.1540734936001776E-2</v>
      </c>
    </row>
    <row r="1883" spans="1:4" ht="16.5" hidden="1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313">
        <f>参数调整!$K$32*怪物掉落配置方案!$D4961</f>
        <v>7.1118011810417048E-2</v>
      </c>
    </row>
    <row r="1884" spans="1:4" ht="16.5" hidden="1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313">
        <f>参数调整!$K$32*怪物掉落配置方案!$D4962</f>
        <v>8.1387621952862338E-2</v>
      </c>
    </row>
    <row r="1885" spans="1:4" ht="16.5" hidden="1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313">
        <f>参数调整!$K$32*怪物掉落配置方案!$D4963</f>
        <v>9.2349565363337688E-2</v>
      </c>
    </row>
    <row r="1886" spans="1:4" ht="16.5" hidden="1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313">
        <f>参数调整!$K$32*怪物掉落配置方案!$D4964</f>
        <v>0.10400384204184301</v>
      </c>
    </row>
    <row r="1887" spans="1:4" ht="16.5" hidden="1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313">
        <f>参数调整!$K$32*怪物掉落配置方案!$D4965</f>
        <v>0.11635045198837837</v>
      </c>
    </row>
    <row r="1888" spans="1:4" ht="16.5" hidden="1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313">
        <f>参数调整!$K$32*怪物掉落配置方案!$D4966</f>
        <v>0.12938939520294371</v>
      </c>
    </row>
    <row r="1889" spans="1:4" ht="16.5" hidden="1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313">
        <f>参数调整!$K$32*怪物掉落配置方案!$D4967</f>
        <v>0.1431206716855391</v>
      </c>
    </row>
    <row r="1890" spans="1:4" ht="16.5" hidden="1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313">
        <f>参数调整!$K$32*怪物掉落配置方案!$D4968</f>
        <v>0.15754428143616456</v>
      </c>
    </row>
    <row r="1891" spans="1:4" ht="16.5" hidden="1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313">
        <f>参数调整!$K$32*怪物掉落配置方案!$D4969</f>
        <v>0.17266022445482002</v>
      </c>
    </row>
    <row r="1892" spans="1:4" ht="16.5" hidden="1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313">
        <f>参数调整!$K$32*怪物掉落配置方案!$D4970</f>
        <v>0.18846850074150545</v>
      </c>
    </row>
    <row r="1893" spans="1:4" ht="16.5" hidden="1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313">
        <f>参数调整!$K$32*怪物掉落配置方案!$D4971</f>
        <v>6.500147048383989E-2</v>
      </c>
    </row>
    <row r="1894" spans="1:4" ht="16.5" hidden="1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313">
        <f>参数调整!$K$32*怪物掉落配置方案!$D4972</f>
        <v>8.226748608110987E-2</v>
      </c>
    </row>
    <row r="1895" spans="1:4" ht="16.5" hidden="1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313">
        <f>参数调整!$K$32*怪物掉落配置方案!$D4973</f>
        <v>0.10156479763099983</v>
      </c>
    </row>
    <row r="1896" spans="1:4" ht="16.5" hidden="1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313">
        <f>参数调整!$K$32*怪物掉落配置方案!$D4974</f>
        <v>0.12289340513350981</v>
      </c>
    </row>
    <row r="1897" spans="1:4" ht="16.5" hidden="1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313">
        <f>参数调整!$K$32*怪物掉落配置方案!$D4975</f>
        <v>0.14625330858863972</v>
      </c>
    </row>
    <row r="1898" spans="1:4" ht="16.5" hidden="1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313">
        <f>参数调整!$K$32*怪物掉落配置方案!$D4976</f>
        <v>0.17164450799638975</v>
      </c>
    </row>
    <row r="1899" spans="1:4" ht="16.5" hidden="1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313">
        <f>参数调整!$K$32*怪物掉落配置方案!$D4977</f>
        <v>0.19906700335675964</v>
      </c>
    </row>
    <row r="1900" spans="1:4" ht="16.5" hidden="1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313">
        <f>参数调整!$K$32*怪物掉落配置方案!$D4978</f>
        <v>0.22852079466974962</v>
      </c>
    </row>
    <row r="1901" spans="1:4" ht="16.5" hidden="1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313">
        <f>参数调整!$K$32*怪物掉落配置方案!$D4979</f>
        <v>0.26000588193535962</v>
      </c>
    </row>
    <row r="1902" spans="1:4" ht="16.5" hidden="1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313">
        <f>参数调整!$K$32*怪物掉落配置方案!$D4980</f>
        <v>0.32906994432443948</v>
      </c>
    </row>
    <row r="1903" spans="1:4" ht="16.5" hidden="1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313">
        <f>参数调整!$K$32*怪物掉落配置方案!$D4981</f>
        <v>0.40625919052399923</v>
      </c>
    </row>
    <row r="1904" spans="1:4" ht="16.5" hidden="1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313">
        <f>参数调整!$K$32*怪物掉落配置方案!$D4982</f>
        <v>0.49157362053403925</v>
      </c>
    </row>
    <row r="1905" spans="1:4" ht="16.5" hidden="1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313">
        <f>参数调整!$K$32*怪物掉落配置方案!$D4983</f>
        <v>0.63477998519374879</v>
      </c>
    </row>
    <row r="1906" spans="1:4" ht="16.5" hidden="1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313">
        <f>参数调整!$K$32*怪物掉落配置方案!$D4984</f>
        <v>0.91408317867899824</v>
      </c>
    </row>
    <row r="1907" spans="1:4" ht="16.5" hidden="1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313">
        <f>参数调整!$K$32*怪物掉落配置方案!$D4985</f>
        <v>1.2441687709797478</v>
      </c>
    </row>
    <row r="1908" spans="1:4" ht="16.5" hidden="1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313">
        <f>参数调整!$K$32*怪物掉落配置方案!$D4986</f>
        <v>1.3904220795683877</v>
      </c>
    </row>
    <row r="1909" spans="1:4" ht="16.5" hidden="1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313">
        <f>参数调整!$K$32*怪物掉落配置方案!$D4987</f>
        <v>1.6250367620959969</v>
      </c>
    </row>
    <row r="1910" spans="1:4" ht="16.5" hidden="1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313">
        <f>参数调整!$K$32*怪物掉落配置方案!$D4988</f>
        <v>1.8779331081971864</v>
      </c>
    </row>
    <row r="1911" spans="1:4" ht="16.5" hidden="1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313">
        <f>参数调整!$K$32*怪物掉落配置方案!$D4989</f>
        <v>2.1491111178719562</v>
      </c>
    </row>
    <row r="1912" spans="1:4" ht="16.5" hidden="1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313">
        <f>参数调整!$K$32*怪物掉落配置方案!$D4990</f>
        <v>2.4385707911203061</v>
      </c>
    </row>
    <row r="1913" spans="1:4" ht="16.5" hidden="1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313">
        <f>参数调整!$K$32*怪物掉落配置方案!$D4991</f>
        <v>2.7463121279422351</v>
      </c>
    </row>
    <row r="1914" spans="1:4" ht="16.5" hidden="1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313">
        <f>参数调整!$K$32*怪物掉落配置方案!$D4992</f>
        <v>3.0723351283377447</v>
      </c>
    </row>
    <row r="1915" spans="1:4" ht="16.5" hidden="1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313">
        <f>参数调整!$K$32*怪物掉落配置方案!$D4993</f>
        <v>3.4166397923068343</v>
      </c>
    </row>
    <row r="1916" spans="1:4" ht="16.5" hidden="1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313">
        <f>参数调整!$K$32*怪物掉落配置方案!$D4994</f>
        <v>3.7792261198495032</v>
      </c>
    </row>
    <row r="1917" spans="1:4" ht="16.5" hidden="1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313">
        <f>参数调整!$K$32*怪物掉落配置方案!$D4995</f>
        <v>4.160094110965753</v>
      </c>
    </row>
    <row r="1918" spans="1:4" ht="16.5" hidden="1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313">
        <f>参数调整!$K$32*怪物掉落配置方案!$D4996</f>
        <v>4.559243765655582</v>
      </c>
    </row>
    <row r="1919" spans="1:4" ht="16.5" hidden="1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313">
        <f>参数调整!$K$32*怪物掉落配置方案!$D4997</f>
        <v>4.9766750839189919</v>
      </c>
    </row>
    <row r="1920" spans="1:4" ht="16.5" hidden="1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313">
        <f>参数调整!$K$32*怪物掉落配置方案!$D4998</f>
        <v>3.2492470676928117E-5</v>
      </c>
    </row>
    <row r="1921" spans="1:4" ht="16.5" hidden="1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313">
        <f>参数调整!$K$32*怪物掉落配置方案!$D4999</f>
        <v>4.1123283200487156E-5</v>
      </c>
    </row>
    <row r="1922" spans="1:4" ht="16.5" hidden="1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313">
        <f>参数调整!$K$32*怪物掉落配置方案!$D5000</f>
        <v>5.0769485432700182E-5</v>
      </c>
    </row>
    <row r="1923" spans="1:4" ht="16.5" hidden="1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313">
        <f>参数调整!$K$32*怪物掉落配置方案!$D5001</f>
        <v>6.1431077373567218E-5</v>
      </c>
    </row>
    <row r="1924" spans="1:4" ht="16.5" hidden="1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313">
        <f>参数调整!$K$32*怪物掉落配置方案!$D5002</f>
        <v>7.3108059023088248E-5</v>
      </c>
    </row>
    <row r="1925" spans="1:4" ht="16.5" hidden="1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313">
        <f>参数调整!$K$32*怪物掉落配置方案!$D5003</f>
        <v>8.5800430381263314E-5</v>
      </c>
    </row>
    <row r="1926" spans="1:4" ht="16.5" hidden="1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313">
        <f>参数调整!$K$32*怪物掉落配置方案!$D5004</f>
        <v>9.9508191448092334E-5</v>
      </c>
    </row>
    <row r="1927" spans="1:4" ht="16.5" hidden="1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313">
        <f>参数调整!$K$32*怪物掉落配置方案!$D5005</f>
        <v>1.142313422235754E-4</v>
      </c>
    </row>
    <row r="1928" spans="1:4" ht="16.5" hidden="1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313">
        <f>参数调整!$K$32*怪物掉落配置方案!$D5006</f>
        <v>1.2996988270771247E-4</v>
      </c>
    </row>
    <row r="1929" spans="1:4" ht="16.5" hidden="1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313">
        <f>参数调整!$K$32*怪物掉落配置方案!$D5007</f>
        <v>1.6449313280194862E-4</v>
      </c>
    </row>
    <row r="1930" spans="1:4" ht="16.5" hidden="1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313">
        <f>参数调整!$K$32*怪物掉落配置方案!$D5008</f>
        <v>2.0307794173080073E-4</v>
      </c>
    </row>
    <row r="1931" spans="1:4" ht="16.5" hidden="1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313">
        <f>参数调整!$K$32*怪物掉落配置方案!$D5009</f>
        <v>2.4572430949426887E-4</v>
      </c>
    </row>
    <row r="1932" spans="1:4" ht="16.5" hidden="1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313">
        <f>参数调整!$K$32*怪物掉落配置方案!$D5010</f>
        <v>3.1730928395437612E-4</v>
      </c>
    </row>
    <row r="1933" spans="1:4" ht="16.5" hidden="1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313">
        <f>参数调整!$K$32*怪物掉落配置方案!$D5011</f>
        <v>4.5692536889430156E-4</v>
      </c>
    </row>
    <row r="1934" spans="1:4" ht="16.5" hidden="1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313">
        <f>参数调整!$K$32*怪物掉落配置方案!$D5012</f>
        <v>6.21926196550577E-4</v>
      </c>
    </row>
    <row r="1935" spans="1:4" ht="16.5" hidden="1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313">
        <f>参数调整!$K$32*怪物掉落配置方案!$D5013</f>
        <v>6.950342555736655E-4</v>
      </c>
    </row>
    <row r="1936" spans="1:4" ht="16.5" hidden="1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313">
        <f>参数调整!$K$32*怪物掉落配置方案!$D5014</f>
        <v>8.1231176692320292E-4</v>
      </c>
    </row>
    <row r="1937" spans="1:4" ht="16.5" hidden="1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313">
        <f>参数调整!$K$32*怪物掉落配置方案!$D5015</f>
        <v>9.3872778565062625E-4</v>
      </c>
    </row>
    <row r="1938" spans="1:4" ht="16.5" hidden="1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313">
        <f>参数调整!$K$32*怪物掉落配置方案!$D5016</f>
        <v>1.0742823117559357E-3</v>
      </c>
    </row>
    <row r="1939" spans="1:4" ht="16.5" hidden="1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313">
        <f>参数调整!$K$32*怪物掉落配置方案!$D5017</f>
        <v>1.2189753452391315E-3</v>
      </c>
    </row>
    <row r="1940" spans="1:4" ht="16.5" hidden="1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313">
        <f>参数调整!$K$32*怪物掉落配置方案!$D5018</f>
        <v>1.3728068861002128E-3</v>
      </c>
    </row>
    <row r="1941" spans="1:4" ht="16.5" hidden="1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313">
        <f>参数调整!$K$32*怪物掉落配置方案!$D5019</f>
        <v>1.5357769343391804E-3</v>
      </c>
    </row>
    <row r="1942" spans="1:4" ht="16.5" hidden="1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313">
        <f>参数调整!$K$32*怪物掉落配置方案!$D5020</f>
        <v>1.7078854899560338E-3</v>
      </c>
    </row>
    <row r="1943" spans="1:4" ht="16.5" hidden="1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313">
        <f>参数调整!$K$32*怪物掉落配置方案!$D5021</f>
        <v>1.8891325529507732E-3</v>
      </c>
    </row>
    <row r="1944" spans="1:4" ht="16.5" hidden="1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313">
        <f>参数调整!$K$32*怪物掉落配置方案!$D5022</f>
        <v>2.0795181233233995E-3</v>
      </c>
    </row>
    <row r="1945" spans="1:4" ht="16.5" hidden="1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313">
        <f>参数调整!$K$32*怪物掉落配置方案!$D5023</f>
        <v>2.2790422010739108E-3</v>
      </c>
    </row>
    <row r="1946" spans="1:4" ht="16.5" hidden="1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313">
        <f>参数调整!$K$32*怪物掉落配置方案!$D5024</f>
        <v>2.4877047862023089E-3</v>
      </c>
    </row>
    <row r="1947" spans="1:4" ht="16.5" hidden="1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313">
        <f>参数调整!$K$32*怪物掉落配置方案!$D5025</f>
        <v>8.9354294361552317E-3</v>
      </c>
    </row>
    <row r="1948" spans="1:4" ht="16.5" hidden="1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313">
        <f>参数调整!$K$32*怪物掉落配置方案!$D5026</f>
        <v>1.1308902880133967E-2</v>
      </c>
    </row>
    <row r="1949" spans="1:4" ht="16.5" hidden="1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313">
        <f>参数调整!$K$32*怪物掉落配置方案!$D5027</f>
        <v>1.3961608493992547E-2</v>
      </c>
    </row>
    <row r="1950" spans="1:4" ht="16.5" hidden="1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313">
        <f>参数调整!$K$32*怪物掉落配置方案!$D5028</f>
        <v>1.6893546277730983E-2</v>
      </c>
    </row>
    <row r="1951" spans="1:4" ht="16.5" hidden="1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313">
        <f>参数调整!$K$32*怪物掉落配置方案!$D5029</f>
        <v>2.0104716231349268E-2</v>
      </c>
    </row>
    <row r="1952" spans="1:4" ht="16.5" hidden="1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313">
        <f>参数调整!$K$32*怪物掉落配置方案!$D5030</f>
        <v>2.3595118354847407E-2</v>
      </c>
    </row>
    <row r="1953" spans="1:4" ht="16.5" hidden="1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313">
        <f>参数调整!$K$32*怪物掉落配置方案!$D5031</f>
        <v>2.7364752648225389E-2</v>
      </c>
    </row>
    <row r="1954" spans="1:4" ht="16.5" hidden="1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313">
        <f>参数调整!$K$32*怪物掉落配置方案!$D5032</f>
        <v>3.1413619111483243E-2</v>
      </c>
    </row>
    <row r="1955" spans="1:4" ht="16.5" hidden="1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313">
        <f>参数调整!$K$32*怪物掉落配置方案!$D5033</f>
        <v>3.5741717744620927E-2</v>
      </c>
    </row>
    <row r="1956" spans="1:4" ht="16.5" hidden="1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313">
        <f>参数调整!$K$32*怪物掉落配置方案!$D5034</f>
        <v>4.5235611520535866E-2</v>
      </c>
    </row>
    <row r="1957" spans="1:4" ht="16.5" hidden="1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313">
        <f>参数调整!$K$32*怪物掉落配置方案!$D5035</f>
        <v>5.5846433975970187E-2</v>
      </c>
    </row>
    <row r="1958" spans="1:4" ht="16.5" hidden="1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313">
        <f>参数调整!$K$32*怪物掉落配置方案!$D5036</f>
        <v>6.7574185110923946E-2</v>
      </c>
    </row>
    <row r="1959" spans="1:4" ht="16.5" hidden="1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313">
        <f>参数调整!$K$32*怪物掉落配置方案!$D5037</f>
        <v>8.7260053087453437E-2</v>
      </c>
    </row>
    <row r="1960" spans="1:4" ht="16.5" hidden="1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313">
        <f>参数调整!$K$32*怪物掉落配置方案!$D5038</f>
        <v>0.12565447644593292</v>
      </c>
    </row>
    <row r="1961" spans="1:4" ht="16.5" hidden="1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313">
        <f>参数调整!$K$32*怪物掉落配置方案!$D5039</f>
        <v>0.17102970405140872</v>
      </c>
    </row>
    <row r="1962" spans="1:4" ht="16.5" hidden="1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313">
        <f>参数调整!$K$32*怪物掉落配置方案!$D5040</f>
        <v>0.19113442028275801</v>
      </c>
    </row>
    <row r="1963" spans="1:4" ht="16.5" hidden="1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313">
        <f>参数调整!$K$32*怪物掉落配置方案!$D5041</f>
        <v>0.22338573590388075</v>
      </c>
    </row>
    <row r="1964" spans="1:4" ht="16.5" hidden="1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313">
        <f>参数调整!$K$32*怪物掉落配置方案!$D5042</f>
        <v>0.25815014105392214</v>
      </c>
    </row>
    <row r="1965" spans="1:4" ht="16.5" hidden="1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313">
        <f>参数调整!$K$32*怪物掉落配置方案!$D5043</f>
        <v>0.29542763573288228</v>
      </c>
    </row>
    <row r="1966" spans="1:4" ht="16.5" hidden="1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313">
        <f>参数调整!$K$32*怪物掉落配置方案!$D5044</f>
        <v>0.33521821994076106</v>
      </c>
    </row>
    <row r="1967" spans="1:4" ht="16.5" hidden="1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313">
        <f>参数调整!$K$32*怪物掉落配置方案!$D5045</f>
        <v>0.37752189367755851</v>
      </c>
    </row>
    <row r="1968" spans="1:4" ht="16.5" hidden="1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313">
        <f>参数调整!$K$32*怪物掉落配置方案!$D5046</f>
        <v>0.4223386569432746</v>
      </c>
    </row>
    <row r="1969" spans="1:4" ht="16.5" hidden="1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313">
        <f>参数调整!$K$32*怪物掉落配置方案!$D5047</f>
        <v>0.46966850973790919</v>
      </c>
    </row>
    <row r="1970" spans="1:4" ht="16.5" hidden="1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313">
        <f>参数调整!$K$32*怪物掉落配置方案!$D5048</f>
        <v>0.51951145206146265</v>
      </c>
    </row>
    <row r="1971" spans="1:4" ht="16.5" hidden="1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313">
        <f>参数调整!$K$32*怪物掉落配置方案!$D5049</f>
        <v>0.57186748391393483</v>
      </c>
    </row>
    <row r="1972" spans="1:4" ht="16.5" hidden="1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313">
        <f>参数调整!$K$32*怪物掉落配置方案!$D5050</f>
        <v>0.62673660529532549</v>
      </c>
    </row>
    <row r="1973" spans="1:4" ht="16.5" hidden="1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313">
        <f>参数调整!$K$32*怪物掉落配置方案!$D5051</f>
        <v>0.68411881620563486</v>
      </c>
    </row>
    <row r="1974" spans="1:4" ht="16.5" hidden="1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313">
        <f>参数调整!$K$32*怪物掉落配置方案!$D5052</f>
        <v>3.2492470676928116E-4</v>
      </c>
    </row>
    <row r="1975" spans="1:4" ht="16.5" hidden="1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313">
        <f>参数调整!$K$32*怪物掉落配置方案!$D5053</f>
        <v>4.1123283200487156E-4</v>
      </c>
    </row>
    <row r="1976" spans="1:4" ht="16.5" hidden="1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313">
        <f>参数调整!$K$32*怪物掉落配置方案!$D5054</f>
        <v>5.0769485432700177E-4</v>
      </c>
    </row>
    <row r="1977" spans="1:4" ht="16.5" hidden="1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313">
        <f>参数调整!$K$32*怪物掉落配置方案!$D5055</f>
        <v>6.1431077373567218E-4</v>
      </c>
    </row>
    <row r="1978" spans="1:4" ht="16.5" hidden="1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313">
        <f>参数调整!$K$32*怪物掉落配置方案!$D5056</f>
        <v>7.3108059023088245E-4</v>
      </c>
    </row>
    <row r="1979" spans="1:4" ht="16.5" hidden="1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313">
        <f>参数调整!$K$32*怪物掉落配置方案!$D5057</f>
        <v>8.5800430381263303E-4</v>
      </c>
    </row>
    <row r="1980" spans="1:4" ht="16.5" hidden="1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313">
        <f>参数调整!$K$32*怪物掉落配置方案!$D5058</f>
        <v>9.9508191448092337E-4</v>
      </c>
    </row>
    <row r="1981" spans="1:4" ht="16.5" hidden="1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313">
        <f>参数调整!$K$32*怪物掉落配置方案!$D5059</f>
        <v>1.142313422235754E-3</v>
      </c>
    </row>
    <row r="1982" spans="1:4" ht="16.5" hidden="1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313">
        <f>参数调整!$K$32*怪物掉落配置方案!$D5060</f>
        <v>1.2996988270771248E-3</v>
      </c>
    </row>
    <row r="1983" spans="1:4" ht="16.5" hidden="1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313">
        <f>参数调整!$K$32*怪物掉落配置方案!$D5061</f>
        <v>1.6449313280194858E-3</v>
      </c>
    </row>
    <row r="1984" spans="1:4" ht="16.5" hidden="1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313">
        <f>参数调整!$K$32*怪物掉落配置方案!$D5062</f>
        <v>2.0307794173080066E-3</v>
      </c>
    </row>
    <row r="1985" spans="1:4" ht="16.5" hidden="1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313">
        <f>参数调整!$K$32*怪物掉落配置方案!$D5063</f>
        <v>2.4572430949426887E-3</v>
      </c>
    </row>
    <row r="1986" spans="1:4" ht="16.5" hidden="1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313">
        <f>参数调整!$K$32*怪物掉落配置方案!$D5064</f>
        <v>3.1730928395437611E-3</v>
      </c>
    </row>
    <row r="1987" spans="1:4" ht="16.5" hidden="1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313">
        <f>参数调整!$K$32*怪物掉落配置方案!$D5065</f>
        <v>4.5692536889430143E-3</v>
      </c>
    </row>
    <row r="1988" spans="1:4" ht="16.5" hidden="1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313">
        <f>参数调整!$K$32*怪物掉落配置方案!$D5066</f>
        <v>6.2192619655057711E-3</v>
      </c>
    </row>
    <row r="1989" spans="1:4" ht="16.5" hidden="1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313">
        <f>参数调整!$K$32*怪物掉落配置方案!$D5067</f>
        <v>6.9503425557366546E-3</v>
      </c>
    </row>
    <row r="1990" spans="1:4" ht="16.5" hidden="1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313">
        <f>参数调整!$K$32*怪物掉落配置方案!$D5068</f>
        <v>8.1231176692320266E-3</v>
      </c>
    </row>
    <row r="1991" spans="1:4" ht="16.5" hidden="1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313">
        <f>参数调整!$K$32*怪物掉落配置方案!$D5069</f>
        <v>9.3872778565062612E-3</v>
      </c>
    </row>
    <row r="1992" spans="1:4" ht="16.5" hidden="1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313">
        <f>参数调整!$K$32*怪物掉落配置方案!$D5070</f>
        <v>1.0742823117559357E-2</v>
      </c>
    </row>
    <row r="1993" spans="1:4" ht="16.5" hidden="1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313">
        <f>参数调整!$K$32*怪物掉落配置方案!$D5071</f>
        <v>1.2189753452391315E-2</v>
      </c>
    </row>
    <row r="1994" spans="1:4" ht="16.5" hidden="1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313">
        <f>参数调整!$K$32*怪物掉落配置方案!$D5072</f>
        <v>1.3728068861002128E-2</v>
      </c>
    </row>
    <row r="1995" spans="1:4" ht="16.5" hidden="1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313">
        <f>参数调整!$K$32*怪物掉落配置方案!$D5073</f>
        <v>1.5357769343391805E-2</v>
      </c>
    </row>
    <row r="1996" spans="1:4" ht="16.5" hidden="1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313">
        <f>参数调整!$K$32*怪物掉落配置方案!$D5074</f>
        <v>1.7078854899560337E-2</v>
      </c>
    </row>
    <row r="1997" spans="1:4" ht="16.5" hidden="1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313">
        <f>参数调整!$K$32*怪物掉落配置方案!$D5075</f>
        <v>1.8891325529507733E-2</v>
      </c>
    </row>
    <row r="1998" spans="1:4" ht="16.5" hidden="1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313">
        <f>参数调整!$K$32*怪物掉落配置方案!$D5076</f>
        <v>2.0795181233233994E-2</v>
      </c>
    </row>
    <row r="1999" spans="1:4" ht="16.5" hidden="1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313">
        <f>参数调整!$K$32*怪物掉落配置方案!$D5077</f>
        <v>2.2790422010739109E-2</v>
      </c>
    </row>
    <row r="2000" spans="1:4" ht="16.5" hidden="1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313">
        <f>参数调整!$K$32*怪物掉落配置方案!$D5078</f>
        <v>2.4877047862023088E-2</v>
      </c>
    </row>
    <row r="2001" spans="1:4" ht="16.5" hidden="1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313">
        <f>参数调整!$K$32*怪物掉落配置方案!$D5079</f>
        <v>4.5400927223921542E-2</v>
      </c>
    </row>
    <row r="2002" spans="1:4" ht="16.5" hidden="1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313">
        <f>参数调整!$K$32*怪物掉落配置方案!$D5080</f>
        <v>5.7460548517775697E-2</v>
      </c>
    </row>
    <row r="2003" spans="1:4" ht="16.5" hidden="1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313">
        <f>参数调整!$K$32*怪物掉落配置方案!$D5081</f>
        <v>7.0938948787377401E-2</v>
      </c>
    </row>
    <row r="2004" spans="1:4" ht="16.5" hidden="1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313">
        <f>参数调整!$K$32*怪物掉落配置方案!$D5082</f>
        <v>8.5836128032726666E-2</v>
      </c>
    </row>
    <row r="2005" spans="1:4" ht="16.5" hidden="1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313">
        <f>参数调整!$K$32*怪物掉落配置方案!$D5083</f>
        <v>0.10215208625382344</v>
      </c>
    </row>
    <row r="2006" spans="1:4" ht="16.5" hidden="1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313">
        <f>参数调整!$K$32*怪物掉落配置方案!$D5084</f>
        <v>0.11988682345066781</v>
      </c>
    </row>
    <row r="2007" spans="1:4" ht="16.5" hidden="1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313">
        <f>参数调整!$K$32*怪物掉落配置方案!$D5085</f>
        <v>0.13904033962325968</v>
      </c>
    </row>
    <row r="2008" spans="1:4" ht="16.5" hidden="1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313">
        <f>参数调整!$K$32*怪物掉落配置方案!$D5086</f>
        <v>0.15961263477159915</v>
      </c>
    </row>
    <row r="2009" spans="1:4" ht="16.5" hidden="1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313">
        <f>参数调整!$K$32*怪物掉落配置方案!$D5087</f>
        <v>0.18160370889568619</v>
      </c>
    </row>
    <row r="2010" spans="1:4" ht="16.5" hidden="1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313">
        <f>参数调整!$K$32*怪物掉落配置方案!$D5088</f>
        <v>0.22984219407110285</v>
      </c>
    </row>
    <row r="2011" spans="1:4" ht="16.5" hidden="1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313">
        <f>参数调整!$K$32*怪物掉落配置方案!$D5089</f>
        <v>0.2837557951495096</v>
      </c>
    </row>
    <row r="2012" spans="1:4" ht="16.5" hidden="1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313">
        <f>参数调整!$K$32*怪物掉落配置方案!$D5090</f>
        <v>0.34334451213090666</v>
      </c>
    </row>
    <row r="2013" spans="1:4" ht="16.5" hidden="1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313">
        <f>参数调整!$K$32*怪物掉落配置方案!$D5091</f>
        <v>0.44336842992110875</v>
      </c>
    </row>
    <row r="2014" spans="1:4" ht="16.5" hidden="1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313">
        <f>参数调整!$K$32*怪物掉落配置方案!$D5092</f>
        <v>0.63845053908639648</v>
      </c>
    </row>
    <row r="2015" spans="1:4" ht="16.5" hidden="1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313">
        <f>参数调整!$K$32*怪物掉落配置方案!$D5093</f>
        <v>0.86900212264537302</v>
      </c>
    </row>
    <row r="2016" spans="1:4" ht="16.5" hidden="1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313">
        <f>参数调整!$K$32*怪物掉落配置方案!$D5094</f>
        <v>0.97115420889919668</v>
      </c>
    </row>
    <row r="2017" spans="1:4" ht="16.5" hidden="1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313">
        <f>参数调整!$K$32*怪物掉落配置方案!$D5095</f>
        <v>1.1350231805980384</v>
      </c>
    </row>
    <row r="2018" spans="1:4" ht="16.5" hidden="1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313">
        <f>参数调整!$K$32*怪物掉落配置方案!$D5096</f>
        <v>1.3116611630786079</v>
      </c>
    </row>
    <row r="2019" spans="1:4" ht="16.5" hidden="1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313">
        <f>参数调整!$K$32*怪物掉落配置方案!$D5097</f>
        <v>1.5010681563409056</v>
      </c>
    </row>
    <row r="2020" spans="1:4" ht="16.5" hidden="1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313">
        <f>参数调整!$K$32*怪物掉落配置方案!$D5098</f>
        <v>1.7032441603849318</v>
      </c>
    </row>
    <row r="2021" spans="1:4" ht="16.5" hidden="1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313">
        <f>参数调整!$K$32*怪物掉落配置方案!$D5099</f>
        <v>1.9181891752106848</v>
      </c>
    </row>
    <row r="2022" spans="1:4" ht="16.5" hidden="1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313">
        <f>参数调整!$K$32*怪物掉落配置方案!$D5100</f>
        <v>2.1459032008181662</v>
      </c>
    </row>
    <row r="2023" spans="1:4" ht="16.5" hidden="1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313">
        <f>参数调整!$K$32*怪物掉落配置方案!$D5101</f>
        <v>2.3863862372073759</v>
      </c>
    </row>
    <row r="2024" spans="1:4" ht="16.5" hidden="1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313">
        <f>参数调整!$K$32*怪物掉落配置方案!$D5102</f>
        <v>2.6396382843783122</v>
      </c>
    </row>
    <row r="2025" spans="1:4" ht="16.5" hidden="1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313">
        <f>参数调整!$K$32*怪物掉落配置方案!$D5103</f>
        <v>2.9056593423309791</v>
      </c>
    </row>
    <row r="2026" spans="1:4" ht="16.5" hidden="1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313">
        <f>参数调整!$K$32*怪物掉落配置方案!$D5104</f>
        <v>3.1844494110653714</v>
      </c>
    </row>
    <row r="2027" spans="1:4" ht="16.5" hidden="1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313">
        <f>参数调整!$K$32*怪物掉落配置方案!$D5105</f>
        <v>3.476008490581493</v>
      </c>
    </row>
    <row r="2028" spans="1:4" ht="16.5" hidden="1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313">
        <f>参数调整!$K$32*怪物掉落配置方案!$D5106</f>
        <v>5.9121072885159557E-3</v>
      </c>
    </row>
    <row r="2029" spans="1:4" ht="16.5" hidden="1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313">
        <f>参数调整!$K$32*怪物掉落配置方案!$D5107</f>
        <v>7.4825107870280056E-3</v>
      </c>
    </row>
    <row r="2030" spans="1:4" ht="16.5" hidden="1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313">
        <f>参数调整!$K$32*怪物掉落配置方案!$D5108</f>
        <v>9.2376676383061785E-3</v>
      </c>
    </row>
    <row r="2031" spans="1:4" ht="16.5" hidden="1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313">
        <f>参数调整!$K$32*怪物掉落配置方案!$D5109</f>
        <v>1.1177577842350479E-2</v>
      </c>
    </row>
    <row r="2032" spans="1:4" ht="16.5" hidden="1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313">
        <f>参数调整!$K$32*怪物掉落配置方案!$D5110</f>
        <v>1.3302241399160896E-2</v>
      </c>
    </row>
    <row r="2033" spans="1:4" ht="16.5" hidden="1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313">
        <f>参数调整!$K$32*怪物掉落配置方案!$D5111</f>
        <v>1.5611658308737446E-2</v>
      </c>
    </row>
    <row r="2034" spans="1:4" ht="16.5" hidden="1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313">
        <f>参数调整!$K$32*怪物掉落配置方案!$D5112</f>
        <v>1.8105828571080108E-2</v>
      </c>
    </row>
    <row r="2035" spans="1:4" ht="16.5" hidden="1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313">
        <f>参数调整!$K$32*怪物掉落配置方案!$D5113</f>
        <v>2.0784752186188905E-2</v>
      </c>
    </row>
    <row r="2036" spans="1:4" ht="16.5" hidden="1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313">
        <f>参数调整!$K$32*怪物掉落配置方案!$D5114</f>
        <v>2.3648429154063823E-2</v>
      </c>
    </row>
    <row r="2037" spans="1:4" ht="16.5" hidden="1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313">
        <f>参数调整!$K$32*怪物掉落配置方案!$D5115</f>
        <v>2.9930043148112023E-2</v>
      </c>
    </row>
    <row r="2038" spans="1:4" ht="16.5" hidden="1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313">
        <f>参数调整!$K$32*怪物掉落配置方案!$D5116</f>
        <v>3.6950670553224714E-2</v>
      </c>
    </row>
    <row r="2039" spans="1:4" ht="16.5" hidden="1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313">
        <f>参数调整!$K$32*怪物掉落配置方案!$D5117</f>
        <v>4.4710311369401914E-2</v>
      </c>
    </row>
    <row r="2040" spans="1:4" ht="16.5" hidden="1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313">
        <f>参数调整!$K$32*怪物掉落配置方案!$D5118</f>
        <v>5.7735422739413615E-2</v>
      </c>
    </row>
    <row r="2041" spans="1:4" ht="16.5" hidden="1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313">
        <f>参数调整!$K$32*怪物掉落配置方案!$D5119</f>
        <v>8.3139008744755605E-2</v>
      </c>
    </row>
    <row r="2042" spans="1:4" ht="16.5" hidden="1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313">
        <f>参数调整!$K$32*怪物掉落配置方案!$D5120</f>
        <v>0.11316142856925068</v>
      </c>
    </row>
    <row r="2043" spans="1:4" ht="16.5" hidden="1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313">
        <f>参数调整!$K$32*怪物掉落配置方案!$D5121</f>
        <v>0.1264636699684116</v>
      </c>
    </row>
    <row r="2044" spans="1:4" ht="16.5" hidden="1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313">
        <f>参数调整!$K$32*怪物掉落配置方案!$D5122</f>
        <v>0.14780268221289886</v>
      </c>
    </row>
    <row r="2045" spans="1:4" ht="16.5" hidden="1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313">
        <f>参数调整!$K$32*怪物掉落配置方案!$D5123</f>
        <v>0.17080447463228121</v>
      </c>
    </row>
    <row r="2046" spans="1:4" ht="16.5" hidden="1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313">
        <f>参数调整!$K$32*怪物掉落配置方案!$D5124</f>
        <v>0.19546904722655872</v>
      </c>
    </row>
    <row r="2047" spans="1:4" ht="16.5" hidden="1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313">
        <f>参数调整!$K$32*怪物掉落配置方案!$D5125</f>
        <v>0.22179639999573142</v>
      </c>
    </row>
    <row r="2048" spans="1:4" ht="16.5" hidden="1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313">
        <f>参数调整!$K$32*怪物掉落配置方案!$D5126</f>
        <v>0.24978653293979911</v>
      </c>
    </row>
    <row r="2049" spans="1:4" ht="16.5" hidden="1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313">
        <f>参数调整!$K$32*怪物掉落配置方案!$D5127</f>
        <v>0.27943944605876192</v>
      </c>
    </row>
    <row r="2050" spans="1:4" ht="16.5" hidden="1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313">
        <f>参数调整!$K$32*怪物掉落配置方案!$D5128</f>
        <v>0.31075513935261984</v>
      </c>
    </row>
    <row r="2051" spans="1:4" ht="16.5" hidden="1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313">
        <f>参数调整!$K$32*怪物掉落配置方案!$D5129</f>
        <v>0.34373361282137282</v>
      </c>
    </row>
    <row r="2052" spans="1:4" ht="16.5" hidden="1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313">
        <f>参数调整!$K$32*怪物掉落配置方案!$D5130</f>
        <v>0.37837486646502111</v>
      </c>
    </row>
    <row r="2053" spans="1:4" ht="16.5" hidden="1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313">
        <f>参数调整!$K$32*怪物掉落配置方案!$D5131</f>
        <v>0.41467890028356441</v>
      </c>
    </row>
    <row r="2054" spans="1:4" ht="16.5" hidden="1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313">
        <f>参数调整!$K$32*怪物掉落配置方案!$D5132</f>
        <v>0.45264571427700284</v>
      </c>
    </row>
    <row r="2055" spans="1:4" ht="16.5" hidden="1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313">
        <f>参数调整!$K$34*怪物掉落配置方案!$D4107</f>
        <v>3.9591509730546516E-2</v>
      </c>
    </row>
    <row r="2056" spans="1:4" ht="16.5" hidden="1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313">
        <f>参数调整!$K$34*怪物掉落配置方案!$D4108</f>
        <v>5.0108004502722944E-2</v>
      </c>
    </row>
    <row r="2057" spans="1:4" ht="16.5" hidden="1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313">
        <f>参数调整!$K$34*怪物掉落配置方案!$D4109</f>
        <v>6.1861733953978933E-2</v>
      </c>
    </row>
    <row r="2058" spans="1:4" ht="16.5" hidden="1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313">
        <f>参数调整!$K$34*怪物掉落配置方案!$D4110</f>
        <v>7.4852698084314509E-2</v>
      </c>
    </row>
    <row r="2059" spans="1:4" ht="16.5" hidden="1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313">
        <f>参数调整!$K$34*怪物掉落配置方案!$D4111</f>
        <v>8.9080896893729639E-2</v>
      </c>
    </row>
    <row r="2060" spans="1:4" ht="16.5" hidden="1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313">
        <f>参数调整!$K$34*怪物掉落配置方案!$D4112</f>
        <v>0.10454633038222438</v>
      </c>
    </row>
    <row r="2061" spans="1:4" ht="16.5" hidden="1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313">
        <f>参数调整!$K$34*怪物掉落配置方案!$D4113</f>
        <v>0.12124899854979868</v>
      </c>
    </row>
    <row r="2062" spans="1:4" ht="16.5" hidden="1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313">
        <f>参数调整!$K$34*怪物掉落配置方案!$D4114</f>
        <v>0.13918890139645257</v>
      </c>
    </row>
    <row r="2063" spans="1:4" ht="16.5" hidden="1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313">
        <f>参数调整!$K$34*怪物掉落配置方案!$D4115</f>
        <v>0.15836603892218606</v>
      </c>
    </row>
    <row r="2064" spans="1:4" ht="16.5" hidden="1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313">
        <f>参数调整!$K$34*怪物掉落配置方案!$D4116</f>
        <v>0.20043201801089172</v>
      </c>
    </row>
    <row r="2065" spans="1:4" ht="16.5" hidden="1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313">
        <f>参数调整!$K$34*怪物掉落配置方案!$D4117</f>
        <v>0.24744693581591568</v>
      </c>
    </row>
    <row r="2066" spans="1:4" ht="16.5" hidden="1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313">
        <f>参数调整!$K$34*怪物掉落配置方案!$D4118</f>
        <v>0.29941079233725804</v>
      </c>
    </row>
    <row r="2067" spans="1:4" ht="16.5" hidden="1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313">
        <f>参数调整!$K$34*怪物掉落配置方案!$D4119</f>
        <v>0.38663583721236822</v>
      </c>
    </row>
    <row r="2068" spans="1:4" ht="16.5" hidden="1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313">
        <f>参数调整!$K$34*怪物掉落配置方案!$D4120</f>
        <v>0.55675560558581028</v>
      </c>
    </row>
    <row r="2069" spans="1:4" ht="16.5" hidden="1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313">
        <f>参数调整!$K$34*怪物掉落配置方案!$D4121</f>
        <v>0.75780624093624172</v>
      </c>
    </row>
    <row r="2070" spans="1:4" ht="16.5" hidden="1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313">
        <f>参数调整!$K$34*怪物掉落配置方案!$D4122</f>
        <v>0.8468871378299716</v>
      </c>
    </row>
    <row r="2071" spans="1:4" ht="16.5" hidden="1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313">
        <f>参数调整!$K$34*怪物掉落配置方案!$D4123</f>
        <v>0.9897877432636627</v>
      </c>
    </row>
    <row r="2072" spans="1:4" ht="16.5" hidden="1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313">
        <f>参数调整!$K$34*怪物掉落配置方案!$D4124</f>
        <v>1.14382346080907</v>
      </c>
    </row>
    <row r="2073" spans="1:4" ht="16.5" hidden="1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313">
        <f>参数调整!$K$34*怪物掉落配置方案!$D4125</f>
        <v>1.3089942904661938</v>
      </c>
    </row>
    <row r="2074" spans="1:4" ht="16.5" hidden="1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313">
        <f>参数调整!$K$34*怪物掉落配置方案!$D4126</f>
        <v>1.4853002322350342</v>
      </c>
    </row>
    <row r="2075" spans="1:4" ht="16.5" hidden="1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313">
        <f>参数调整!$K$34*怪物掉落配置方案!$D4127</f>
        <v>1.6727412861155901</v>
      </c>
    </row>
    <row r="2076" spans="1:4" ht="16.5" hidden="1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313">
        <f>参数调整!$K$34*怪物掉落配置方案!$D4128</f>
        <v>1.8713174521078624</v>
      </c>
    </row>
    <row r="2077" spans="1:4" ht="16.5" hidden="1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313">
        <f>参数调整!$K$34*怪物掉落配置方案!$D4129</f>
        <v>2.0810287302118509</v>
      </c>
    </row>
    <row r="2078" spans="1:4" ht="16.5" hidden="1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313">
        <f>参数调整!$K$34*怪物掉落配置方案!$D4130</f>
        <v>2.3018751204275554</v>
      </c>
    </row>
    <row r="2079" spans="1:4" ht="16.5" hidden="1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313">
        <f>参数调整!$K$34*怪物掉落配置方案!$D4131</f>
        <v>2.533856622754977</v>
      </c>
    </row>
    <row r="2080" spans="1:4" ht="16.5" hidden="1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313">
        <f>参数调整!$K$34*怪物掉落配置方案!$D4132</f>
        <v>2.776973237194114</v>
      </c>
    </row>
    <row r="2081" spans="1:4" ht="16.5" hidden="1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313">
        <f>参数调整!$K$34*怪物掉落配置方案!$D4133</f>
        <v>3.0312249637449677</v>
      </c>
    </row>
    <row r="2082" spans="1:4" ht="16.5" hidden="1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313">
        <f>参数调整!$K$34*怪物掉落配置方案!$D4134</f>
        <v>0.51885112559125091</v>
      </c>
    </row>
    <row r="2083" spans="1:4" ht="16.5" hidden="1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313">
        <f>参数调整!$K$34*怪物掉落配置方案!$D4135</f>
        <v>0.65667095582642698</v>
      </c>
    </row>
    <row r="2084" spans="1:4" ht="16.5" hidden="1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313">
        <f>参数调整!$K$34*怪物掉落配置方案!$D4136</f>
        <v>0.81070488373632932</v>
      </c>
    </row>
    <row r="2085" spans="1:4" ht="16.5" hidden="1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313">
        <f>参数调整!$K$34*怪物掉落配置方案!$D4137</f>
        <v>0.98095290932095869</v>
      </c>
    </row>
    <row r="2086" spans="1:4" ht="16.5" hidden="1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313">
        <f>参数调整!$K$34*怪物掉落配置方案!$D4138</f>
        <v>1.1674150325803139</v>
      </c>
    </row>
    <row r="2087" spans="1:4" ht="16.5" hidden="1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313">
        <f>参数调整!$K$34*怪物掉落配置方案!$D4139</f>
        <v>1.3700912535143968</v>
      </c>
    </row>
    <row r="2088" spans="1:4" ht="16.5" hidden="1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313">
        <f>参数调整!$K$34*怪物掉落配置方案!$D4140</f>
        <v>1.5889815721232052</v>
      </c>
    </row>
    <row r="2089" spans="1:4" ht="16.5" hidden="1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313">
        <f>参数调整!$K$34*怪物掉落配置方案!$D4141</f>
        <v>1.8240859884067409</v>
      </c>
    </row>
    <row r="2090" spans="1:4" ht="16.5" hidden="1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313">
        <f>参数调整!$K$34*怪物掉落配置方案!$D4142</f>
        <v>2.0754045023650036</v>
      </c>
    </row>
    <row r="2091" spans="1:4" ht="16.5" hidden="1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313">
        <f>参数调整!$K$34*怪物掉落配置方案!$D4143</f>
        <v>2.6266838233057075</v>
      </c>
    </row>
    <row r="2092" spans="1:4" ht="16.5" hidden="1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313">
        <f>参数调整!$K$34*怪物掉落配置方案!$D4144</f>
        <v>3.2428195349453168</v>
      </c>
    </row>
    <row r="2093" spans="1:4" ht="16.5" hidden="1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313">
        <f>参数调整!$K$34*怪物掉落配置方案!$D4145</f>
        <v>3.9238116372838348</v>
      </c>
    </row>
    <row r="2094" spans="1:4" ht="16.5" hidden="1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313">
        <f>参数调整!$K$34*怪物掉落配置方案!$D4146</f>
        <v>5.0669055233520579</v>
      </c>
    </row>
    <row r="2095" spans="1:4" ht="16.5" hidden="1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313">
        <f>参数调整!$K$34*怪物掉落配置方案!$D4147</f>
        <v>7.2963439536269634</v>
      </c>
    </row>
    <row r="2096" spans="1:4" ht="16.5" hidden="1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313">
        <f>参数调整!$K$34*怪物掉落配置方案!$D4148</f>
        <v>9.931134825770032</v>
      </c>
    </row>
    <row r="2097" spans="1:4" ht="16.5" hidden="1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313">
        <f>参数调整!$K$34*怪物掉落配置方案!$D4149</f>
        <v>11.098549858350349</v>
      </c>
    </row>
    <row r="2098" spans="1:4" ht="16.5" hidden="1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313">
        <f>参数调整!$K$34*怪物掉落配置方案!$D4150</f>
        <v>12.971278139781267</v>
      </c>
    </row>
    <row r="2099" spans="1:4" ht="16.5" hidden="1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313">
        <f>参数调整!$K$34*怪物掉落配置方案!$D4151</f>
        <v>14.989933300284727</v>
      </c>
    </row>
    <row r="2100" spans="1:4" ht="16.5" hidden="1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313">
        <f>参数调整!$K$34*怪物掉落配置方案!$D4152</f>
        <v>17.154515339860726</v>
      </c>
    </row>
    <row r="2101" spans="1:4" ht="16.5" hidden="1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313">
        <f>参数调整!$K$34*怪物掉落配置方案!$D4153</f>
        <v>19.465024258509271</v>
      </c>
    </row>
    <row r="2102" spans="1:4" ht="16.5" hidden="1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313">
        <f>参数调整!$K$34*怪物掉落配置方案!$D4154</f>
        <v>21.921460056230345</v>
      </c>
    </row>
    <row r="2103" spans="1:4" ht="16.5" hidden="1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313">
        <f>参数调整!$K$34*怪物掉落配置方案!$D4155</f>
        <v>24.523822733023966</v>
      </c>
    </row>
    <row r="2104" spans="1:4" ht="16.5" hidden="1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313">
        <f>参数调整!$K$34*怪物掉落配置方案!$D4156</f>
        <v>27.272112288890117</v>
      </c>
    </row>
    <row r="2105" spans="1:4" ht="16.5" hidden="1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313">
        <f>参数调整!$K$34*怪物掉落配置方案!$D4157</f>
        <v>30.166328723828812</v>
      </c>
    </row>
    <row r="2106" spans="1:4" ht="16.5" hidden="1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313">
        <f>参数调整!$K$34*怪物掉落配置方案!$D4158</f>
        <v>33.206472037840051</v>
      </c>
    </row>
    <row r="2107" spans="1:4" ht="16.5" hidden="1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313">
        <f>参数调整!$K$34*怪物掉落配置方案!$D4159</f>
        <v>36.392542230923823</v>
      </c>
    </row>
    <row r="2108" spans="1:4" ht="16.5" hidden="1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313">
        <f>参数调整!$K$34*怪物掉落配置方案!$D4160</f>
        <v>39.724539303080135</v>
      </c>
    </row>
    <row r="2109" spans="1:4" ht="16.5" hidden="1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313">
        <f>参数调整!$K$34*怪物掉落配置方案!$D4161</f>
        <v>6700</v>
      </c>
    </row>
    <row r="2110" spans="1:4" ht="16.5" hidden="1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313">
        <f>参数调整!$K$34*怪物掉落配置方案!$D4162</f>
        <v>8500</v>
      </c>
    </row>
    <row r="2111" spans="1:4" ht="16.5" hidden="1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313">
        <f>参数调整!$K$34*怪物掉落配置方案!$D4163</f>
        <v>10500</v>
      </c>
    </row>
    <row r="2112" spans="1:4" ht="16.5" hidden="1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313">
        <f>参数调整!$K$34*怪物掉落配置方案!$D4164</f>
        <v>12700</v>
      </c>
    </row>
    <row r="2113" spans="1:4" ht="16.5" hidden="1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313">
        <f>参数调整!$K$34*怪物掉落配置方案!$D4165</f>
        <v>15100</v>
      </c>
    </row>
    <row r="2114" spans="1:4" ht="16.5" hidden="1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313">
        <f>参数调整!$K$34*怪物掉落配置方案!$D4166</f>
        <v>17700</v>
      </c>
    </row>
    <row r="2115" spans="1:4" ht="16.5" hidden="1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313">
        <f>参数调整!$K$34*怪物掉落配置方案!$D4167</f>
        <v>20600</v>
      </c>
    </row>
    <row r="2116" spans="1:4" ht="16.5" hidden="1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313">
        <f>参数调整!$K$34*怪物掉落配置方案!$D4168</f>
        <v>23600</v>
      </c>
    </row>
    <row r="2117" spans="1:4" ht="16.5" hidden="1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313">
        <f>参数调整!$K$34*怪物掉落配置方案!$D4169</f>
        <v>26800</v>
      </c>
    </row>
    <row r="2118" spans="1:4" ht="16.5" hidden="1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313">
        <f>参数调整!$K$34*怪物掉落配置方案!$D4170</f>
        <v>34000</v>
      </c>
    </row>
    <row r="2119" spans="1:4" ht="16.5" hidden="1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313">
        <f>参数调整!$K$34*怪物掉落配置方案!$D4171</f>
        <v>41900</v>
      </c>
    </row>
    <row r="2120" spans="1:4" ht="16.5" hidden="1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313">
        <f>参数调整!$K$34*怪物掉落配置方案!$D4172</f>
        <v>50800</v>
      </c>
    </row>
    <row r="2121" spans="1:4" ht="16.5" hidden="1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313">
        <f>参数调整!$K$34*怪物掉落配置方案!$D4173</f>
        <v>65500</v>
      </c>
    </row>
    <row r="2122" spans="1:4" ht="16.5" hidden="1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313">
        <f>参数调整!$K$34*怪物掉落配置方案!$D4174</f>
        <v>94400</v>
      </c>
    </row>
    <row r="2123" spans="1:4" ht="16.5" hidden="1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313">
        <f>参数调整!$K$34*怪物掉落配置方案!$D4175</f>
        <v>128500</v>
      </c>
    </row>
    <row r="2124" spans="1:4" ht="16.5" hidden="1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313">
        <f>参数调整!$K$34*怪物掉落配置方案!$D4176</f>
        <v>143600</v>
      </c>
    </row>
    <row r="2125" spans="1:4" ht="16.5" hidden="1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313">
        <f>参数调整!$K$34*怪物掉落配置方案!$D4177</f>
        <v>167800</v>
      </c>
    </row>
    <row r="2126" spans="1:4" ht="16.5" hidden="1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313">
        <f>参数调整!$K$34*怪物掉落配置方案!$D4178</f>
        <v>193900</v>
      </c>
    </row>
    <row r="2127" spans="1:4" ht="16.5" hidden="1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313">
        <f>参数调整!$K$34*怪物掉落配置方案!$D4179</f>
        <v>221900</v>
      </c>
    </row>
    <row r="2128" spans="1:4" ht="16.5" hidden="1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313">
        <f>参数调整!$K$34*怪物掉落配置方案!$D4180</f>
        <v>251800</v>
      </c>
    </row>
    <row r="2129" spans="1:4" ht="16.5" hidden="1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313">
        <f>参数调整!$K$34*怪物掉落配置方案!$D4181</f>
        <v>283600</v>
      </c>
    </row>
    <row r="2130" spans="1:4" ht="16.5" hidden="1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313">
        <f>参数调整!$K$34*怪物掉落配置方案!$D4182</f>
        <v>317200</v>
      </c>
    </row>
    <row r="2131" spans="1:4" ht="16.5" hidden="1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313">
        <f>参数调整!$K$34*怪物掉落配置方案!$D4183</f>
        <v>352800</v>
      </c>
    </row>
    <row r="2132" spans="1:4" ht="16.5" hidden="1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313">
        <f>参数调整!$K$34*怪物掉落配置方案!$D4184</f>
        <v>390200</v>
      </c>
    </row>
    <row r="2133" spans="1:4" ht="16.5" hidden="1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313">
        <f>参数调整!$K$34*怪物掉落配置方案!$D4185</f>
        <v>429500</v>
      </c>
    </row>
    <row r="2134" spans="1:4" ht="16.5" hidden="1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313">
        <f>参数调整!$K$34*怪物掉落配置方案!$D4186</f>
        <v>470700</v>
      </c>
    </row>
    <row r="2135" spans="1:4" ht="16.5" hidden="1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313">
        <f>参数调整!$K$34*怪物掉落配置方案!$D4187</f>
        <v>513800</v>
      </c>
    </row>
    <row r="2136" spans="1:4" ht="16.5" hidden="1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313">
        <f>参数调整!$K$34*怪物掉落配置方案!$D4188</f>
        <v>8.1231176692320292E-4</v>
      </c>
    </row>
    <row r="2137" spans="1:4" ht="16.5" hidden="1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313">
        <f>参数调整!$K$34*怪物掉落配置方案!$D4189</f>
        <v>1.0280820800121788E-3</v>
      </c>
    </row>
    <row r="2138" spans="1:4" ht="16.5" hidden="1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313">
        <f>参数调整!$K$34*怪物掉落配置方案!$D4190</f>
        <v>1.2692371358175045E-3</v>
      </c>
    </row>
    <row r="2139" spans="1:4" ht="16.5" hidden="1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313">
        <f>参数调整!$K$34*怪物掉落配置方案!$D4191</f>
        <v>1.5357769343391804E-3</v>
      </c>
    </row>
    <row r="2140" spans="1:4" ht="16.5" hidden="1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313">
        <f>参数调整!$K$34*怪物掉落配置方案!$D4192</f>
        <v>1.8277014755772062E-3</v>
      </c>
    </row>
    <row r="2141" spans="1:4" ht="16.5" hidden="1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313">
        <f>参数调整!$K$34*怪物掉落配置方案!$D4193</f>
        <v>2.1450107595315823E-3</v>
      </c>
    </row>
    <row r="2142" spans="1:4" ht="16.5" hidden="1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313">
        <f>参数调整!$K$34*怪物掉落配置方案!$D4194</f>
        <v>2.4877047862023084E-3</v>
      </c>
    </row>
    <row r="2143" spans="1:4" ht="16.5" hidden="1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313">
        <f>参数调整!$K$34*怪物掉落配置方案!$D4195</f>
        <v>2.8557835555893846E-3</v>
      </c>
    </row>
    <row r="2144" spans="1:4" ht="16.5" hidden="1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313">
        <f>参数调整!$K$34*怪物掉落配置方案!$D4196</f>
        <v>3.2492470676928125E-3</v>
      </c>
    </row>
    <row r="2145" spans="1:4" ht="16.5" hidden="1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313">
        <f>参数调整!$K$34*怪物掉落配置方案!$D4197</f>
        <v>4.1123283200487143E-3</v>
      </c>
    </row>
    <row r="2146" spans="1:4" ht="16.5" hidden="1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313">
        <f>参数调整!$K$34*怪物掉落配置方案!$D4198</f>
        <v>5.076948543270017E-3</v>
      </c>
    </row>
    <row r="2147" spans="1:4" ht="16.5" hidden="1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313">
        <f>参数调整!$K$34*怪物掉落配置方案!$D4199</f>
        <v>6.1431077373567218E-3</v>
      </c>
    </row>
    <row r="2148" spans="1:4" ht="16.5" hidden="1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313">
        <f>参数调整!$K$34*怪物掉落配置方案!$D4200</f>
        <v>7.9327320988594029E-3</v>
      </c>
    </row>
    <row r="2149" spans="1:4" ht="16.5" hidden="1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313">
        <f>参数调整!$K$34*怪物掉落配置方案!$D4201</f>
        <v>1.1423134222357537E-2</v>
      </c>
    </row>
    <row r="2150" spans="1:4" ht="16.5" hidden="1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313">
        <f>参数调整!$K$34*怪物掉落配置方案!$D4202</f>
        <v>1.5548154913764427E-2</v>
      </c>
    </row>
    <row r="2151" spans="1:4" ht="16.5" hidden="1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313">
        <f>参数调整!$K$34*怪物掉落配置方案!$D4203</f>
        <v>1.7375856389341637E-2</v>
      </c>
    </row>
    <row r="2152" spans="1:4" ht="16.5" hidden="1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313">
        <f>参数调整!$K$34*怪物掉落配置方案!$D4204</f>
        <v>2.0307794173080068E-2</v>
      </c>
    </row>
    <row r="2153" spans="1:4" ht="16.5" hidden="1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313">
        <f>参数调整!$K$34*怪物掉落配置方案!$D4205</f>
        <v>2.3468194641265649E-2</v>
      </c>
    </row>
    <row r="2154" spans="1:4" ht="16.5" hidden="1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313">
        <f>参数调整!$K$34*怪物掉落配置方案!$D4206</f>
        <v>2.6857057793898392E-2</v>
      </c>
    </row>
    <row r="2155" spans="1:4" ht="16.5" hidden="1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313">
        <f>参数调整!$K$34*怪物掉落配置方案!$D4207</f>
        <v>3.0474383630978288E-2</v>
      </c>
    </row>
    <row r="2156" spans="1:4" ht="16.5" hidden="1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313">
        <f>参数调整!$K$34*怪物掉落配置方案!$D4208</f>
        <v>3.4320172152505317E-2</v>
      </c>
    </row>
    <row r="2157" spans="1:4" ht="16.5" hidden="1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313">
        <f>参数调整!$K$34*怪物掉落配置方案!$D4209</f>
        <v>3.8394423358479514E-2</v>
      </c>
    </row>
    <row r="2158" spans="1:4" ht="16.5" hidden="1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313">
        <f>参数调整!$K$34*怪物掉落配置方案!$D4210</f>
        <v>4.2697137248900841E-2</v>
      </c>
    </row>
    <row r="2159" spans="1:4" ht="16.5" hidden="1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313">
        <f>参数调整!$K$34*怪物掉落配置方案!$D4211</f>
        <v>4.7228313823769331E-2</v>
      </c>
    </row>
    <row r="2160" spans="1:4" ht="16.5" hidden="1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313">
        <f>参数调整!$K$34*怪物掉落配置方案!$D4212</f>
        <v>5.1987953083084987E-2</v>
      </c>
    </row>
    <row r="2161" spans="1:4" ht="16.5" hidden="1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313">
        <f>参数调整!$K$34*怪物掉落配置方案!$D4213</f>
        <v>5.6976055026847772E-2</v>
      </c>
    </row>
    <row r="2162" spans="1:4" ht="16.5" hidden="1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313">
        <f>参数调整!$K$34*怪物掉落配置方案!$D4214</f>
        <v>6.2192619655057721E-2</v>
      </c>
    </row>
    <row r="2163" spans="1:4" ht="16.5" hidden="1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313">
        <f>参数调整!$K$34*怪物掉落配置方案!$D4215</f>
        <v>0</v>
      </c>
    </row>
    <row r="2164" spans="1:4" ht="16.5" hidden="1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313">
        <f>参数调整!$K$34*怪物掉落配置方案!$D4216</f>
        <v>0</v>
      </c>
    </row>
    <row r="2165" spans="1:4" ht="16.5" hidden="1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313">
        <f>参数调整!$K$34*怪物掉落配置方案!$D4217</f>
        <v>0</v>
      </c>
    </row>
    <row r="2166" spans="1:4" ht="16.5" hidden="1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313">
        <f>参数调整!$K$34*怪物掉落配置方案!$D4218</f>
        <v>0</v>
      </c>
    </row>
    <row r="2167" spans="1:4" ht="16.5" hidden="1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313">
        <f>参数调整!$K$34*怪物掉落配置方案!$D4219</f>
        <v>0</v>
      </c>
    </row>
    <row r="2168" spans="1:4" ht="16.5" hidden="1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313">
        <f>参数调整!$K$34*怪物掉落配置方案!$D4220</f>
        <v>0</v>
      </c>
    </row>
    <row r="2169" spans="1:4" ht="16.5" hidden="1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313">
        <f>参数调整!$K$34*怪物掉落配置方案!$D4221</f>
        <v>0</v>
      </c>
    </row>
    <row r="2170" spans="1:4" ht="16.5" hidden="1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313">
        <f>参数调整!$K$34*怪物掉落配置方案!$D4222</f>
        <v>0</v>
      </c>
    </row>
    <row r="2171" spans="1:4" ht="16.5" hidden="1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313">
        <f>参数调整!$K$34*怪物掉落配置方案!$D4223</f>
        <v>0</v>
      </c>
    </row>
    <row r="2172" spans="1:4" ht="16.5" hidden="1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313">
        <f>参数调整!$K$34*怪物掉落配置方案!$D4224</f>
        <v>0</v>
      </c>
    </row>
    <row r="2173" spans="1:4" ht="16.5" hidden="1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313">
        <f>参数调整!$K$34*怪物掉落配置方案!$D4225</f>
        <v>0</v>
      </c>
    </row>
    <row r="2174" spans="1:4" ht="16.5" hidden="1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313">
        <f>参数调整!$K$34*怪物掉落配置方案!$D4226</f>
        <v>0</v>
      </c>
    </row>
    <row r="2175" spans="1:4" ht="16.5" hidden="1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313">
        <f>参数调整!$K$34*怪物掉落配置方案!$D4227</f>
        <v>0</v>
      </c>
    </row>
    <row r="2176" spans="1:4" ht="16.5" hidden="1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313">
        <f>参数调整!$K$34*怪物掉落配置方案!$D4228</f>
        <v>0</v>
      </c>
    </row>
    <row r="2177" spans="1:4" ht="16.5" hidden="1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313">
        <f>参数调整!$K$34*怪物掉落配置方案!$D4229</f>
        <v>0</v>
      </c>
    </row>
    <row r="2178" spans="1:4" ht="16.5" hidden="1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313">
        <f>参数调整!$K$34*怪物掉落配置方案!$D4230</f>
        <v>0</v>
      </c>
    </row>
    <row r="2179" spans="1:4" ht="16.5" hidden="1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313">
        <f>参数调整!$K$34*怪物掉落配置方案!$D4231</f>
        <v>0</v>
      </c>
    </row>
    <row r="2180" spans="1:4" ht="16.5" hidden="1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313">
        <f>参数调整!$K$34*怪物掉落配置方案!$D4232</f>
        <v>0</v>
      </c>
    </row>
    <row r="2181" spans="1:4" ht="16.5" hidden="1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313">
        <f>参数调整!$K$34*怪物掉落配置方案!$D4233</f>
        <v>0</v>
      </c>
    </row>
    <row r="2182" spans="1:4" ht="16.5" hidden="1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313">
        <f>参数调整!$K$34*怪物掉落配置方案!$D4234</f>
        <v>0</v>
      </c>
    </row>
    <row r="2183" spans="1:4" ht="16.5" hidden="1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313">
        <f>参数调整!$K$34*怪物掉落配置方案!$D4235</f>
        <v>0</v>
      </c>
    </row>
    <row r="2184" spans="1:4" ht="16.5" hidden="1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313">
        <f>参数调整!$K$34*怪物掉落配置方案!$D4236</f>
        <v>0</v>
      </c>
    </row>
    <row r="2185" spans="1:4" ht="16.5" hidden="1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313">
        <f>参数调整!$K$34*怪物掉落配置方案!$D4237</f>
        <v>0</v>
      </c>
    </row>
    <row r="2186" spans="1:4" ht="16.5" hidden="1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313">
        <f>参数调整!$K$34*怪物掉落配置方案!$D4238</f>
        <v>0</v>
      </c>
    </row>
    <row r="2187" spans="1:4" ht="16.5" hidden="1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313">
        <f>参数调整!$K$34*怪物掉落配置方案!$D4239</f>
        <v>0</v>
      </c>
    </row>
    <row r="2188" spans="1:4" ht="16.5" hidden="1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313">
        <f>参数调整!$K$34*怪物掉落配置方案!$D4240</f>
        <v>0</v>
      </c>
    </row>
    <row r="2189" spans="1:4" ht="16.5" hidden="1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313">
        <f>参数调整!$K$34*怪物掉落配置方案!$D4241</f>
        <v>0</v>
      </c>
    </row>
    <row r="2190" spans="1:4" ht="16.5" hidden="1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313">
        <f>参数调整!$K$34*怪物掉落配置方案!$D4242</f>
        <v>0</v>
      </c>
    </row>
    <row r="2191" spans="1:4" ht="16.5" hidden="1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313">
        <f>参数调整!$K$34*怪物掉落配置方案!$D4243</f>
        <v>0</v>
      </c>
    </row>
    <row r="2192" spans="1:4" ht="16.5" hidden="1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313">
        <f>参数调整!$K$34*怪物掉落配置方案!$D4244</f>
        <v>0</v>
      </c>
    </row>
    <row r="2193" spans="1:4" ht="16.5" hidden="1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313">
        <f>参数调整!$K$34*怪物掉落配置方案!$D4245</f>
        <v>0</v>
      </c>
    </row>
    <row r="2194" spans="1:4" ht="16.5" hidden="1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313">
        <f>参数调整!$K$34*怪物掉落配置方案!$D4246</f>
        <v>0</v>
      </c>
    </row>
    <row r="2195" spans="1:4" ht="16.5" hidden="1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313">
        <f>参数调整!$K$34*怪物掉落配置方案!$D4247</f>
        <v>0</v>
      </c>
    </row>
    <row r="2196" spans="1:4" ht="16.5" hidden="1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313">
        <f>参数调整!$K$34*怪物掉落配置方案!$D4248</f>
        <v>0</v>
      </c>
    </row>
    <row r="2197" spans="1:4" ht="16.5" hidden="1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313">
        <f>参数调整!$K$34*怪物掉落配置方案!$D4249</f>
        <v>0</v>
      </c>
    </row>
    <row r="2198" spans="1:4" ht="16.5" hidden="1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313">
        <f>参数调整!$K$34*怪物掉落配置方案!$D4250</f>
        <v>0</v>
      </c>
    </row>
    <row r="2199" spans="1:4" ht="16.5" hidden="1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313">
        <f>参数调整!$K$34*怪物掉落配置方案!$D4251</f>
        <v>0</v>
      </c>
    </row>
    <row r="2200" spans="1:4" ht="16.5" hidden="1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313">
        <f>参数调整!$K$34*怪物掉落配置方案!$D4252</f>
        <v>0</v>
      </c>
    </row>
    <row r="2201" spans="1:4" ht="16.5" hidden="1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313">
        <f>参数调整!$K$34*怪物掉落配置方案!$D4253</f>
        <v>0</v>
      </c>
    </row>
    <row r="2202" spans="1:4" ht="16.5" hidden="1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313">
        <f>参数调整!$K$34*怪物掉落配置方案!$D4254</f>
        <v>0</v>
      </c>
    </row>
    <row r="2203" spans="1:4" ht="16.5" hidden="1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313">
        <f>参数调整!$K$34*怪物掉落配置方案!$D4255</f>
        <v>0</v>
      </c>
    </row>
    <row r="2204" spans="1:4" ht="16.5" hidden="1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313">
        <f>参数调整!$K$34*怪物掉落配置方案!$D4256</f>
        <v>0</v>
      </c>
    </row>
    <row r="2205" spans="1:4" ht="16.5" hidden="1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313">
        <f>参数调整!$K$34*怪物掉落配置方案!$D4257</f>
        <v>0</v>
      </c>
    </row>
    <row r="2206" spans="1:4" ht="16.5" hidden="1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313">
        <f>参数调整!$K$34*怪物掉落配置方案!$D4258</f>
        <v>0</v>
      </c>
    </row>
    <row r="2207" spans="1:4" ht="16.5" hidden="1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313">
        <f>参数调整!$K$34*怪物掉落配置方案!$D4259</f>
        <v>0</v>
      </c>
    </row>
    <row r="2208" spans="1:4" ht="16.5" hidden="1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313">
        <f>参数调整!$K$34*怪物掉落配置方案!$D4260</f>
        <v>0</v>
      </c>
    </row>
    <row r="2209" spans="1:4" ht="16.5" hidden="1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313">
        <f>参数调整!$K$34*怪物掉落配置方案!$D4261</f>
        <v>0</v>
      </c>
    </row>
    <row r="2210" spans="1:4" ht="16.5" hidden="1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313">
        <f>参数调整!$K$34*怪物掉落配置方案!$D4262</f>
        <v>0</v>
      </c>
    </row>
    <row r="2211" spans="1:4" ht="16.5" hidden="1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313">
        <f>参数调整!$K$34*怪物掉落配置方案!$D4263</f>
        <v>0</v>
      </c>
    </row>
    <row r="2212" spans="1:4" ht="16.5" hidden="1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313">
        <f>参数调整!$K$34*怪物掉落配置方案!$D4264</f>
        <v>0</v>
      </c>
    </row>
    <row r="2213" spans="1:4" ht="16.5" hidden="1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313">
        <f>参数调整!$K$34*怪物掉落配置方案!$D4265</f>
        <v>0</v>
      </c>
    </row>
    <row r="2214" spans="1:4" ht="16.5" hidden="1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313">
        <f>参数调整!$K$34*怪物掉落配置方案!$D4266</f>
        <v>0</v>
      </c>
    </row>
    <row r="2215" spans="1:4" ht="16.5" hidden="1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313">
        <f>参数调整!$K$34*怪物掉落配置方案!$D4267</f>
        <v>0</v>
      </c>
    </row>
    <row r="2216" spans="1:4" ht="16.5" hidden="1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313">
        <f>参数调整!$K$34*怪物掉落配置方案!$D4268</f>
        <v>0</v>
      </c>
    </row>
    <row r="2217" spans="1:4" ht="16.5" hidden="1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313">
        <f>参数调整!$K$34*怪物掉落配置方案!$D4269</f>
        <v>0</v>
      </c>
    </row>
    <row r="2218" spans="1:4" ht="16.5" hidden="1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313">
        <f>参数调整!$K$34*怪物掉落配置方案!$D4270</f>
        <v>0</v>
      </c>
    </row>
    <row r="2219" spans="1:4" ht="16.5" hidden="1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313">
        <f>参数调整!$K$34*怪物掉落配置方案!$D4271</f>
        <v>0</v>
      </c>
    </row>
    <row r="2220" spans="1:4" ht="16.5" hidden="1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313">
        <f>参数调整!$K$34*怪物掉落配置方案!$D4272</f>
        <v>0</v>
      </c>
    </row>
    <row r="2221" spans="1:4" ht="16.5" hidden="1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313">
        <f>参数调整!$K$34*怪物掉落配置方案!$D4273</f>
        <v>0</v>
      </c>
    </row>
    <row r="2222" spans="1:4" ht="16.5" hidden="1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313">
        <f>参数调整!$K$34*怪物掉落配置方案!$D4274</f>
        <v>0</v>
      </c>
    </row>
    <row r="2223" spans="1:4" ht="16.5" hidden="1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313">
        <f>参数调整!$K$34*怪物掉落配置方案!$D4275</f>
        <v>0</v>
      </c>
    </row>
    <row r="2224" spans="1:4" ht="16.5" hidden="1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313">
        <f>参数调整!$K$34*怪物掉落配置方案!$D4276</f>
        <v>0</v>
      </c>
    </row>
    <row r="2225" spans="1:4" ht="16.5" hidden="1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313">
        <f>参数调整!$K$34*怪物掉落配置方案!$D4277</f>
        <v>0</v>
      </c>
    </row>
    <row r="2226" spans="1:4" ht="16.5" hidden="1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313">
        <f>参数调整!$K$34*怪物掉落配置方案!$D4278</f>
        <v>0</v>
      </c>
    </row>
    <row r="2227" spans="1:4" ht="16.5" hidden="1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313">
        <f>参数调整!$K$34*怪物掉落配置方案!$D4279</f>
        <v>0</v>
      </c>
    </row>
    <row r="2228" spans="1:4" ht="16.5" hidden="1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313">
        <f>参数调整!$K$34*怪物掉落配置方案!$D4280</f>
        <v>0</v>
      </c>
    </row>
    <row r="2229" spans="1:4" ht="16.5" hidden="1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313">
        <f>参数调整!$K$34*怪物掉落配置方案!$D4281</f>
        <v>0</v>
      </c>
    </row>
    <row r="2230" spans="1:4" ht="16.5" hidden="1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313">
        <f>参数调整!$K$34*怪物掉落配置方案!$D4282</f>
        <v>0</v>
      </c>
    </row>
    <row r="2231" spans="1:4" ht="16.5" hidden="1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313">
        <f>参数调整!$K$34*怪物掉落配置方案!$D4283</f>
        <v>0</v>
      </c>
    </row>
    <row r="2232" spans="1:4" ht="16.5" hidden="1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313">
        <f>参数调整!$K$34*怪物掉落配置方案!$D4284</f>
        <v>0</v>
      </c>
    </row>
    <row r="2233" spans="1:4" ht="16.5" hidden="1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313">
        <f>参数调整!$K$34*怪物掉落配置方案!$D4285</f>
        <v>0</v>
      </c>
    </row>
    <row r="2234" spans="1:4" ht="16.5" hidden="1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313">
        <f>参数调整!$K$34*怪物掉落配置方案!$D4286</f>
        <v>0</v>
      </c>
    </row>
    <row r="2235" spans="1:4" ht="16.5" hidden="1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313">
        <f>参数调整!$K$34*怪物掉落配置方案!$D4287</f>
        <v>0</v>
      </c>
    </row>
    <row r="2236" spans="1:4" ht="16.5" hidden="1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313">
        <f>参数调整!$K$34*怪物掉落配置方案!$D4288</f>
        <v>0</v>
      </c>
    </row>
    <row r="2237" spans="1:4" ht="16.5" hidden="1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313">
        <f>参数调整!$K$34*怪物掉落配置方案!$D4289</f>
        <v>0</v>
      </c>
    </row>
    <row r="2238" spans="1:4" ht="16.5" hidden="1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313">
        <f>参数调整!$K$34*怪物掉落配置方案!$D4290</f>
        <v>0</v>
      </c>
    </row>
    <row r="2239" spans="1:4" ht="16.5" hidden="1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313">
        <f>参数调整!$K$34*怪物掉落配置方案!$D4291</f>
        <v>0</v>
      </c>
    </row>
    <row r="2240" spans="1:4" ht="16.5" hidden="1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313">
        <f>参数调整!$K$34*怪物掉落配置方案!$D4292</f>
        <v>0</v>
      </c>
    </row>
    <row r="2241" spans="1:4" ht="16.5" hidden="1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313">
        <f>参数调整!$K$34*怪物掉落配置方案!$D4293</f>
        <v>0</v>
      </c>
    </row>
    <row r="2242" spans="1:4" ht="16.5" hidden="1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313">
        <f>参数调整!$K$34*怪物掉落配置方案!$D4294</f>
        <v>0</v>
      </c>
    </row>
    <row r="2243" spans="1:4" ht="16.5" hidden="1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313">
        <f>参数调整!$K$34*怪物掉落配置方案!$D4295</f>
        <v>0</v>
      </c>
    </row>
    <row r="2244" spans="1:4" ht="16.5" hidden="1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313">
        <f>参数调整!$K$34*怪物掉落配置方案!$D4296</f>
        <v>0</v>
      </c>
    </row>
    <row r="2245" spans="1:4" ht="16.5" hidden="1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313">
        <f>参数调整!$K$34*怪物掉落配置方案!$D4297</f>
        <v>0</v>
      </c>
    </row>
    <row r="2246" spans="1:4" ht="16.5" hidden="1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313">
        <f>参数调整!$K$34*怪物掉落配置方案!$D4298</f>
        <v>0</v>
      </c>
    </row>
    <row r="2247" spans="1:4" ht="16.5" hidden="1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313">
        <f>参数调整!$K$34*怪物掉落配置方案!$D4299</f>
        <v>0</v>
      </c>
    </row>
    <row r="2248" spans="1:4" ht="16.5" hidden="1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313">
        <f>参数调整!$K$34*怪物掉落配置方案!$D4300</f>
        <v>0</v>
      </c>
    </row>
    <row r="2249" spans="1:4" ht="16.5" hidden="1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313">
        <f>参数调整!$K$34*怪物掉落配置方案!$D4301</f>
        <v>0</v>
      </c>
    </row>
    <row r="2250" spans="1:4" ht="16.5" hidden="1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313">
        <f>参数调整!$K$34*怪物掉落配置方案!$D4302</f>
        <v>0</v>
      </c>
    </row>
    <row r="2251" spans="1:4" ht="16.5" hidden="1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313">
        <f>参数调整!$K$34*怪物掉落配置方案!$D4303</f>
        <v>0</v>
      </c>
    </row>
    <row r="2252" spans="1:4" ht="16.5" hidden="1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313">
        <f>参数调整!$K$34*怪物掉落配置方案!$D4304</f>
        <v>0</v>
      </c>
    </row>
    <row r="2253" spans="1:4" ht="16.5" hidden="1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313">
        <f>参数调整!$K$34*怪物掉落配置方案!$D4305</f>
        <v>0</v>
      </c>
    </row>
    <row r="2254" spans="1:4" ht="16.5" hidden="1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313">
        <f>参数调整!$K$34*怪物掉落配置方案!$D4306</f>
        <v>0</v>
      </c>
    </row>
    <row r="2255" spans="1:4" ht="16.5" hidden="1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313">
        <f>参数调整!$K$34*怪物掉落配置方案!$D4307</f>
        <v>0</v>
      </c>
    </row>
    <row r="2256" spans="1:4" ht="16.5" hidden="1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313">
        <f>参数调整!$K$34*怪物掉落配置方案!$D4308</f>
        <v>0</v>
      </c>
    </row>
    <row r="2257" spans="1:4" ht="16.5" hidden="1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313">
        <f>参数调整!$K$34*怪物掉落配置方案!$D4309</f>
        <v>0</v>
      </c>
    </row>
    <row r="2258" spans="1:4" ht="16.5" hidden="1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313">
        <f>参数调整!$K$34*怪物掉落配置方案!$D4310</f>
        <v>0</v>
      </c>
    </row>
    <row r="2259" spans="1:4" ht="16.5" hidden="1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313">
        <f>参数调整!$K$34*怪物掉落配置方案!$D4311</f>
        <v>0</v>
      </c>
    </row>
    <row r="2260" spans="1:4" ht="16.5" hidden="1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313">
        <f>参数调整!$K$34*怪物掉落配置方案!$D4312</f>
        <v>0</v>
      </c>
    </row>
    <row r="2261" spans="1:4" ht="16.5" hidden="1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313">
        <f>参数调整!$K$34*怪物掉落配置方案!$D4313</f>
        <v>0</v>
      </c>
    </row>
    <row r="2262" spans="1:4" ht="16.5" hidden="1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313">
        <f>参数调整!$K$34*怪物掉落配置方案!$D4314</f>
        <v>0</v>
      </c>
    </row>
    <row r="2263" spans="1:4" ht="16.5" hidden="1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313">
        <f>参数调整!$K$34*怪物掉落配置方案!$D4315</f>
        <v>0</v>
      </c>
    </row>
    <row r="2264" spans="1:4" ht="16.5" hidden="1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313">
        <f>参数调整!$K$34*怪物掉落配置方案!$D4316</f>
        <v>0</v>
      </c>
    </row>
    <row r="2265" spans="1:4" ht="16.5" hidden="1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313">
        <f>参数调整!$K$34*怪物掉落配置方案!$D4317</f>
        <v>0</v>
      </c>
    </row>
    <row r="2266" spans="1:4" ht="16.5" hidden="1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313">
        <f>参数调整!$K$34*怪物掉落配置方案!$D4318</f>
        <v>0</v>
      </c>
    </row>
    <row r="2267" spans="1:4" ht="16.5" hidden="1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313">
        <f>参数调整!$K$34*怪物掉落配置方案!$D4319</f>
        <v>0</v>
      </c>
    </row>
    <row r="2268" spans="1:4" ht="16.5" hidden="1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313">
        <f>参数调整!$K$34*怪物掉落配置方案!$D4320</f>
        <v>0</v>
      </c>
    </row>
    <row r="2269" spans="1:4" ht="16.5" hidden="1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313">
        <f>参数调整!$K$34*怪物掉落配置方案!$D4321</f>
        <v>0</v>
      </c>
    </row>
    <row r="2270" spans="1:4" ht="16.5" hidden="1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313">
        <f>参数调整!$K$34*怪物掉落配置方案!$D4322</f>
        <v>0</v>
      </c>
    </row>
    <row r="2271" spans="1:4" ht="16.5" hidden="1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313">
        <f>参数调整!$K$34*怪物掉落配置方案!$D4323</f>
        <v>0</v>
      </c>
    </row>
    <row r="2272" spans="1:4" ht="16.5" hidden="1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313">
        <f>参数调整!$K$34*怪物掉落配置方案!$D4324</f>
        <v>0</v>
      </c>
    </row>
    <row r="2273" spans="1:4" ht="16.5" hidden="1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313">
        <f>参数调整!$K$34*怪物掉落配置方案!$D4325</f>
        <v>0</v>
      </c>
    </row>
    <row r="2274" spans="1:4" ht="16.5" hidden="1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313">
        <f>参数调整!$K$34*怪物掉落配置方案!$D4326</f>
        <v>0</v>
      </c>
    </row>
    <row r="2275" spans="1:4" ht="16.5" hidden="1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313">
        <f>参数调整!$K$34*怪物掉落配置方案!$D4327</f>
        <v>0</v>
      </c>
    </row>
    <row r="2276" spans="1:4" ht="16.5" hidden="1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313">
        <f>参数调整!$K$34*怪物掉落配置方案!$D4328</f>
        <v>0</v>
      </c>
    </row>
    <row r="2277" spans="1:4" ht="16.5" hidden="1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313">
        <f>参数调整!$K$34*怪物掉落配置方案!$D4329</f>
        <v>0</v>
      </c>
    </row>
    <row r="2278" spans="1:4" ht="16.5" hidden="1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313">
        <f>参数调整!$K$34*怪物掉落配置方案!$D4330</f>
        <v>0</v>
      </c>
    </row>
    <row r="2279" spans="1:4" ht="16.5" hidden="1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313">
        <f>参数调整!$K$34*怪物掉落配置方案!$D4331</f>
        <v>0</v>
      </c>
    </row>
    <row r="2280" spans="1:4" ht="16.5" hidden="1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313">
        <f>参数调整!$K$34*怪物掉落配置方案!$D4332</f>
        <v>0</v>
      </c>
    </row>
    <row r="2281" spans="1:4" ht="16.5" hidden="1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313">
        <f>参数调整!$K$34*怪物掉落配置方案!$D4333</f>
        <v>0</v>
      </c>
    </row>
    <row r="2282" spans="1:4" ht="16.5" hidden="1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313">
        <f>参数调整!$K$34*怪物掉落配置方案!$D4334</f>
        <v>0</v>
      </c>
    </row>
    <row r="2283" spans="1:4" ht="16.5" hidden="1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313">
        <f>参数调整!$K$34*怪物掉落配置方案!$D4335</f>
        <v>0</v>
      </c>
    </row>
    <row r="2284" spans="1:4" ht="16.5" hidden="1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313">
        <f>参数调整!$K$34*怪物掉落配置方案!$D4336</f>
        <v>0</v>
      </c>
    </row>
    <row r="2285" spans="1:4" ht="16.5" hidden="1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313">
        <f>参数调整!$K$34*怪物掉落配置方案!$D4337</f>
        <v>0</v>
      </c>
    </row>
    <row r="2286" spans="1:4" ht="16.5" hidden="1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313">
        <f>参数调整!$K$34*怪物掉落配置方案!$D4338</f>
        <v>0</v>
      </c>
    </row>
    <row r="2287" spans="1:4" ht="16.5" hidden="1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313">
        <f>参数调整!$K$34*怪物掉落配置方案!$D4339</f>
        <v>0</v>
      </c>
    </row>
    <row r="2288" spans="1:4" ht="16.5" hidden="1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313">
        <f>参数调整!$K$34*怪物掉落配置方案!$D4340</f>
        <v>0</v>
      </c>
    </row>
    <row r="2289" spans="1:4" ht="16.5" hidden="1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313">
        <f>参数调整!$K$34*怪物掉落配置方案!$D4341</f>
        <v>0</v>
      </c>
    </row>
    <row r="2290" spans="1:4" ht="16.5" hidden="1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313">
        <f>参数调整!$K$34*怪物掉落配置方案!$D4342</f>
        <v>0</v>
      </c>
    </row>
    <row r="2291" spans="1:4" ht="16.5" hidden="1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313">
        <f>参数调整!$K$34*怪物掉落配置方案!$D4343</f>
        <v>0</v>
      </c>
    </row>
    <row r="2292" spans="1:4" ht="16.5" hidden="1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313">
        <f>参数调整!$K$34*怪物掉落配置方案!$D4344</f>
        <v>0</v>
      </c>
    </row>
    <row r="2293" spans="1:4" ht="16.5" hidden="1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313">
        <f>参数调整!$K$34*怪物掉落配置方案!$D4345</f>
        <v>0</v>
      </c>
    </row>
    <row r="2294" spans="1:4" ht="16.5" hidden="1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313">
        <f>参数调整!$K$34*怪物掉落配置方案!$D4346</f>
        <v>0</v>
      </c>
    </row>
    <row r="2295" spans="1:4" ht="16.5" hidden="1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313">
        <f>参数调整!$K$34*怪物掉落配置方案!$D4347</f>
        <v>0</v>
      </c>
    </row>
    <row r="2296" spans="1:4" ht="16.5" hidden="1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313">
        <f>参数调整!$K$34*怪物掉落配置方案!$D4348</f>
        <v>0</v>
      </c>
    </row>
    <row r="2297" spans="1:4" ht="16.5" hidden="1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313">
        <f>参数调整!$K$34*怪物掉落配置方案!$D4349</f>
        <v>0</v>
      </c>
    </row>
    <row r="2298" spans="1:4" ht="16.5" hidden="1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313">
        <f>参数调整!$K$34*怪物掉落配置方案!$D4350</f>
        <v>0</v>
      </c>
    </row>
    <row r="2299" spans="1:4" ht="16.5" hidden="1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313">
        <f>参数调整!$K$34*怪物掉落配置方案!$D4351</f>
        <v>0</v>
      </c>
    </row>
    <row r="2300" spans="1:4" ht="16.5" hidden="1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313">
        <f>参数调整!$K$34*怪物掉落配置方案!$D4352</f>
        <v>0</v>
      </c>
    </row>
    <row r="2301" spans="1:4" ht="16.5" hidden="1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313">
        <f>参数调整!$K$34*怪物掉落配置方案!$D4353</f>
        <v>0</v>
      </c>
    </row>
    <row r="2302" spans="1:4" ht="16.5" hidden="1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313">
        <f>参数调整!$K$34*怪物掉落配置方案!$D4354</f>
        <v>0</v>
      </c>
    </row>
    <row r="2303" spans="1:4" ht="16.5" hidden="1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313">
        <f>参数调整!$K$34*怪物掉落配置方案!$D4355</f>
        <v>0</v>
      </c>
    </row>
    <row r="2304" spans="1:4" ht="16.5" hidden="1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313">
        <f>参数调整!$K$34*怪物掉落配置方案!$D4356</f>
        <v>0</v>
      </c>
    </row>
    <row r="2305" spans="1:4" ht="16.5" hidden="1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313">
        <f>参数调整!$K$34*怪物掉落配置方案!$D4357</f>
        <v>0</v>
      </c>
    </row>
    <row r="2306" spans="1:4" ht="16.5" hidden="1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313">
        <f>参数调整!$K$34*怪物掉落配置方案!$D4358</f>
        <v>0</v>
      </c>
    </row>
    <row r="2307" spans="1:4" ht="16.5" hidden="1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313">
        <f>参数调整!$K$34*怪物掉落配置方案!$D4359</f>
        <v>0</v>
      </c>
    </row>
    <row r="2308" spans="1:4" ht="16.5" hidden="1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313">
        <f>参数调整!$K$34*怪物掉落配置方案!$D4360</f>
        <v>0</v>
      </c>
    </row>
    <row r="2309" spans="1:4" ht="16.5" hidden="1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313">
        <f>参数调整!$K$34*怪物掉落配置方案!$D4361</f>
        <v>0</v>
      </c>
    </row>
    <row r="2310" spans="1:4" ht="16.5" hidden="1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313">
        <f>参数调整!$K$34*怪物掉落配置方案!$D4362</f>
        <v>0</v>
      </c>
    </row>
    <row r="2311" spans="1:4" ht="16.5" hidden="1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313">
        <f>参数调整!$K$34*怪物掉落配置方案!$D4363</f>
        <v>0</v>
      </c>
    </row>
    <row r="2312" spans="1:4" ht="16.5" hidden="1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313">
        <f>参数调整!$K$34*怪物掉落配置方案!$D4364</f>
        <v>0</v>
      </c>
    </row>
    <row r="2313" spans="1:4" ht="16.5" hidden="1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313">
        <f>参数调整!$K$34*怪物掉落配置方案!$D4365</f>
        <v>0</v>
      </c>
    </row>
    <row r="2314" spans="1:4" ht="16.5" hidden="1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313">
        <f>参数调整!$K$34*怪物掉落配置方案!$D4366</f>
        <v>0</v>
      </c>
    </row>
    <row r="2315" spans="1:4" ht="16.5" hidden="1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313">
        <f>参数调整!$K$34*怪物掉落配置方案!$D4367</f>
        <v>0</v>
      </c>
    </row>
    <row r="2316" spans="1:4" ht="16.5" hidden="1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313">
        <f>参数调整!$K$34*怪物掉落配置方案!$D4368</f>
        <v>0</v>
      </c>
    </row>
    <row r="2317" spans="1:4" ht="16.5" hidden="1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313">
        <f>参数调整!$K$34*怪物掉落配置方案!$D4369</f>
        <v>0</v>
      </c>
    </row>
    <row r="2318" spans="1:4" ht="16.5" hidden="1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313">
        <f>参数调整!$K$34*怪物掉落配置方案!$D4370</f>
        <v>0</v>
      </c>
    </row>
    <row r="2319" spans="1:4" ht="16.5" hidden="1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313">
        <f>参数调整!$K$34*怪物掉落配置方案!$D4371</f>
        <v>0</v>
      </c>
    </row>
    <row r="2320" spans="1:4" ht="16.5" hidden="1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313">
        <f>参数调整!$K$34*怪物掉落配置方案!$D4372</f>
        <v>0</v>
      </c>
    </row>
    <row r="2321" spans="1:4" ht="16.5" hidden="1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313">
        <f>参数调整!$K$34*怪物掉落配置方案!$D4373</f>
        <v>0</v>
      </c>
    </row>
    <row r="2322" spans="1:4" ht="16.5" hidden="1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313">
        <f>参数调整!$K$34*怪物掉落配置方案!$D4374</f>
        <v>0</v>
      </c>
    </row>
    <row r="2323" spans="1:4" ht="16.5" hidden="1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313">
        <f>参数调整!$K$34*怪物掉落配置方案!$D4375</f>
        <v>0</v>
      </c>
    </row>
    <row r="2324" spans="1:4" ht="16.5" hidden="1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313">
        <f>参数调整!$K$34*怪物掉落配置方案!$D4376</f>
        <v>0</v>
      </c>
    </row>
    <row r="2325" spans="1:4" ht="16.5" hidden="1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313">
        <f>参数调整!$K$34*怪物掉落配置方案!$D4377</f>
        <v>0</v>
      </c>
    </row>
    <row r="2326" spans="1:4" ht="16.5" hidden="1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313">
        <f>参数调整!$K$34*怪物掉落配置方案!$D4378</f>
        <v>0</v>
      </c>
    </row>
    <row r="2327" spans="1:4" ht="16.5" hidden="1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313">
        <f>参数调整!$K$34*怪物掉落配置方案!$D4379</f>
        <v>0</v>
      </c>
    </row>
    <row r="2328" spans="1:4" ht="16.5" hidden="1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313">
        <f>参数调整!$K$34*怪物掉落配置方案!$D4380</f>
        <v>0</v>
      </c>
    </row>
    <row r="2329" spans="1:4" ht="16.5" hidden="1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313">
        <f>参数调整!$K$34*怪物掉落配置方案!$D4381</f>
        <v>0</v>
      </c>
    </row>
    <row r="2330" spans="1:4" ht="16.5" hidden="1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313">
        <f>参数调整!$K$34*怪物掉落配置方案!$D4382</f>
        <v>0</v>
      </c>
    </row>
    <row r="2331" spans="1:4" ht="16.5" hidden="1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313">
        <f>参数调整!$K$34*怪物掉落配置方案!$D4383</f>
        <v>0</v>
      </c>
    </row>
    <row r="2332" spans="1:4" ht="16.5" hidden="1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313">
        <f>参数调整!$K$34*怪物掉落配置方案!$D4384</f>
        <v>0</v>
      </c>
    </row>
    <row r="2333" spans="1:4" ht="16.5" hidden="1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313">
        <f>参数调整!$K$34*怪物掉落配置方案!$D4385</f>
        <v>0</v>
      </c>
    </row>
    <row r="2334" spans="1:4" ht="16.5" hidden="1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313">
        <f>参数调整!$K$34*怪物掉落配置方案!$D4386</f>
        <v>0</v>
      </c>
    </row>
    <row r="2335" spans="1:4" ht="16.5" hidden="1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313">
        <f>参数调整!$K$34*怪物掉落配置方案!$D4387</f>
        <v>0</v>
      </c>
    </row>
    <row r="2336" spans="1:4" ht="16.5" hidden="1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313">
        <f>参数调整!$K$34*怪物掉落配置方案!$D4388</f>
        <v>0</v>
      </c>
    </row>
    <row r="2337" spans="1:4" ht="16.5" hidden="1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313">
        <f>参数调整!$K$34*怪物掉落配置方案!$D4389</f>
        <v>0</v>
      </c>
    </row>
    <row r="2338" spans="1:4" ht="16.5" hidden="1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313">
        <f>参数调整!$K$34*怪物掉落配置方案!$D4390</f>
        <v>0</v>
      </c>
    </row>
    <row r="2339" spans="1:4" ht="16.5" hidden="1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313">
        <f>参数调整!$K$34*怪物掉落配置方案!$D4391</f>
        <v>0</v>
      </c>
    </row>
    <row r="2340" spans="1:4" ht="16.5" hidden="1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313">
        <f>参数调整!$K$34*怪物掉落配置方案!$D4392</f>
        <v>0</v>
      </c>
    </row>
    <row r="2341" spans="1:4" ht="16.5" hidden="1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313">
        <f>参数调整!$K$34*怪物掉落配置方案!$D4393</f>
        <v>0</v>
      </c>
    </row>
    <row r="2342" spans="1:4" ht="16.5" hidden="1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313">
        <f>参数调整!$K$34*怪物掉落配置方案!$D4394</f>
        <v>0</v>
      </c>
    </row>
    <row r="2343" spans="1:4" ht="16.5" hidden="1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313">
        <f>参数调整!$K$34*怪物掉落配置方案!$D4395</f>
        <v>0</v>
      </c>
    </row>
    <row r="2344" spans="1:4" ht="16.5" hidden="1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313">
        <f>参数调整!$K$34*怪物掉落配置方案!$D4396</f>
        <v>0</v>
      </c>
    </row>
    <row r="2345" spans="1:4" ht="16.5" hidden="1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313">
        <f>参数调整!$K$34*怪物掉落配置方案!$D4397</f>
        <v>0</v>
      </c>
    </row>
    <row r="2346" spans="1:4" ht="16.5" hidden="1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313">
        <f>参数调整!$K$34*怪物掉落配置方案!$D4398</f>
        <v>0</v>
      </c>
    </row>
    <row r="2347" spans="1:4" ht="16.5" hidden="1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313">
        <f>参数调整!$K$34*怪物掉落配置方案!$D4399</f>
        <v>0</v>
      </c>
    </row>
    <row r="2348" spans="1:4" ht="16.5" hidden="1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313">
        <f>参数调整!$K$34*怪物掉落配置方案!$D4400</f>
        <v>0</v>
      </c>
    </row>
    <row r="2349" spans="1:4" ht="16.5" hidden="1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313">
        <f>参数调整!$K$34*怪物掉落配置方案!$D4401</f>
        <v>0</v>
      </c>
    </row>
    <row r="2350" spans="1:4" ht="16.5" hidden="1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313">
        <f>参数调整!$K$34*怪物掉落配置方案!$D4402</f>
        <v>0</v>
      </c>
    </row>
    <row r="2351" spans="1:4" ht="16.5" hidden="1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313">
        <f>参数调整!$K$34*怪物掉落配置方案!$D4403</f>
        <v>0</v>
      </c>
    </row>
    <row r="2352" spans="1:4" ht="16.5" hidden="1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313">
        <f>参数调整!$K$34*怪物掉落配置方案!$D4404</f>
        <v>0</v>
      </c>
    </row>
    <row r="2353" spans="1:4" ht="16.5" hidden="1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313">
        <f>参数调整!$K$34*怪物掉落配置方案!$D4405</f>
        <v>0</v>
      </c>
    </row>
    <row r="2354" spans="1:4" ht="16.5" hidden="1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313">
        <f>参数调整!$K$34*怪物掉落配置方案!$D4406</f>
        <v>0</v>
      </c>
    </row>
    <row r="2355" spans="1:4" ht="16.5" hidden="1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313">
        <f>参数调整!$K$34*怪物掉落配置方案!$D4407</f>
        <v>0</v>
      </c>
    </row>
    <row r="2356" spans="1:4" ht="16.5" hidden="1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313">
        <f>参数调整!$K$34*怪物掉落配置方案!$D4408</f>
        <v>0</v>
      </c>
    </row>
    <row r="2357" spans="1:4" ht="16.5" hidden="1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313">
        <f>参数调整!$K$34*怪物掉落配置方案!$D4409</f>
        <v>0</v>
      </c>
    </row>
    <row r="2358" spans="1:4" ht="16.5" hidden="1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313">
        <f>参数调整!$K$34*怪物掉落配置方案!$D4410</f>
        <v>0</v>
      </c>
    </row>
    <row r="2359" spans="1:4" ht="16.5" hidden="1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313">
        <f>参数调整!$K$34*怪物掉落配置方案!$D4411</f>
        <v>0</v>
      </c>
    </row>
    <row r="2360" spans="1:4" ht="16.5" hidden="1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313">
        <f>参数调整!$K$34*怪物掉落配置方案!$D4412</f>
        <v>0</v>
      </c>
    </row>
    <row r="2361" spans="1:4" ht="16.5" hidden="1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313">
        <f>参数调整!$K$34*怪物掉落配置方案!$D4413</f>
        <v>0</v>
      </c>
    </row>
    <row r="2362" spans="1:4" ht="16.5" hidden="1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313">
        <f>参数调整!$K$34*怪物掉落配置方案!$D4414</f>
        <v>0</v>
      </c>
    </row>
    <row r="2363" spans="1:4" ht="16.5" hidden="1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313">
        <f>参数调整!$K$34*怪物掉落配置方案!$D4415</f>
        <v>0</v>
      </c>
    </row>
    <row r="2364" spans="1:4" ht="16.5" hidden="1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313">
        <f>参数调整!$K$34*怪物掉落配置方案!$D4416</f>
        <v>0</v>
      </c>
    </row>
    <row r="2365" spans="1:4" ht="16.5" hidden="1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313">
        <f>参数调整!$K$34*怪物掉落配置方案!$D4417</f>
        <v>0</v>
      </c>
    </row>
    <row r="2366" spans="1:4" ht="16.5" hidden="1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313">
        <f>参数调整!$K$34*怪物掉落配置方案!$D4418</f>
        <v>0</v>
      </c>
    </row>
    <row r="2367" spans="1:4" ht="16.5" hidden="1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313">
        <f>参数调整!$K$34*怪物掉落配置方案!$D4419</f>
        <v>0</v>
      </c>
    </row>
    <row r="2368" spans="1:4" ht="16.5" hidden="1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313">
        <f>参数调整!$K$34*怪物掉落配置方案!$D4420</f>
        <v>0</v>
      </c>
    </row>
    <row r="2369" spans="1:4" ht="16.5" hidden="1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313">
        <f>参数调整!$K$34*怪物掉落配置方案!$D4421</f>
        <v>0</v>
      </c>
    </row>
    <row r="2370" spans="1:4" ht="16.5" hidden="1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313">
        <f>参数调整!$K$34*怪物掉落配置方案!$D4422</f>
        <v>0</v>
      </c>
    </row>
    <row r="2371" spans="1:4" ht="16.5" hidden="1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313">
        <f>参数调整!$K$34*怪物掉落配置方案!$D4423</f>
        <v>0</v>
      </c>
    </row>
    <row r="2372" spans="1:4" ht="16.5" hidden="1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313">
        <f>参数调整!$K$34*怪物掉落配置方案!$D4424</f>
        <v>0</v>
      </c>
    </row>
    <row r="2373" spans="1:4" ht="16.5" hidden="1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313">
        <f>参数调整!$K$34*怪物掉落配置方案!$D4425</f>
        <v>0</v>
      </c>
    </row>
    <row r="2374" spans="1:4" ht="16.5" hidden="1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313">
        <f>参数调整!$K$34*怪物掉落配置方案!$D4426</f>
        <v>0</v>
      </c>
    </row>
    <row r="2375" spans="1:4" ht="16.5" hidden="1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313">
        <f>参数调整!$K$34*怪物掉落配置方案!$D4427</f>
        <v>0</v>
      </c>
    </row>
    <row r="2376" spans="1:4" ht="16.5" hidden="1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313">
        <f>参数调整!$K$34*怪物掉落配置方案!$D4428</f>
        <v>0</v>
      </c>
    </row>
    <row r="2377" spans="1:4" ht="16.5" hidden="1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313">
        <f>参数调整!$K$34*怪物掉落配置方案!$D4429</f>
        <v>0</v>
      </c>
    </row>
    <row r="2378" spans="1:4" ht="16.5" hidden="1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313">
        <f>参数调整!$K$34*怪物掉落配置方案!$D4430</f>
        <v>0</v>
      </c>
    </row>
    <row r="2379" spans="1:4" ht="16.5" hidden="1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313">
        <f>参数调整!$K$34*怪物掉落配置方案!$D4431</f>
        <v>0</v>
      </c>
    </row>
    <row r="2380" spans="1:4" ht="16.5" hidden="1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313">
        <f>参数调整!$K$34*怪物掉落配置方案!$D4432</f>
        <v>0</v>
      </c>
    </row>
    <row r="2381" spans="1:4" ht="16.5" hidden="1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313">
        <f>参数调整!$K$34*怪物掉落配置方案!$D4433</f>
        <v>0</v>
      </c>
    </row>
    <row r="2382" spans="1:4" ht="16.5" hidden="1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313">
        <f>参数调整!$K$34*怪物掉落配置方案!$D4434</f>
        <v>0</v>
      </c>
    </row>
    <row r="2383" spans="1:4" ht="16.5" hidden="1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313">
        <f>参数调整!$K$34*怪物掉落配置方案!$D4435</f>
        <v>0</v>
      </c>
    </row>
    <row r="2384" spans="1:4" ht="16.5" hidden="1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313">
        <f>参数调整!$K$34*怪物掉落配置方案!$D4436</f>
        <v>0</v>
      </c>
    </row>
    <row r="2385" spans="1:4" ht="16.5" hidden="1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313">
        <f>参数调整!$K$34*怪物掉落配置方案!$D4437</f>
        <v>0</v>
      </c>
    </row>
    <row r="2386" spans="1:4" ht="16.5" hidden="1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313">
        <f>参数调整!$K$34*怪物掉落配置方案!$D4438</f>
        <v>0</v>
      </c>
    </row>
    <row r="2387" spans="1:4" ht="16.5" hidden="1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313">
        <f>参数调整!$K$34*怪物掉落配置方案!$D4439</f>
        <v>0</v>
      </c>
    </row>
    <row r="2388" spans="1:4" ht="16.5" hidden="1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313">
        <f>参数调整!$K$34*怪物掉落配置方案!$D4440</f>
        <v>0</v>
      </c>
    </row>
    <row r="2389" spans="1:4" ht="16.5" hidden="1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313">
        <f>参数调整!$K$34*怪物掉落配置方案!$D4441</f>
        <v>0</v>
      </c>
    </row>
    <row r="2390" spans="1:4" ht="16.5" hidden="1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313">
        <f>参数调整!$K$34*怪物掉落配置方案!$D4442</f>
        <v>0</v>
      </c>
    </row>
    <row r="2391" spans="1:4" ht="16.5" hidden="1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313">
        <f>参数调整!$K$34*怪物掉落配置方案!$D4443</f>
        <v>0</v>
      </c>
    </row>
    <row r="2392" spans="1:4" ht="16.5" hidden="1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313">
        <f>参数调整!$K$34*怪物掉落配置方案!$D4444</f>
        <v>0</v>
      </c>
    </row>
    <row r="2393" spans="1:4" ht="16.5" hidden="1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313">
        <f>参数调整!$K$34*怪物掉落配置方案!$D4445</f>
        <v>0</v>
      </c>
    </row>
    <row r="2394" spans="1:4" ht="16.5" hidden="1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313">
        <f>参数调整!$K$34*怪物掉落配置方案!$D4446</f>
        <v>0</v>
      </c>
    </row>
    <row r="2395" spans="1:4" ht="16.5" hidden="1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313">
        <f>参数调整!$K$34*怪物掉落配置方案!$D4447</f>
        <v>0</v>
      </c>
    </row>
    <row r="2396" spans="1:4" ht="16.5" hidden="1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313">
        <f>参数调整!$K$34*怪物掉落配置方案!$D4448</f>
        <v>0</v>
      </c>
    </row>
    <row r="2397" spans="1:4" ht="16.5" hidden="1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313">
        <f>参数调整!$K$34*怪物掉落配置方案!$D4449</f>
        <v>0</v>
      </c>
    </row>
    <row r="2398" spans="1:4" ht="16.5" hidden="1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313">
        <f>参数调整!$K$34*怪物掉落配置方案!$D4450</f>
        <v>0</v>
      </c>
    </row>
    <row r="2399" spans="1:4" ht="16.5" hidden="1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313">
        <f>参数调整!$K$34*怪物掉落配置方案!$D4451</f>
        <v>0</v>
      </c>
    </row>
    <row r="2400" spans="1:4" ht="16.5" hidden="1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313">
        <f>参数调整!$K$34*怪物掉落配置方案!$D4452</f>
        <v>0</v>
      </c>
    </row>
    <row r="2401" spans="1:4" ht="16.5" hidden="1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313">
        <f>参数调整!$K$34*怪物掉落配置方案!$D4453</f>
        <v>0</v>
      </c>
    </row>
    <row r="2402" spans="1:4" ht="16.5" hidden="1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313">
        <f>参数调整!$K$34*怪物掉落配置方案!$D4454</f>
        <v>0</v>
      </c>
    </row>
    <row r="2403" spans="1:4" ht="16.5" hidden="1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313">
        <f>参数调整!$K$34*怪物掉落配置方案!$D4455</f>
        <v>0</v>
      </c>
    </row>
    <row r="2404" spans="1:4" ht="16.5" hidden="1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313">
        <f>参数调整!$K$34*怪物掉落配置方案!$D4456</f>
        <v>0</v>
      </c>
    </row>
    <row r="2405" spans="1:4" ht="16.5" hidden="1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313">
        <f>参数调整!$K$34*怪物掉落配置方案!$D4457</f>
        <v>0</v>
      </c>
    </row>
    <row r="2406" spans="1:4" ht="16.5" hidden="1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313">
        <f>参数调整!$K$34*怪物掉落配置方案!$D4458</f>
        <v>0</v>
      </c>
    </row>
    <row r="2407" spans="1:4" ht="16.5" hidden="1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313">
        <f>参数调整!$K$34*怪物掉落配置方案!$D4459</f>
        <v>0</v>
      </c>
    </row>
    <row r="2408" spans="1:4" ht="16.5" hidden="1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313">
        <f>参数调整!$K$34*怪物掉落配置方案!$D4460</f>
        <v>0</v>
      </c>
    </row>
    <row r="2409" spans="1:4" ht="16.5" hidden="1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313">
        <f>参数调整!$K$34*怪物掉落配置方案!$D4461</f>
        <v>0</v>
      </c>
    </row>
    <row r="2410" spans="1:4" ht="16.5" hidden="1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313">
        <f>参数调整!$K$34*怪物掉落配置方案!$D4462</f>
        <v>0</v>
      </c>
    </row>
    <row r="2411" spans="1:4" ht="16.5" hidden="1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313">
        <f>参数调整!$K$34*怪物掉落配置方案!$D4463</f>
        <v>0</v>
      </c>
    </row>
    <row r="2412" spans="1:4" ht="16.5" hidden="1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313">
        <f>参数调整!$K$34*怪物掉落配置方案!$D4464</f>
        <v>0</v>
      </c>
    </row>
    <row r="2413" spans="1:4" ht="16.5" hidden="1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313">
        <f>参数调整!$K$34*怪物掉落配置方案!$D4465</f>
        <v>0</v>
      </c>
    </row>
    <row r="2414" spans="1:4" ht="16.5" hidden="1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313">
        <f>参数调整!$K$34*怪物掉落配置方案!$D4466</f>
        <v>0</v>
      </c>
    </row>
    <row r="2415" spans="1:4" ht="16.5" hidden="1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313">
        <f>参数调整!$K$34*怪物掉落配置方案!$D4467</f>
        <v>0</v>
      </c>
    </row>
    <row r="2416" spans="1:4" ht="16.5" hidden="1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313">
        <f>参数调整!$K$34*怪物掉落配置方案!$D4468</f>
        <v>0</v>
      </c>
    </row>
    <row r="2417" spans="1:4" ht="16.5" hidden="1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313">
        <f>参数调整!$K$34*怪物掉落配置方案!$D4469</f>
        <v>0</v>
      </c>
    </row>
    <row r="2418" spans="1:4" ht="16.5" hidden="1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313">
        <f>参数调整!$K$34*怪物掉落配置方案!$D4470</f>
        <v>0</v>
      </c>
    </row>
    <row r="2419" spans="1:4" ht="16.5" hidden="1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313">
        <f>参数调整!$K$34*怪物掉落配置方案!$D4471</f>
        <v>0</v>
      </c>
    </row>
    <row r="2420" spans="1:4" ht="16.5" hidden="1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313">
        <f>参数调整!$K$34*怪物掉落配置方案!$D4472</f>
        <v>0</v>
      </c>
    </row>
    <row r="2421" spans="1:4" ht="16.5" hidden="1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313">
        <f>参数调整!$K$34*怪物掉落配置方案!$D4473</f>
        <v>0</v>
      </c>
    </row>
    <row r="2422" spans="1:4" ht="16.5" hidden="1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313">
        <f>参数调整!$K$34*怪物掉落配置方案!$D4474</f>
        <v>0</v>
      </c>
    </row>
    <row r="2423" spans="1:4" ht="16.5" hidden="1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313">
        <f>参数调整!$K$34*怪物掉落配置方案!$D4475</f>
        <v>0</v>
      </c>
    </row>
    <row r="2424" spans="1:4" ht="16.5" hidden="1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313">
        <f>参数调整!$K$34*怪物掉落配置方案!$D4476</f>
        <v>0</v>
      </c>
    </row>
    <row r="2425" spans="1:4" ht="16.5" hidden="1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313">
        <f>参数调整!$K$34*怪物掉落配置方案!$D4477</f>
        <v>0</v>
      </c>
    </row>
    <row r="2426" spans="1:4" ht="16.5" hidden="1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313">
        <f>参数调整!$K$34*怪物掉落配置方案!$D4478</f>
        <v>0</v>
      </c>
    </row>
    <row r="2427" spans="1:4" ht="16.5" hidden="1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313">
        <f>参数调整!$K$34*怪物掉落配置方案!$D4479</f>
        <v>0</v>
      </c>
    </row>
    <row r="2428" spans="1:4" ht="16.5" hidden="1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313">
        <f>参数调整!$K$34*怪物掉落配置方案!$D4480</f>
        <v>0</v>
      </c>
    </row>
    <row r="2429" spans="1:4" ht="16.5" hidden="1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313">
        <f>参数调整!$K$34*怪物掉落配置方案!$D4481</f>
        <v>0</v>
      </c>
    </row>
    <row r="2430" spans="1:4" ht="16.5" hidden="1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313">
        <f>参数调整!$K$34*怪物掉落配置方案!$D4482</f>
        <v>0</v>
      </c>
    </row>
    <row r="2431" spans="1:4" ht="16.5" hidden="1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313">
        <f>参数调整!$K$34*怪物掉落配置方案!$D4483</f>
        <v>0</v>
      </c>
    </row>
    <row r="2432" spans="1:4" ht="16.5" hidden="1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313">
        <f>参数调整!$K$34*怪物掉落配置方案!$D4484</f>
        <v>0</v>
      </c>
    </row>
    <row r="2433" spans="1:4" ht="16.5" hidden="1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313">
        <f>参数调整!$K$34*怪物掉落配置方案!$D4485</f>
        <v>0.22700463611960769</v>
      </c>
    </row>
    <row r="2434" spans="1:4" ht="16.5" hidden="1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313">
        <f>参数调整!$K$34*怪物掉落配置方案!$D4486</f>
        <v>0.2873027425888785</v>
      </c>
    </row>
    <row r="2435" spans="1:4" ht="16.5" hidden="1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313">
        <f>参数调整!$K$34*怪物掉落配置方案!$D4487</f>
        <v>0.35469474393688699</v>
      </c>
    </row>
    <row r="2436" spans="1:4" ht="16.5" hidden="1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313">
        <f>参数调整!$K$34*怪物掉落配置方案!$D4488</f>
        <v>0.42918064016363333</v>
      </c>
    </row>
    <row r="2437" spans="1:4" ht="16.5" hidden="1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313">
        <f>参数调整!$K$34*怪物掉落配置方案!$D4489</f>
        <v>0.51076043126911719</v>
      </c>
    </row>
    <row r="2438" spans="1:4" ht="16.5" hidden="1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313">
        <f>参数调整!$K$34*怪物掉落配置方案!$D4490</f>
        <v>0.59943411725333906</v>
      </c>
    </row>
    <row r="2439" spans="1:4" ht="16.5" hidden="1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313">
        <f>参数调整!$K$34*怪物掉落配置方案!$D4491</f>
        <v>0.69520169811629839</v>
      </c>
    </row>
    <row r="2440" spans="1:4" ht="16.5" hidden="1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313">
        <f>参数调整!$K$34*怪物掉落配置方案!$D4492</f>
        <v>0.79806317385799574</v>
      </c>
    </row>
    <row r="2441" spans="1:4" ht="16.5" hidden="1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313">
        <f>参数调整!$K$34*怪物掉落配置方案!$D4493</f>
        <v>0.90801854447843089</v>
      </c>
    </row>
    <row r="2442" spans="1:4" ht="16.5" hidden="1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313">
        <f>参数调整!$K$34*怪物掉落配置方案!$D4494</f>
        <v>1.1492109703555142</v>
      </c>
    </row>
    <row r="2443" spans="1:4" ht="16.5" hidden="1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313">
        <f>参数调整!$K$34*怪物掉落配置方案!$D4495</f>
        <v>1.418778975747548</v>
      </c>
    </row>
    <row r="2444" spans="1:4" ht="16.5" hidden="1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313">
        <f>参数调整!$K$34*怪物掉落配置方案!$D4496</f>
        <v>1.7167225606545333</v>
      </c>
    </row>
    <row r="2445" spans="1:4" ht="16.5" hidden="1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313">
        <f>参数调整!$K$34*怪物掉落配置方案!$D4497</f>
        <v>2.2168421496055437</v>
      </c>
    </row>
    <row r="2446" spans="1:4" ht="16.5" hidden="1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313">
        <f>参数调整!$K$34*怪物掉落配置方案!$D4498</f>
        <v>3.1922526954319825</v>
      </c>
    </row>
    <row r="2447" spans="1:4" ht="16.5" hidden="1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313">
        <f>参数调整!$K$34*怪物掉落配置方案!$D4499</f>
        <v>4.3450106132268651</v>
      </c>
    </row>
    <row r="2448" spans="1:4" ht="16.5" hidden="1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313">
        <f>参数调整!$K$34*怪物掉落配置方案!$D4500</f>
        <v>4.8557710444959836</v>
      </c>
    </row>
    <row r="2449" spans="1:4" ht="16.5" hidden="1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313">
        <f>参数调整!$K$34*怪物掉落配置方案!$D4501</f>
        <v>5.6751159029901919</v>
      </c>
    </row>
    <row r="2450" spans="1:4" ht="16.5" hidden="1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313">
        <f>参数调整!$K$34*怪物掉落配置方案!$D4502</f>
        <v>6.5583058153930391</v>
      </c>
    </row>
    <row r="2451" spans="1:4" ht="16.5" hidden="1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313">
        <f>参数调整!$K$34*怪物掉落配置方案!$D4503</f>
        <v>7.5053407817045281</v>
      </c>
    </row>
    <row r="2452" spans="1:4" ht="16.5" hidden="1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313">
        <f>参数调整!$K$34*怪物掉落配置方案!$D4504</f>
        <v>8.5162208019246588</v>
      </c>
    </row>
    <row r="2453" spans="1:4" ht="16.5" hidden="1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313">
        <f>参数调整!$K$34*怪物掉落配置方案!$D4505</f>
        <v>9.5909458760534232</v>
      </c>
    </row>
    <row r="2454" spans="1:4" ht="16.5" hidden="1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313">
        <f>参数调整!$K$34*怪物掉落配置方案!$D4506</f>
        <v>10.729516004090831</v>
      </c>
    </row>
    <row r="2455" spans="1:4" ht="16.5" hidden="1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313">
        <f>参数调整!$K$34*怪物掉落配置方案!$D4507</f>
        <v>11.931931186036879</v>
      </c>
    </row>
    <row r="2456" spans="1:4" ht="16.5" hidden="1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313">
        <f>参数调整!$K$34*怪物掉落配置方案!$D4508</f>
        <v>13.198191421891561</v>
      </c>
    </row>
    <row r="2457" spans="1:4" ht="16.5" hidden="1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313">
        <f>参数调整!$K$34*怪物掉落配置方案!$D4509</f>
        <v>14.528296711654894</v>
      </c>
    </row>
    <row r="2458" spans="1:4" ht="16.5" hidden="1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313">
        <f>参数调整!$K$34*怪物掉落配置方案!$D4510</f>
        <v>15.922247055326858</v>
      </c>
    </row>
    <row r="2459" spans="1:4" ht="16.5" hidden="1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313">
        <f>参数调整!$K$34*怪物掉落配置方案!$D4511</f>
        <v>17.380042452907464</v>
      </c>
    </row>
    <row r="2460" spans="1:4" ht="16.5" hidden="1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313">
        <f>参数调整!$K$34*怪物掉落配置方案!$D4512</f>
        <v>5.912107288515956E-2</v>
      </c>
    </row>
    <row r="2461" spans="1:4" ht="16.5" hidden="1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313">
        <f>参数调整!$K$34*怪物掉落配置方案!$D4513</f>
        <v>7.4825107870280058E-2</v>
      </c>
    </row>
    <row r="2462" spans="1:4" ht="16.5" hidden="1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313">
        <f>参数调整!$K$34*怪物掉落配置方案!$D4514</f>
        <v>9.2376676383061795E-2</v>
      </c>
    </row>
    <row r="2463" spans="1:4" ht="16.5" hidden="1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313">
        <f>参数调整!$K$34*怪物掉落配置方案!$D4515</f>
        <v>0.11177577842350478</v>
      </c>
    </row>
    <row r="2464" spans="1:4" ht="16.5" hidden="1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313">
        <f>参数调整!$K$34*怪物掉落配置方案!$D4516</f>
        <v>0.13302241399160897</v>
      </c>
    </row>
    <row r="2465" spans="1:4" ht="16.5" hidden="1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313">
        <f>参数调整!$K$34*怪物掉落配置方案!$D4517</f>
        <v>0.15611658308737447</v>
      </c>
    </row>
    <row r="2466" spans="1:4" ht="16.5" hidden="1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313">
        <f>参数调整!$K$34*怪物掉落配置方案!$D4518</f>
        <v>0.18105828571080107</v>
      </c>
    </row>
    <row r="2467" spans="1:4" ht="16.5" hidden="1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313">
        <f>参数调整!$K$34*怪物掉落配置方案!$D4519</f>
        <v>0.20784752186188907</v>
      </c>
    </row>
    <row r="2468" spans="1:4" ht="16.5" hidden="1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313">
        <f>参数调整!$K$34*怪物掉落配置方案!$D4520</f>
        <v>0.23648429154063824</v>
      </c>
    </row>
    <row r="2469" spans="1:4" ht="16.5" hidden="1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313">
        <f>参数调整!$K$34*怪物掉落配置方案!$D4521</f>
        <v>0.29930043148112023</v>
      </c>
    </row>
    <row r="2470" spans="1:4" ht="16.5" hidden="1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313">
        <f>参数调整!$K$34*怪物掉落配置方案!$D4522</f>
        <v>0.36950670553224713</v>
      </c>
    </row>
    <row r="2471" spans="1:4" ht="16.5" hidden="1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313">
        <f>参数调整!$K$34*怪物掉落配置方案!$D4523</f>
        <v>0.44710311369401912</v>
      </c>
    </row>
    <row r="2472" spans="1:4" ht="16.5" hidden="1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313">
        <f>参数调整!$K$34*怪物掉落配置方案!$D4524</f>
        <v>0.57735422739413611</v>
      </c>
    </row>
    <row r="2473" spans="1:4" ht="16.5" hidden="1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313">
        <f>参数调整!$K$34*怪物掉落配置方案!$D4525</f>
        <v>0.83139008744755605</v>
      </c>
    </row>
    <row r="2474" spans="1:4" ht="16.5" hidden="1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313">
        <f>参数调整!$K$34*怪物掉落配置方案!$D4526</f>
        <v>1.1316142856925069</v>
      </c>
    </row>
    <row r="2475" spans="1:4" ht="16.5" hidden="1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313">
        <f>参数调整!$K$34*怪物掉落配置方案!$D4527</f>
        <v>1.2646366996841161</v>
      </c>
    </row>
    <row r="2476" spans="1:4" ht="16.5" hidden="1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313">
        <f>参数调整!$K$34*怪物掉落配置方案!$D4528</f>
        <v>1.4780268221289885</v>
      </c>
    </row>
    <row r="2477" spans="1:4" ht="16.5" hidden="1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313">
        <f>参数调整!$K$34*怪物掉落配置方案!$D4529</f>
        <v>1.7080447463228121</v>
      </c>
    </row>
    <row r="2478" spans="1:4" ht="16.5" hidden="1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313">
        <f>参数调整!$K$34*怪物掉落配置方案!$D4530</f>
        <v>1.9546904722655873</v>
      </c>
    </row>
    <row r="2479" spans="1:4" ht="16.5" hidden="1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313">
        <f>参数调整!$K$34*怪物掉落配置方案!$D4531</f>
        <v>2.217963999957314</v>
      </c>
    </row>
    <row r="2480" spans="1:4" ht="16.5" hidden="1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313">
        <f>参数调整!$K$34*怪物掉落配置方案!$D4532</f>
        <v>2.4978653293979911</v>
      </c>
    </row>
    <row r="2481" spans="1:4" ht="16.5" hidden="1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313">
        <f>参数调整!$K$34*怪物掉落配置方案!$D4533</f>
        <v>2.7943944605876196</v>
      </c>
    </row>
    <row r="2482" spans="1:4" ht="16.5" hidden="1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313">
        <f>参数调整!$K$34*怪物掉落配置方案!$D4534</f>
        <v>3.1075513935261987</v>
      </c>
    </row>
    <row r="2483" spans="1:4" ht="16.5" hidden="1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313">
        <f>参数调整!$K$34*怪物掉落配置方案!$D4535</f>
        <v>3.4373361282137282</v>
      </c>
    </row>
    <row r="2484" spans="1:4" ht="16.5" hidden="1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313">
        <f>参数调整!$K$34*怪物掉落配置方案!$D4536</f>
        <v>3.7837486646502114</v>
      </c>
    </row>
    <row r="2485" spans="1:4" ht="16.5" hidden="1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313">
        <f>参数调整!$K$34*怪物掉落配置方案!$D4537</f>
        <v>4.1467890028356447</v>
      </c>
    </row>
    <row r="2486" spans="1:4" ht="16.5" hidden="1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313">
        <f>参数调整!$K$34*怪物掉落配置方案!$D4538</f>
        <v>4.5264571427700284</v>
      </c>
    </row>
    <row r="2487" spans="1:4" ht="16.5" hidden="1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313">
        <f>参数调整!$K$34*怪物掉落配置方案!$D4539</f>
        <v>8.1231176692320292E-4</v>
      </c>
    </row>
    <row r="2488" spans="1:4" ht="16.5" hidden="1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313">
        <f>参数调整!$K$34*怪物掉落配置方案!$D4540</f>
        <v>1.0280820800121788E-3</v>
      </c>
    </row>
    <row r="2489" spans="1:4" ht="16.5" hidden="1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313">
        <f>参数调整!$K$34*怪物掉落配置方案!$D4541</f>
        <v>1.2692371358175045E-3</v>
      </c>
    </row>
    <row r="2490" spans="1:4" ht="16.5" hidden="1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313">
        <f>参数调整!$K$34*怪物掉落配置方案!$D4542</f>
        <v>1.5357769343391804E-3</v>
      </c>
    </row>
    <row r="2491" spans="1:4" ht="16.5" hidden="1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313">
        <f>参数调整!$K$34*怪物掉落配置方案!$D4543</f>
        <v>1.8277014755772062E-3</v>
      </c>
    </row>
    <row r="2492" spans="1:4" ht="16.5" hidden="1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313">
        <f>参数调整!$K$34*怪物掉落配置方案!$D4544</f>
        <v>2.1450107595315823E-3</v>
      </c>
    </row>
    <row r="2493" spans="1:4" ht="16.5" hidden="1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313">
        <f>参数调整!$K$34*怪物掉落配置方案!$D4545</f>
        <v>2.4877047862023084E-3</v>
      </c>
    </row>
    <row r="2494" spans="1:4" ht="16.5" hidden="1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313">
        <f>参数调整!$K$34*怪物掉落配置方案!$D4546</f>
        <v>2.8557835555893846E-3</v>
      </c>
    </row>
    <row r="2495" spans="1:4" ht="16.5" hidden="1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313">
        <f>参数调整!$K$34*怪物掉落配置方案!$D4547</f>
        <v>3.2492470676928125E-3</v>
      </c>
    </row>
    <row r="2496" spans="1:4" ht="16.5" hidden="1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313">
        <f>参数调整!$K$34*怪物掉落配置方案!$D4548</f>
        <v>4.1123283200487143E-3</v>
      </c>
    </row>
    <row r="2497" spans="1:4" ht="16.5" hidden="1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313">
        <f>参数调整!$K$34*怪物掉落配置方案!$D4549</f>
        <v>5.076948543270017E-3</v>
      </c>
    </row>
    <row r="2498" spans="1:4" ht="16.5" hidden="1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313">
        <f>参数调整!$K$34*怪物掉落配置方案!$D4550</f>
        <v>6.1431077373567218E-3</v>
      </c>
    </row>
    <row r="2499" spans="1:4" ht="16.5" hidden="1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313">
        <f>参数调整!$K$34*怪物掉落配置方案!$D4551</f>
        <v>7.9327320988594029E-3</v>
      </c>
    </row>
    <row r="2500" spans="1:4" ht="16.5" hidden="1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313">
        <f>参数调整!$K$34*怪物掉落配置方案!$D4552</f>
        <v>1.1423134222357537E-2</v>
      </c>
    </row>
    <row r="2501" spans="1:4" ht="16.5" hidden="1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313">
        <f>参数调整!$K$34*怪物掉落配置方案!$D4553</f>
        <v>1.5548154913764427E-2</v>
      </c>
    </row>
    <row r="2502" spans="1:4" ht="16.5" hidden="1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313">
        <f>参数调整!$K$34*怪物掉落配置方案!$D4554</f>
        <v>1.7375856389341637E-2</v>
      </c>
    </row>
    <row r="2503" spans="1:4" ht="16.5" hidden="1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313">
        <f>参数调整!$K$34*怪物掉落配置方案!$D4555</f>
        <v>2.0307794173080068E-2</v>
      </c>
    </row>
    <row r="2504" spans="1:4" ht="16.5" hidden="1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313">
        <f>参数调整!$K$34*怪物掉落配置方案!$D4556</f>
        <v>2.3468194641265649E-2</v>
      </c>
    </row>
    <row r="2505" spans="1:4" ht="16.5" hidden="1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313">
        <f>参数调整!$K$34*怪物掉落配置方案!$D4557</f>
        <v>2.6857057793898392E-2</v>
      </c>
    </row>
    <row r="2506" spans="1:4" ht="16.5" hidden="1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313">
        <f>参数调整!$K$34*怪物掉落配置方案!$D4558</f>
        <v>3.0474383630978288E-2</v>
      </c>
    </row>
    <row r="2507" spans="1:4" ht="16.5" hidden="1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313">
        <f>参数调整!$K$34*怪物掉落配置方案!$D4559</f>
        <v>3.4320172152505317E-2</v>
      </c>
    </row>
    <row r="2508" spans="1:4" ht="16.5" hidden="1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313">
        <f>参数调整!$K$34*怪物掉落配置方案!$D4560</f>
        <v>3.8394423358479514E-2</v>
      </c>
    </row>
    <row r="2509" spans="1:4" ht="16.5" hidden="1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313">
        <f>参数调整!$K$34*怪物掉落配置方案!$D4561</f>
        <v>4.2697137248900841E-2</v>
      </c>
    </row>
    <row r="2510" spans="1:4" ht="16.5" hidden="1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313">
        <f>参数调整!$K$34*怪物掉落配置方案!$D4562</f>
        <v>4.7228313823769331E-2</v>
      </c>
    </row>
    <row r="2511" spans="1:4" ht="16.5" hidden="1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313">
        <f>参数调整!$K$34*怪物掉落配置方案!$D4563</f>
        <v>5.1987953083084987E-2</v>
      </c>
    </row>
    <row r="2512" spans="1:4" ht="16.5" hidden="1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313">
        <f>参数调整!$K$34*怪物掉落配置方案!$D4564</f>
        <v>5.6976055026847772E-2</v>
      </c>
    </row>
    <row r="2513" spans="1:4" ht="16.5" hidden="1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313">
        <f>参数调整!$K$34*怪物掉落配置方案!$D4565</f>
        <v>6.2192619655057721E-2</v>
      </c>
    </row>
    <row r="2514" spans="1:4" ht="16.5" hidden="1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313">
        <f>参数调整!$K$34*怪物掉落配置方案!$D4566</f>
        <v>0</v>
      </c>
    </row>
    <row r="2515" spans="1:4" ht="16.5" hidden="1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313">
        <f>参数调整!$K$34*怪物掉落配置方案!$D4567</f>
        <v>0</v>
      </c>
    </row>
    <row r="2516" spans="1:4" ht="16.5" hidden="1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313">
        <f>参数调整!$K$34*怪物掉落配置方案!$D4568</f>
        <v>0</v>
      </c>
    </row>
    <row r="2517" spans="1:4" ht="16.5" hidden="1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313">
        <f>参数调整!$K$34*怪物掉落配置方案!$D4569</f>
        <v>0</v>
      </c>
    </row>
    <row r="2518" spans="1:4" ht="16.5" hidden="1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313">
        <f>参数调整!$K$34*怪物掉落配置方案!$D4570</f>
        <v>0</v>
      </c>
    </row>
    <row r="2519" spans="1:4" ht="16.5" hidden="1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313">
        <f>参数调整!$K$34*怪物掉落配置方案!$D4571</f>
        <v>0</v>
      </c>
    </row>
    <row r="2520" spans="1:4" ht="16.5" hidden="1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313">
        <f>参数调整!$K$34*怪物掉落配置方案!$D4572</f>
        <v>0</v>
      </c>
    </row>
    <row r="2521" spans="1:4" ht="16.5" hidden="1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313">
        <f>参数调整!$K$34*怪物掉落配置方案!$D4573</f>
        <v>0</v>
      </c>
    </row>
    <row r="2522" spans="1:4" ht="16.5" hidden="1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313">
        <f>参数调整!$K$34*怪物掉落配置方案!$D4574</f>
        <v>0</v>
      </c>
    </row>
    <row r="2523" spans="1:4" ht="16.5" hidden="1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313">
        <f>参数调整!$K$34*怪物掉落配置方案!$D4575</f>
        <v>0</v>
      </c>
    </row>
    <row r="2524" spans="1:4" ht="16.5" hidden="1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313">
        <f>参数调整!$K$34*怪物掉落配置方案!$D4576</f>
        <v>0</v>
      </c>
    </row>
    <row r="2525" spans="1:4" ht="16.5" hidden="1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313">
        <f>参数调整!$K$34*怪物掉落配置方案!$D4577</f>
        <v>0</v>
      </c>
    </row>
    <row r="2526" spans="1:4" ht="16.5" hidden="1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313">
        <f>参数调整!$K$34*怪物掉落配置方案!$D4578</f>
        <v>0</v>
      </c>
    </row>
    <row r="2527" spans="1:4" ht="16.5" hidden="1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313">
        <f>参数调整!$K$34*怪物掉落配置方案!$D4579</f>
        <v>0</v>
      </c>
    </row>
    <row r="2528" spans="1:4" ht="16.5" hidden="1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313">
        <f>参数调整!$K$34*怪物掉落配置方案!$D4580</f>
        <v>0</v>
      </c>
    </row>
    <row r="2529" spans="1:4" ht="16.5" hidden="1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313">
        <f>参数调整!$K$34*怪物掉落配置方案!$D4581</f>
        <v>0</v>
      </c>
    </row>
    <row r="2530" spans="1:4" ht="16.5" hidden="1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313">
        <f>参数调整!$K$34*怪物掉落配置方案!$D4582</f>
        <v>0</v>
      </c>
    </row>
    <row r="2531" spans="1:4" ht="16.5" hidden="1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313">
        <f>参数调整!$K$34*怪物掉落配置方案!$D4583</f>
        <v>0</v>
      </c>
    </row>
    <row r="2532" spans="1:4" ht="16.5" hidden="1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313">
        <f>参数调整!$K$34*怪物掉落配置方案!$D4584</f>
        <v>0</v>
      </c>
    </row>
    <row r="2533" spans="1:4" ht="16.5" hidden="1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313">
        <f>参数调整!$K$34*怪物掉落配置方案!$D4585</f>
        <v>0</v>
      </c>
    </row>
    <row r="2534" spans="1:4" ht="16.5" hidden="1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313">
        <f>参数调整!$K$34*怪物掉落配置方案!$D4586</f>
        <v>0</v>
      </c>
    </row>
    <row r="2535" spans="1:4" ht="16.5" hidden="1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313">
        <f>参数调整!$K$34*怪物掉落配置方案!$D4587</f>
        <v>0</v>
      </c>
    </row>
    <row r="2536" spans="1:4" ht="16.5" hidden="1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313">
        <f>参数调整!$K$34*怪物掉落配置方案!$D4588</f>
        <v>0</v>
      </c>
    </row>
    <row r="2537" spans="1:4" ht="16.5" hidden="1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313">
        <f>参数调整!$K$34*怪物掉落配置方案!$D4589</f>
        <v>0</v>
      </c>
    </row>
    <row r="2538" spans="1:4" ht="16.5" hidden="1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313">
        <f>参数调整!$K$34*怪物掉落配置方案!$D4590</f>
        <v>0</v>
      </c>
    </row>
    <row r="2539" spans="1:4" ht="16.5" hidden="1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313">
        <f>参数调整!$K$34*怪物掉落配置方案!$D4591</f>
        <v>0</v>
      </c>
    </row>
    <row r="2540" spans="1:4" ht="16.5" hidden="1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313">
        <f>参数调整!$K$34*怪物掉落配置方案!$D4592</f>
        <v>0</v>
      </c>
    </row>
    <row r="2541" spans="1:4" ht="16.5" hidden="1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313">
        <f>参数调整!$K$34*怪物掉落配置方案!$D4593</f>
        <v>4.0615588346160142E-3</v>
      </c>
    </row>
    <row r="2542" spans="1:4" ht="16.5" hidden="1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313">
        <f>参数调整!$K$34*怪物掉落配置方案!$D4594</f>
        <v>5.1404104000608939E-3</v>
      </c>
    </row>
    <row r="2543" spans="1:4" ht="16.5" hidden="1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313">
        <f>参数调整!$K$34*怪物掉落配置方案!$D4595</f>
        <v>6.3461856790875222E-3</v>
      </c>
    </row>
    <row r="2544" spans="1:4" ht="16.5" hidden="1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313">
        <f>参数调整!$K$34*怪物掉落配置方案!$D4596</f>
        <v>7.6788846716959024E-3</v>
      </c>
    </row>
    <row r="2545" spans="1:4" ht="16.5" hidden="1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313">
        <f>参数调整!$K$34*怪物掉落配置方案!$D4597</f>
        <v>9.1385073778860303E-3</v>
      </c>
    </row>
    <row r="2546" spans="1:4" ht="16.5" hidden="1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313">
        <f>参数调整!$K$34*怪物掉落配置方案!$D4598</f>
        <v>1.0725053797657914E-2</v>
      </c>
    </row>
    <row r="2547" spans="1:4" ht="16.5" hidden="1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313">
        <f>参数调整!$K$34*怪物掉落配置方案!$D4599</f>
        <v>1.2438523931011542E-2</v>
      </c>
    </row>
    <row r="2548" spans="1:4" ht="16.5" hidden="1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313">
        <f>参数调整!$K$34*怪物掉落配置方案!$D4600</f>
        <v>1.4278917777946924E-2</v>
      </c>
    </row>
    <row r="2549" spans="1:4" ht="16.5" hidden="1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313">
        <f>参数调整!$K$34*怪物掉落配置方案!$D4601</f>
        <v>1.624623533846406E-2</v>
      </c>
    </row>
    <row r="2550" spans="1:4" ht="16.5" hidden="1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313">
        <f>参数调整!$K$34*怪物掉落配置方案!$D4602</f>
        <v>2.0561641600243572E-2</v>
      </c>
    </row>
    <row r="2551" spans="1:4" ht="16.5" hidden="1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313">
        <f>参数调整!$K$34*怪物掉落配置方案!$D4603</f>
        <v>2.5384742716350089E-2</v>
      </c>
    </row>
    <row r="2552" spans="1:4" ht="16.5" hidden="1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313">
        <f>参数调整!$K$34*怪物掉落配置方案!$D4604</f>
        <v>3.071553868678361E-2</v>
      </c>
    </row>
    <row r="2553" spans="1:4" ht="16.5" hidden="1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313">
        <f>参数调整!$K$34*怪物掉落配置方案!$D4605</f>
        <v>3.9663660494297016E-2</v>
      </c>
    </row>
    <row r="2554" spans="1:4" ht="16.5" hidden="1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313">
        <f>参数调整!$K$34*怪物掉落配置方案!$D4606</f>
        <v>5.711567111178769E-2</v>
      </c>
    </row>
    <row r="2555" spans="1:4" ht="16.5" hidden="1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313">
        <f>参数调整!$K$34*怪物掉落配置方案!$D4607</f>
        <v>7.7740774568822141E-2</v>
      </c>
    </row>
    <row r="2556" spans="1:4" ht="16.5" hidden="1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313">
        <f>参数调整!$K$34*怪物掉落配置方案!$D4608</f>
        <v>8.6879281946708187E-2</v>
      </c>
    </row>
    <row r="2557" spans="1:4" ht="16.5" hidden="1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313">
        <f>参数调整!$K$34*怪物掉落配置方案!$D4609</f>
        <v>0.10153897086540035</v>
      </c>
    </row>
    <row r="2558" spans="1:4" ht="16.5" hidden="1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313">
        <f>参数调整!$K$34*怪物掉落配置方案!$D4610</f>
        <v>0.11734097320632826</v>
      </c>
    </row>
    <row r="2559" spans="1:4" ht="16.5" hidden="1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313">
        <f>参数调整!$K$34*怪物掉落配置方案!$D4611</f>
        <v>0.13428528896949196</v>
      </c>
    </row>
    <row r="2560" spans="1:4" ht="16.5" hidden="1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313">
        <f>参数调整!$K$34*怪物掉落配置方案!$D4612</f>
        <v>0.15237191815489143</v>
      </c>
    </row>
    <row r="2561" spans="1:4" ht="16.5" hidden="1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313">
        <f>参数调整!$K$34*怪物掉落配置方案!$D4613</f>
        <v>0.17160086076252662</v>
      </c>
    </row>
    <row r="2562" spans="1:4" ht="16.5" hidden="1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313">
        <f>参数调整!$K$34*怪物掉落配置方案!$D4614</f>
        <v>0.19197211679239756</v>
      </c>
    </row>
    <row r="2563" spans="1:4" ht="16.5" hidden="1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313">
        <f>参数调整!$K$34*怪物掉落配置方案!$D4615</f>
        <v>0.2134856862445042</v>
      </c>
    </row>
    <row r="2564" spans="1:4" ht="16.5" hidden="1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313">
        <f>参数调整!$K$34*怪物掉落配置方案!$D4616</f>
        <v>0.23614156911884668</v>
      </c>
    </row>
    <row r="2565" spans="1:4" ht="16.5" hidden="1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313">
        <f>参数调整!$K$34*怪物掉落配置方案!$D4617</f>
        <v>0.25993976541542496</v>
      </c>
    </row>
    <row r="2566" spans="1:4" ht="16.5" hidden="1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313">
        <f>参数调整!$K$34*怪物掉落配置方案!$D4618</f>
        <v>0.28488027513423891</v>
      </c>
    </row>
    <row r="2567" spans="1:4" ht="16.5" hidden="1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313">
        <f>参数调整!$K$34*怪物掉落配置方案!$D4619</f>
        <v>0.31096309827528862</v>
      </c>
    </row>
    <row r="2568" spans="1:4" ht="16.5" hidden="1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313">
        <f>参数调整!$K$34*怪物掉落配置方案!$D4620</f>
        <v>0.65001470483839885</v>
      </c>
    </row>
    <row r="2569" spans="1:4" ht="16.5" hidden="1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313">
        <f>参数调整!$K$34*怪物掉落配置方案!$D4621</f>
        <v>0.82267486081109875</v>
      </c>
    </row>
    <row r="2570" spans="1:4" ht="16.5" hidden="1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313">
        <f>参数调整!$K$34*怪物掉落配置方案!$D4622</f>
        <v>1.0156479763099984</v>
      </c>
    </row>
    <row r="2571" spans="1:4" ht="16.5" hidden="1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313">
        <f>参数调整!$K$34*怪物掉落配置方案!$D4623</f>
        <v>1.2289340513350981</v>
      </c>
    </row>
    <row r="2572" spans="1:4" ht="16.5" hidden="1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313">
        <f>参数调整!$K$34*怪物掉落配置方案!$D4624</f>
        <v>1.4625330858863972</v>
      </c>
    </row>
    <row r="2573" spans="1:4" ht="16.5" hidden="1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313">
        <f>参数调整!$K$34*怪物掉落配置方案!$D4625</f>
        <v>1.7164450799638975</v>
      </c>
    </row>
    <row r="2574" spans="1:4" ht="16.5" hidden="1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313">
        <f>参数调整!$K$34*怪物掉落配置方案!$D4626</f>
        <v>1.9906700335675966</v>
      </c>
    </row>
    <row r="2575" spans="1:4" ht="16.5" hidden="1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313">
        <f>参数调整!$K$34*怪物掉落配置方案!$D4627</f>
        <v>2.2852079466974962</v>
      </c>
    </row>
    <row r="2576" spans="1:4" ht="16.5" hidden="1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313">
        <f>参数调整!$K$34*怪物掉落配置方案!$D4628</f>
        <v>2.6000588193535963</v>
      </c>
    </row>
    <row r="2577" spans="1:4" ht="16.5" hidden="1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313">
        <f>参数调整!$K$34*怪物掉落配置方案!$D4629</f>
        <v>3.290699443244395</v>
      </c>
    </row>
    <row r="2578" spans="1:4" ht="16.5" hidden="1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313">
        <f>参数调整!$K$34*怪物掉落配置方案!$D4630</f>
        <v>4.0625919052399917</v>
      </c>
    </row>
    <row r="2579" spans="1:4" ht="16.5" hidden="1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313">
        <f>参数调整!$K$34*怪物掉落配置方案!$D4631</f>
        <v>4.9157362053403926</v>
      </c>
    </row>
    <row r="2580" spans="1:4" ht="16.5" hidden="1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313">
        <f>参数调整!$K$34*怪物掉落配置方案!$D4632</f>
        <v>6.3477998519374887</v>
      </c>
    </row>
    <row r="2581" spans="1:4" ht="16.5" hidden="1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313">
        <f>参数调整!$K$34*怪物掉落配置方案!$D4633</f>
        <v>9.1408317867899829</v>
      </c>
    </row>
    <row r="2582" spans="1:4" ht="16.5" hidden="1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313">
        <f>参数调整!$K$34*怪物掉落配置方案!$D4634</f>
        <v>12.441687709797478</v>
      </c>
    </row>
    <row r="2583" spans="1:4" ht="16.5" hidden="1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313">
        <f>参数调整!$K$34*怪物掉落配置方案!$D4635</f>
        <v>13.904220795683878</v>
      </c>
    </row>
    <row r="2584" spans="1:4" ht="16.5" hidden="1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313">
        <f>参数调整!$K$34*怪物掉落配置方案!$D4636</f>
        <v>16.250367620959967</v>
      </c>
    </row>
    <row r="2585" spans="1:4" ht="16.5" hidden="1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313">
        <f>参数调整!$K$34*怪物掉落配置方案!$D4637</f>
        <v>18.779331081971865</v>
      </c>
    </row>
    <row r="2586" spans="1:4" ht="16.5" hidden="1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313">
        <f>参数调整!$K$34*怪物掉落配置方案!$D4638</f>
        <v>21.49111117871956</v>
      </c>
    </row>
    <row r="2587" spans="1:4" ht="16.5" hidden="1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313">
        <f>参数调整!$K$34*怪物掉落配置方案!$D4639</f>
        <v>24.38570791120306</v>
      </c>
    </row>
    <row r="2588" spans="1:4" ht="16.5" hidden="1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313">
        <f>参数调整!$K$34*怪物掉落配置方案!$D4640</f>
        <v>27.463121279422353</v>
      </c>
    </row>
    <row r="2589" spans="1:4" ht="16.5" hidden="1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313">
        <f>参数调整!$K$34*怪物掉落配置方案!$D4641</f>
        <v>30.723351283377447</v>
      </c>
    </row>
    <row r="2590" spans="1:4" ht="16.5" hidden="1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313">
        <f>参数调整!$K$34*怪物掉落配置方案!$D4642</f>
        <v>34.166397923068345</v>
      </c>
    </row>
    <row r="2591" spans="1:4" ht="16.5" hidden="1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313">
        <f>参数调整!$K$34*怪物掉落配置方案!$D4643</f>
        <v>37.792261198495034</v>
      </c>
    </row>
    <row r="2592" spans="1:4" ht="16.5" hidden="1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313">
        <f>参数调整!$K$34*怪物掉落配置方案!$D4644</f>
        <v>41.600941109657526</v>
      </c>
    </row>
    <row r="2593" spans="1:4" ht="16.5" hidden="1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313">
        <f>参数调整!$K$34*怪物掉落配置方案!$D4645</f>
        <v>45.592437656555816</v>
      </c>
    </row>
    <row r="2594" spans="1:4" ht="16.5" hidden="1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313">
        <f>参数调整!$K$34*怪物掉落配置方案!$D4646</f>
        <v>49.766750839189925</v>
      </c>
    </row>
    <row r="2595" spans="1:4" ht="16.5" hidden="1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313">
        <f>参数调整!$K$34*怪物掉落配置方案!$D4647</f>
        <v>2.9243223609235298E-3</v>
      </c>
    </row>
    <row r="2596" spans="1:4" ht="16.5" hidden="1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313">
        <f>参数调整!$K$34*怪物掉落配置方案!$D4648</f>
        <v>3.7010954880438434E-3</v>
      </c>
    </row>
    <row r="2597" spans="1:4" ht="16.5" hidden="1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313">
        <f>参数调整!$K$34*怪物掉落配置方案!$D4649</f>
        <v>4.5692536889430152E-3</v>
      </c>
    </row>
    <row r="2598" spans="1:4" ht="16.5" hidden="1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313">
        <f>参数调整!$K$34*怪物掉落配置方案!$D4650</f>
        <v>5.5287969636210492E-3</v>
      </c>
    </row>
    <row r="2599" spans="1:4" ht="16.5" hidden="1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313">
        <f>参数调整!$K$34*怪物掉落配置方案!$D4651</f>
        <v>6.5797253120779406E-3</v>
      </c>
    </row>
    <row r="2600" spans="1:4" ht="16.5" hidden="1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313">
        <f>参数调整!$K$34*怪物掉落配置方案!$D4652</f>
        <v>7.7220387343136954E-3</v>
      </c>
    </row>
    <row r="2601" spans="1:4" ht="16.5" hidden="1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313">
        <f>参数调整!$K$34*怪物掉落配置方案!$D4653</f>
        <v>8.9557372303283086E-3</v>
      </c>
    </row>
    <row r="2602" spans="1:4" ht="16.5" hidden="1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313">
        <f>参数调整!$K$34*怪物掉落配置方案!$D4654</f>
        <v>1.0280820800121786E-2</v>
      </c>
    </row>
    <row r="2603" spans="1:4" ht="16.5" hidden="1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313">
        <f>参数调整!$K$34*怪物掉落配置方案!$D4655</f>
        <v>1.1697289443694119E-2</v>
      </c>
    </row>
    <row r="2604" spans="1:4" ht="16.5" hidden="1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313">
        <f>参数调整!$K$34*怪物掉落配置方案!$D4656</f>
        <v>1.4804381952175373E-2</v>
      </c>
    </row>
    <row r="2605" spans="1:4" ht="16.5" hidden="1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313">
        <f>参数调整!$K$34*怪物掉落配置方案!$D4657</f>
        <v>1.8277014755772061E-2</v>
      </c>
    </row>
    <row r="2606" spans="1:4" ht="16.5" hidden="1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313">
        <f>参数调整!$K$34*怪物掉落配置方案!$D4658</f>
        <v>2.2115187854484197E-2</v>
      </c>
    </row>
    <row r="2607" spans="1:4" ht="16.5" hidden="1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313">
        <f>参数调整!$K$34*怪物掉落配置方案!$D4659</f>
        <v>2.8557835555893845E-2</v>
      </c>
    </row>
    <row r="2608" spans="1:4" ht="16.5" hidden="1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313">
        <f>参数调整!$K$34*怪物掉落配置方案!$D4660</f>
        <v>4.1123283200487137E-2</v>
      </c>
    </row>
    <row r="2609" spans="1:4" ht="16.5" hidden="1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313">
        <f>参数调整!$K$34*怪物掉落配置方案!$D4661</f>
        <v>5.5973357689551931E-2</v>
      </c>
    </row>
    <row r="2610" spans="1:4" ht="16.5" hidden="1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313">
        <f>参数调整!$K$34*怪物掉落配置方案!$D4662</f>
        <v>6.2553083001629886E-2</v>
      </c>
    </row>
    <row r="2611" spans="1:4" ht="16.5" hidden="1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313">
        <f>参数调整!$K$34*怪物掉落配置方案!$D4663</f>
        <v>7.3108059023088243E-2</v>
      </c>
    </row>
    <row r="2612" spans="1:4" ht="16.5" hidden="1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313">
        <f>参数调整!$K$34*怪物掉落配置方案!$D4664</f>
        <v>8.4485500708556344E-2</v>
      </c>
    </row>
    <row r="2613" spans="1:4" ht="16.5" hidden="1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313">
        <f>参数调整!$K$34*怪物掉落配置方案!$D4665</f>
        <v>9.6685408058034189E-2</v>
      </c>
    </row>
    <row r="2614" spans="1:4" ht="16.5" hidden="1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313">
        <f>参数调整!$K$34*怪物掉落配置方案!$D4666</f>
        <v>0.10970778107152182</v>
      </c>
    </row>
    <row r="2615" spans="1:4" ht="16.5" hidden="1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313">
        <f>参数调整!$K$34*怪物掉落配置方案!$D4667</f>
        <v>0.12355261974901913</v>
      </c>
    </row>
    <row r="2616" spans="1:4" ht="16.5" hidden="1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313">
        <f>参数调整!$K$34*怪物掉落配置方案!$D4668</f>
        <v>0.13821992409052625</v>
      </c>
    </row>
    <row r="2617" spans="1:4" ht="16.5" hidden="1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313">
        <f>参数调整!$K$34*怪物掉落配置方案!$D4669</f>
        <v>0.15370969409604301</v>
      </c>
    </row>
    <row r="2618" spans="1:4" ht="16.5" hidden="1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313">
        <f>参数调整!$K$34*怪物掉落配置方案!$D4670</f>
        <v>0.17002192976556954</v>
      </c>
    </row>
    <row r="2619" spans="1:4" ht="16.5" hidden="1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313">
        <f>参数调整!$K$34*怪物掉落配置方案!$D4671</f>
        <v>0.18715663109910591</v>
      </c>
    </row>
    <row r="2620" spans="1:4" ht="16.5" hidden="1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313">
        <f>参数调整!$K$34*怪物掉落配置方案!$D4672</f>
        <v>0.20511379809665195</v>
      </c>
    </row>
    <row r="2621" spans="1:4" ht="16.5" hidden="1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313">
        <f>参数调整!$K$34*怪物掉落配置方案!$D4673</f>
        <v>0.22389343075820775</v>
      </c>
    </row>
    <row r="2622" spans="1:4" ht="16.5" hidden="1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313">
        <f>参数调整!$K$34*怪物掉落配置方案!$D4674</f>
        <v>4.5400927223921542E-2</v>
      </c>
    </row>
    <row r="2623" spans="1:4" ht="16.5" hidden="1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313">
        <f>参数调整!$K$34*怪物掉落配置方案!$D4675</f>
        <v>5.7460548517775711E-2</v>
      </c>
    </row>
    <row r="2624" spans="1:4" ht="16.5" hidden="1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313">
        <f>参数调整!$K$34*怪物掉落配置方案!$D4676</f>
        <v>7.0938948787377401E-2</v>
      </c>
    </row>
    <row r="2625" spans="1:4" ht="16.5" hidden="1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313">
        <f>参数调整!$K$34*怪物掉落配置方案!$D4677</f>
        <v>8.5836128032726652E-2</v>
      </c>
    </row>
    <row r="2626" spans="1:4" ht="16.5" hidden="1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313">
        <f>参数调整!$K$34*怪物掉落配置方案!$D4678</f>
        <v>0.10215208625382344</v>
      </c>
    </row>
    <row r="2627" spans="1:4" ht="16.5" hidden="1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313">
        <f>参数调整!$K$34*怪物掉落配置方案!$D4679</f>
        <v>0.11988682345066783</v>
      </c>
    </row>
    <row r="2628" spans="1:4" ht="16.5" hidden="1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313">
        <f>参数调整!$K$34*怪物掉落配置方案!$D4680</f>
        <v>0.13904033962325971</v>
      </c>
    </row>
    <row r="2629" spans="1:4" ht="16.5" hidden="1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313">
        <f>参数调整!$K$34*怪物掉落配置方案!$D4681</f>
        <v>0.15961263477159918</v>
      </c>
    </row>
    <row r="2630" spans="1:4" ht="16.5" hidden="1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313">
        <f>参数调整!$K$34*怪物掉落配置方案!$D4682</f>
        <v>0.18160370889568617</v>
      </c>
    </row>
    <row r="2631" spans="1:4" ht="16.5" hidden="1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313">
        <f>参数调整!$K$34*怪物掉落配置方案!$D4683</f>
        <v>0.22984219407110279</v>
      </c>
    </row>
    <row r="2632" spans="1:4" ht="16.5" hidden="1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313">
        <f>参数调整!$K$34*怪物掉落配置方案!$D4684</f>
        <v>0.2837557951495096</v>
      </c>
    </row>
    <row r="2633" spans="1:4" ht="16.5" hidden="1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313">
        <f>参数调整!$K$34*怪物掉落配置方案!$D4685</f>
        <v>0.34334451213090661</v>
      </c>
    </row>
    <row r="2634" spans="1:4" ht="16.5" hidden="1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313">
        <f>参数调整!$K$34*怪物掉落配置方案!$D4686</f>
        <v>0.44336842992110875</v>
      </c>
    </row>
    <row r="2635" spans="1:4" ht="16.5" hidden="1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313">
        <f>参数调整!$K$34*怪物掉落配置方案!$D4687</f>
        <v>0.63845053908639648</v>
      </c>
    </row>
    <row r="2636" spans="1:4" ht="16.5" hidden="1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313">
        <f>参数调整!$K$34*怪物掉落配置方案!$D4688</f>
        <v>0.86900212264537313</v>
      </c>
    </row>
    <row r="2637" spans="1:4" ht="16.5" hidden="1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313">
        <f>参数调整!$K$34*怪物掉落配置方案!$D4689</f>
        <v>0.97115420889919668</v>
      </c>
    </row>
    <row r="2638" spans="1:4" ht="16.5" hidden="1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313">
        <f>参数调整!$K$34*怪物掉落配置方案!$D4690</f>
        <v>1.1350231805980384</v>
      </c>
    </row>
    <row r="2639" spans="1:4" ht="16.5" hidden="1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313">
        <f>参数调整!$K$34*怪物掉落配置方案!$D4691</f>
        <v>1.3116611630786079</v>
      </c>
    </row>
    <row r="2640" spans="1:4" ht="16.5" hidden="1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313">
        <f>参数调整!$K$34*怪物掉落配置方案!$D4692</f>
        <v>1.5010681563409056</v>
      </c>
    </row>
    <row r="2641" spans="1:4" ht="16.5" hidden="1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313">
        <f>参数调整!$K$34*怪物掉落配置方案!$D4693</f>
        <v>1.7032441603849318</v>
      </c>
    </row>
    <row r="2642" spans="1:4" ht="16.5" hidden="1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313">
        <f>参数调整!$K$34*怪物掉落配置方案!$D4694</f>
        <v>1.9181891752106845</v>
      </c>
    </row>
    <row r="2643" spans="1:4" ht="16.5" hidden="1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313">
        <f>参数调整!$K$34*怪物掉落配置方案!$D4695</f>
        <v>2.1459032008181667</v>
      </c>
    </row>
    <row r="2644" spans="1:4" ht="16.5" hidden="1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313">
        <f>参数调整!$K$34*怪物掉落配置方案!$D4696</f>
        <v>2.3863862372073754</v>
      </c>
    </row>
    <row r="2645" spans="1:4" ht="16.5" hidden="1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313">
        <f>参数调整!$K$34*怪物掉落配置方案!$D4697</f>
        <v>2.6396382843783122</v>
      </c>
    </row>
    <row r="2646" spans="1:4" ht="16.5" hidden="1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313">
        <f>参数调整!$K$34*怪物掉落配置方案!$D4698</f>
        <v>2.9056593423309787</v>
      </c>
    </row>
    <row r="2647" spans="1:4" ht="16.5" hidden="1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313">
        <f>参数调整!$K$34*怪物掉落配置方案!$D4699</f>
        <v>3.1844494110653718</v>
      </c>
    </row>
    <row r="2648" spans="1:4" ht="16.5" hidden="1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313">
        <f>参数调整!$K$34*怪物掉落配置方案!$D4700</f>
        <v>3.4760084905814925</v>
      </c>
    </row>
    <row r="2649" spans="1:4" ht="16.5" hidden="1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313">
        <f>参数调整!$K$34*怪物掉落配置方案!$D4701</f>
        <v>0.25942556279562545</v>
      </c>
    </row>
    <row r="2650" spans="1:4" ht="16.5" hidden="1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313">
        <f>参数调整!$K$34*怪物掉落配置方案!$D4702</f>
        <v>0.32833547791321349</v>
      </c>
    </row>
    <row r="2651" spans="1:4" ht="16.5" hidden="1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313">
        <f>参数调整!$K$34*怪物掉落配置方案!$D4703</f>
        <v>0.40535244186816466</v>
      </c>
    </row>
    <row r="2652" spans="1:4" ht="16.5" hidden="1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313">
        <f>参数调整!$K$34*怪物掉落配置方案!$D4704</f>
        <v>0.49047645466047934</v>
      </c>
    </row>
    <row r="2653" spans="1:4" ht="16.5" hidden="1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313">
        <f>参数调整!$K$34*怪物掉落配置方案!$D4705</f>
        <v>0.58370751629015694</v>
      </c>
    </row>
    <row r="2654" spans="1:4" ht="16.5" hidden="1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313">
        <f>参数调整!$K$34*怪物掉落配置方案!$D4706</f>
        <v>0.68504562675719838</v>
      </c>
    </row>
    <row r="2655" spans="1:4" ht="16.5" hidden="1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313">
        <f>参数调整!$K$34*怪物掉落配置方案!$D4707</f>
        <v>0.79449078606160262</v>
      </c>
    </row>
    <row r="2656" spans="1:4" ht="16.5" hidden="1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313">
        <f>参数调整!$K$34*怪物掉落配置方案!$D4708</f>
        <v>0.91204299420337043</v>
      </c>
    </row>
    <row r="2657" spans="1:4" ht="16.5" hidden="1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313">
        <f>参数调整!$K$34*怪物掉落配置方案!$D4709</f>
        <v>1.0377022511825018</v>
      </c>
    </row>
    <row r="2658" spans="1:4" ht="16.5" hidden="1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313">
        <f>参数调整!$K$34*怪物掉落配置方案!$D4710</f>
        <v>1.3133419116528537</v>
      </c>
    </row>
    <row r="2659" spans="1:4" ht="16.5" hidden="1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313">
        <f>参数调整!$K$34*怪物掉落配置方案!$D4711</f>
        <v>1.6214097674726584</v>
      </c>
    </row>
    <row r="2660" spans="1:4" ht="16.5" hidden="1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313">
        <f>参数调整!$K$34*怪物掉落配置方案!$D4712</f>
        <v>1.9619058186419174</v>
      </c>
    </row>
    <row r="2661" spans="1:4" ht="16.5" hidden="1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313">
        <f>参数调整!$K$34*怪物掉落配置方案!$D4713</f>
        <v>2.533452761676029</v>
      </c>
    </row>
    <row r="2662" spans="1:4" ht="16.5" hidden="1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313">
        <f>参数调整!$K$34*怪物掉落配置方案!$D4714</f>
        <v>3.6481719768134817</v>
      </c>
    </row>
    <row r="2663" spans="1:4" ht="16.5" hidden="1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313">
        <f>参数调整!$K$34*怪物掉落配置方案!$D4715</f>
        <v>4.965567412885016</v>
      </c>
    </row>
    <row r="2664" spans="1:4" ht="16.5" hidden="1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313">
        <f>参数调整!$K$34*怪物掉落配置方案!$D4716</f>
        <v>5.5492749291751746</v>
      </c>
    </row>
    <row r="2665" spans="1:4" ht="16.5" hidden="1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313">
        <f>参数调整!$K$34*怪物掉落配置方案!$D4717</f>
        <v>6.4856390698906337</v>
      </c>
    </row>
    <row r="2666" spans="1:4" ht="16.5" hidden="1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313">
        <f>参数调整!$K$34*怪物掉落配置方案!$D4718</f>
        <v>7.4949666501423637</v>
      </c>
    </row>
    <row r="2667" spans="1:4" ht="16.5" hidden="1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313">
        <f>参数调整!$K$34*怪物掉落配置方案!$D4719</f>
        <v>8.5772576699303631</v>
      </c>
    </row>
    <row r="2668" spans="1:4" ht="16.5" hidden="1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313">
        <f>参数调整!$K$34*怪物掉落配置方案!$D4720</f>
        <v>9.7325121292546353</v>
      </c>
    </row>
    <row r="2669" spans="1:4" ht="16.5" hidden="1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313">
        <f>参数调整!$K$34*怪物掉落配置方案!$D4721</f>
        <v>10.960730028115172</v>
      </c>
    </row>
    <row r="2670" spans="1:4" ht="16.5" hidden="1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313">
        <f>参数调整!$K$34*怪物掉落配置方案!$D4722</f>
        <v>12.261911366511983</v>
      </c>
    </row>
    <row r="2671" spans="1:4" ht="16.5" hidden="1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313">
        <f>参数调整!$K$34*怪物掉落配置方案!$D4723</f>
        <v>13.636056144445059</v>
      </c>
    </row>
    <row r="2672" spans="1:4" ht="16.5" hidden="1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313">
        <f>参数调整!$K$34*怪物掉落配置方案!$D4724</f>
        <v>15.083164361914406</v>
      </c>
    </row>
    <row r="2673" spans="1:4" ht="16.5" hidden="1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313">
        <f>参数调整!$K$34*怪物掉落配置方案!$D4725</f>
        <v>16.603236018920025</v>
      </c>
    </row>
    <row r="2674" spans="1:4" ht="16.5" hidden="1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313">
        <f>参数调整!$K$34*怪物掉落配置方案!$D4726</f>
        <v>18.196271115461911</v>
      </c>
    </row>
    <row r="2675" spans="1:4" ht="16.5" hidden="1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313">
        <f>参数调整!$K$34*怪物掉落配置方案!$D4727</f>
        <v>19.862269651540068</v>
      </c>
    </row>
    <row r="2676" spans="1:4" ht="16.5" hidden="1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313">
        <f>参数调整!$K$34*怪物掉落配置方案!$D4728</f>
        <v>3.2492470676928121E-4</v>
      </c>
    </row>
    <row r="2677" spans="1:4" ht="16.5" hidden="1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313">
        <f>参数调整!$K$34*怪物掉落配置方案!$D4729</f>
        <v>4.112328320048715E-4</v>
      </c>
    </row>
    <row r="2678" spans="1:4" ht="16.5" hidden="1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313">
        <f>参数调整!$K$34*怪物掉落配置方案!$D4730</f>
        <v>5.0769485432700177E-4</v>
      </c>
    </row>
    <row r="2679" spans="1:4" ht="16.5" hidden="1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313">
        <f>参数调整!$K$34*怪物掉落配置方案!$D4731</f>
        <v>6.1431077373567218E-4</v>
      </c>
    </row>
    <row r="2680" spans="1:4" ht="16.5" hidden="1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313">
        <f>参数调整!$K$34*怪物掉落配置方案!$D4732</f>
        <v>7.3108059023088245E-4</v>
      </c>
    </row>
    <row r="2681" spans="1:4" ht="16.5" hidden="1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313">
        <f>参数调整!$K$34*怪物掉落配置方案!$D4733</f>
        <v>8.5800430381263325E-4</v>
      </c>
    </row>
    <row r="2682" spans="1:4" ht="16.5" hidden="1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313">
        <f>参数调整!$K$34*怪物掉落配置方案!$D4734</f>
        <v>9.9508191448092337E-4</v>
      </c>
    </row>
    <row r="2683" spans="1:4" ht="16.5" hidden="1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313">
        <f>参数调整!$K$34*怪物掉落配置方案!$D4735</f>
        <v>1.142313422235754E-3</v>
      </c>
    </row>
    <row r="2684" spans="1:4" ht="16.5" hidden="1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313">
        <f>参数调整!$K$34*怪物掉落配置方案!$D4736</f>
        <v>1.2996988270771248E-3</v>
      </c>
    </row>
    <row r="2685" spans="1:4" ht="16.5" hidden="1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313">
        <f>参数调整!$K$34*怪物掉落配置方案!$D4737</f>
        <v>1.644931328019486E-3</v>
      </c>
    </row>
    <row r="2686" spans="1:4" ht="16.5" hidden="1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313">
        <f>参数调整!$K$34*怪物掉落配置方案!$D4738</f>
        <v>2.0307794173080071E-3</v>
      </c>
    </row>
    <row r="2687" spans="1:4" ht="16.5" hidden="1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313">
        <f>参数调整!$K$34*怪物掉落配置方案!$D4739</f>
        <v>2.4572430949426887E-3</v>
      </c>
    </row>
    <row r="2688" spans="1:4" ht="16.5" hidden="1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313">
        <f>参数调整!$K$34*怪物掉落配置方案!$D4740</f>
        <v>3.1730928395437611E-3</v>
      </c>
    </row>
    <row r="2689" spans="1:4" ht="16.5" hidden="1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313">
        <f>参数调整!$K$34*怪物掉落配置方案!$D4741</f>
        <v>4.5692536889430152E-3</v>
      </c>
    </row>
    <row r="2690" spans="1:4" ht="16.5" hidden="1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313">
        <f>参数调整!$K$34*怪物掉落配置方案!$D4742</f>
        <v>6.2192619655057693E-3</v>
      </c>
    </row>
    <row r="2691" spans="1:4" ht="16.5" hidden="1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313">
        <f>参数调整!$K$34*怪物掉落配置方案!$D4743</f>
        <v>6.9503425557366555E-3</v>
      </c>
    </row>
    <row r="2692" spans="1:4" ht="16.5" hidden="1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313">
        <f>参数调整!$K$34*怪物掉落配置方案!$D4744</f>
        <v>8.1231176692320283E-3</v>
      </c>
    </row>
    <row r="2693" spans="1:4" ht="16.5" hidden="1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313">
        <f>参数调整!$K$34*怪物掉落配置方案!$D4745</f>
        <v>9.3872778565062629E-3</v>
      </c>
    </row>
    <row r="2694" spans="1:4" ht="16.5" hidden="1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313">
        <f>参数调整!$K$34*怪物掉落配置方案!$D4746</f>
        <v>1.0742823117559357E-2</v>
      </c>
    </row>
    <row r="2695" spans="1:4" ht="16.5" hidden="1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313">
        <f>参数调整!$K$34*怪物掉落配置方案!$D4747</f>
        <v>1.2189753452391316E-2</v>
      </c>
    </row>
    <row r="2696" spans="1:4" ht="16.5" hidden="1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313">
        <f>参数调整!$K$34*怪物掉落配置方案!$D4748</f>
        <v>1.3728068861002128E-2</v>
      </c>
    </row>
    <row r="2697" spans="1:4" ht="16.5" hidden="1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313">
        <f>参数调整!$K$34*怪物掉落配置方案!$D4749</f>
        <v>1.5357769343391805E-2</v>
      </c>
    </row>
    <row r="2698" spans="1:4" ht="16.5" hidden="1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313">
        <f>参数调整!$K$34*怪物掉落配置方案!$D4750</f>
        <v>1.7078854899560337E-2</v>
      </c>
    </row>
    <row r="2699" spans="1:4" ht="16.5" hidden="1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313">
        <f>参数调整!$K$34*怪物掉落配置方案!$D4751</f>
        <v>1.889132552950773E-2</v>
      </c>
    </row>
    <row r="2700" spans="1:4" ht="16.5" hidden="1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313">
        <f>参数调整!$K$34*怪物掉落配置方案!$D4752</f>
        <v>2.0795181233233997E-2</v>
      </c>
    </row>
    <row r="2701" spans="1:4" ht="16.5" hidden="1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313">
        <f>参数调整!$K$34*怪物掉落配置方案!$D4753</f>
        <v>2.2790422010739109E-2</v>
      </c>
    </row>
    <row r="2702" spans="1:4" ht="16.5" hidden="1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313">
        <f>参数调整!$K$34*怪物掉落配置方案!$D4754</f>
        <v>2.4877047862023091E-2</v>
      </c>
    </row>
    <row r="2703" spans="1:4" ht="16.5" hidden="1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313">
        <f>参数调整!$K$34*怪物掉落配置方案!$D4755</f>
        <v>5.912107288515956E-2</v>
      </c>
    </row>
    <row r="2704" spans="1:4" ht="16.5" hidden="1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313">
        <f>参数调整!$K$34*怪物掉落配置方案!$D4756</f>
        <v>7.4825107870280058E-2</v>
      </c>
    </row>
    <row r="2705" spans="1:4" ht="16.5" hidden="1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313">
        <f>参数调整!$K$34*怪物掉落配置方案!$D4757</f>
        <v>9.2376676383061795E-2</v>
      </c>
    </row>
    <row r="2706" spans="1:4" ht="16.5" hidden="1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313">
        <f>参数调整!$K$34*怪物掉落配置方案!$D4758</f>
        <v>0.11177577842350478</v>
      </c>
    </row>
    <row r="2707" spans="1:4" ht="16.5" hidden="1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313">
        <f>参数调整!$K$34*怪物掉落配置方案!$D4759</f>
        <v>0.13302241399160897</v>
      </c>
    </row>
    <row r="2708" spans="1:4" ht="16.5" hidden="1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313">
        <f>参数调整!$K$34*怪物掉落配置方案!$D4760</f>
        <v>0.15611658308737447</v>
      </c>
    </row>
    <row r="2709" spans="1:4" ht="16.5" hidden="1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313">
        <f>参数调整!$K$34*怪物掉落配置方案!$D4761</f>
        <v>0.18105828571080107</v>
      </c>
    </row>
    <row r="2710" spans="1:4" ht="16.5" hidden="1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313">
        <f>参数调整!$K$34*怪物掉落配置方案!$D4762</f>
        <v>0.20784752186188907</v>
      </c>
    </row>
    <row r="2711" spans="1:4" ht="16.5" hidden="1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313">
        <f>参数调整!$K$34*怪物掉落配置方案!$D4763</f>
        <v>0.23648429154063824</v>
      </c>
    </row>
    <row r="2712" spans="1:4" ht="16.5" hidden="1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313">
        <f>参数调整!$K$34*怪物掉落配置方案!$D4764</f>
        <v>0.29930043148112023</v>
      </c>
    </row>
    <row r="2713" spans="1:4" ht="16.5" hidden="1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313">
        <f>参数调整!$K$34*怪物掉落配置方案!$D4765</f>
        <v>0.36950670553224713</v>
      </c>
    </row>
    <row r="2714" spans="1:4" ht="16.5" hidden="1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313">
        <f>参数调整!$K$34*怪物掉落配置方案!$D4766</f>
        <v>0.44710311369401912</v>
      </c>
    </row>
    <row r="2715" spans="1:4" ht="16.5" hidden="1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313">
        <f>参数调整!$K$34*怪物掉落配置方案!$D4767</f>
        <v>0.57735422739413611</v>
      </c>
    </row>
    <row r="2716" spans="1:4" ht="16.5" hidden="1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313">
        <f>参数调整!$K$34*怪物掉落配置方案!$D4768</f>
        <v>0.83139008744755605</v>
      </c>
    </row>
    <row r="2717" spans="1:4" ht="16.5" hidden="1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313">
        <f>参数调整!$K$34*怪物掉落配置方案!$D4769</f>
        <v>1.1316142856925069</v>
      </c>
    </row>
    <row r="2718" spans="1:4" ht="16.5" hidden="1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313">
        <f>参数调整!$K$34*怪物掉落配置方案!$D4770</f>
        <v>1.2646366996841161</v>
      </c>
    </row>
    <row r="2719" spans="1:4" ht="16.5" hidden="1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313">
        <f>参数调整!$K$34*怪物掉落配置方案!$D4771</f>
        <v>1.4780268221289885</v>
      </c>
    </row>
    <row r="2720" spans="1:4" ht="16.5" hidden="1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313">
        <f>参数调整!$K$34*怪物掉落配置方案!$D4772</f>
        <v>1.7080447463228121</v>
      </c>
    </row>
    <row r="2721" spans="1:4" ht="16.5" hidden="1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313">
        <f>参数调整!$K$34*怪物掉落配置方案!$D4773</f>
        <v>1.9546904722655873</v>
      </c>
    </row>
    <row r="2722" spans="1:4" ht="16.5" hidden="1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313">
        <f>参数调整!$K$34*怪物掉落配置方案!$D4774</f>
        <v>2.217963999957314</v>
      </c>
    </row>
    <row r="2723" spans="1:4" ht="16.5" hidden="1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313">
        <f>参数调整!$K$34*怪物掉落配置方案!$D4775</f>
        <v>2.4978653293979911</v>
      </c>
    </row>
    <row r="2724" spans="1:4" ht="16.5" hidden="1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313">
        <f>参数调整!$K$34*怪物掉落配置方案!$D4776</f>
        <v>2.7943944605876196</v>
      </c>
    </row>
    <row r="2725" spans="1:4" ht="16.5" hidden="1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313">
        <f>参数调整!$K$34*怪物掉落配置方案!$D4777</f>
        <v>3.1075513935261987</v>
      </c>
    </row>
    <row r="2726" spans="1:4" ht="16.5" hidden="1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313">
        <f>参数调整!$K$34*怪物掉落配置方案!$D4778</f>
        <v>3.4373361282137282</v>
      </c>
    </row>
    <row r="2727" spans="1:4" ht="16.5" hidden="1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313">
        <f>参数调整!$K$34*怪物掉落配置方案!$D4779</f>
        <v>3.7837486646502114</v>
      </c>
    </row>
    <row r="2728" spans="1:4" ht="16.5" hidden="1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313">
        <f>参数调整!$K$34*怪物掉落配置方案!$D4780</f>
        <v>4.1467890028356447</v>
      </c>
    </row>
    <row r="2729" spans="1:4" ht="16.5" hidden="1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313">
        <f>参数调整!$K$34*怪物掉落配置方案!$D4781</f>
        <v>4.5264571427700284</v>
      </c>
    </row>
    <row r="2730" spans="1:4" ht="16.5" hidden="1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313">
        <f>参数调整!$K$34*怪物掉落配置方案!$D4782</f>
        <v>5.912107288515956E-2</v>
      </c>
    </row>
    <row r="2731" spans="1:4" ht="16.5" hidden="1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313">
        <f>参数调整!$K$34*怪物掉落配置方案!$D4783</f>
        <v>7.4825107870280058E-2</v>
      </c>
    </row>
    <row r="2732" spans="1:4" ht="16.5" hidden="1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313">
        <f>参数调整!$K$34*怪物掉落配置方案!$D4784</f>
        <v>9.2376676383061795E-2</v>
      </c>
    </row>
    <row r="2733" spans="1:4" ht="16.5" hidden="1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313">
        <f>参数调整!$K$34*怪物掉落配置方案!$D4785</f>
        <v>0.11177577842350478</v>
      </c>
    </row>
    <row r="2734" spans="1:4" ht="16.5" hidden="1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313">
        <f>参数调整!$K$34*怪物掉落配置方案!$D4786</f>
        <v>0.13302241399160897</v>
      </c>
    </row>
    <row r="2735" spans="1:4" ht="16.5" hidden="1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313">
        <f>参数调整!$K$34*怪物掉落配置方案!$D4787</f>
        <v>0.15611658308737447</v>
      </c>
    </row>
    <row r="2736" spans="1:4" ht="16.5" hidden="1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313">
        <f>参数调整!$K$34*怪物掉落配置方案!$D4788</f>
        <v>0.18105828571080107</v>
      </c>
    </row>
    <row r="2737" spans="1:4" ht="16.5" hidden="1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313">
        <f>参数调整!$K$34*怪物掉落配置方案!$D4789</f>
        <v>0.20784752186188907</v>
      </c>
    </row>
    <row r="2738" spans="1:4" ht="16.5" hidden="1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313">
        <f>参数调整!$K$34*怪物掉落配置方案!$D4790</f>
        <v>0.23648429154063824</v>
      </c>
    </row>
    <row r="2739" spans="1:4" ht="16.5" hidden="1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313">
        <f>参数调整!$K$34*怪物掉落配置方案!$D4791</f>
        <v>0.29930043148112023</v>
      </c>
    </row>
    <row r="2740" spans="1:4" ht="16.5" hidden="1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313">
        <f>参数调整!$K$34*怪物掉落配置方案!$D4792</f>
        <v>0.36950670553224713</v>
      </c>
    </row>
    <row r="2741" spans="1:4" ht="16.5" hidden="1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313">
        <f>参数调整!$K$34*怪物掉落配置方案!$D4793</f>
        <v>0.44710311369401912</v>
      </c>
    </row>
    <row r="2742" spans="1:4" ht="16.5" hidden="1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313">
        <f>参数调整!$K$34*怪物掉落配置方案!$D4794</f>
        <v>0.57735422739413611</v>
      </c>
    </row>
    <row r="2743" spans="1:4" ht="16.5" hidden="1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313">
        <f>参数调整!$K$34*怪物掉落配置方案!$D4795</f>
        <v>0.83139008744755605</v>
      </c>
    </row>
    <row r="2744" spans="1:4" ht="16.5" hidden="1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313">
        <f>参数调整!$K$34*怪物掉落配置方案!$D4796</f>
        <v>1.1316142856925069</v>
      </c>
    </row>
    <row r="2745" spans="1:4" ht="16.5" hidden="1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313">
        <f>参数调整!$K$34*怪物掉落配置方案!$D4797</f>
        <v>1.2646366996841161</v>
      </c>
    </row>
    <row r="2746" spans="1:4" ht="16.5" hidden="1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313">
        <f>参数调整!$K$34*怪物掉落配置方案!$D4798</f>
        <v>1.4780268221289885</v>
      </c>
    </row>
    <row r="2747" spans="1:4" ht="16.5" hidden="1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313">
        <f>参数调整!$K$34*怪物掉落配置方案!$D4799</f>
        <v>1.7080447463228121</v>
      </c>
    </row>
    <row r="2748" spans="1:4" ht="16.5" hidden="1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313">
        <f>参数调整!$K$34*怪物掉落配置方案!$D4800</f>
        <v>1.9546904722655873</v>
      </c>
    </row>
    <row r="2749" spans="1:4" ht="16.5" hidden="1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313">
        <f>参数调整!$K$34*怪物掉落配置方案!$D4801</f>
        <v>2.217963999957314</v>
      </c>
    </row>
    <row r="2750" spans="1:4" ht="16.5" hidden="1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313">
        <f>参数调整!$K$34*怪物掉落配置方案!$D4802</f>
        <v>2.4978653293979911</v>
      </c>
    </row>
    <row r="2751" spans="1:4" ht="16.5" hidden="1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313">
        <f>参数调整!$K$34*怪物掉落配置方案!$D4803</f>
        <v>2.7943944605876196</v>
      </c>
    </row>
    <row r="2752" spans="1:4" ht="16.5" hidden="1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313">
        <f>参数调整!$K$34*怪物掉落配置方案!$D4804</f>
        <v>3.1075513935261987</v>
      </c>
    </row>
    <row r="2753" spans="1:4" ht="16.5" hidden="1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313">
        <f>参数调整!$K$34*怪物掉落配置方案!$D4805</f>
        <v>3.4373361282137282</v>
      </c>
    </row>
    <row r="2754" spans="1:4" ht="16.5" hidden="1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313">
        <f>参数调整!$K$34*怪物掉落配置方案!$D4806</f>
        <v>3.7837486646502114</v>
      </c>
    </row>
    <row r="2755" spans="1:4" ht="16.5" hidden="1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313">
        <f>参数调整!$K$34*怪物掉落配置方案!$D4807</f>
        <v>4.1467890028356447</v>
      </c>
    </row>
    <row r="2756" spans="1:4" ht="16.5" hidden="1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313">
        <f>参数调整!$K$34*怪物掉落配置方案!$D4808</f>
        <v>4.5264571427700284</v>
      </c>
    </row>
    <row r="2757" spans="1:4" ht="16.5" hidden="1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313">
        <f>参数调整!$K$34*怪物掉落配置方案!$D4809</f>
        <v>1.5155110691938707</v>
      </c>
    </row>
    <row r="2758" spans="1:4" ht="16.5" hidden="1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313">
        <f>参数调整!$K$34*怪物掉落配置方案!$D4810</f>
        <v>1.9180686969484928</v>
      </c>
    </row>
    <row r="2759" spans="1:4" ht="16.5" hidden="1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313">
        <f>参数调整!$K$34*怪物掉落配置方案!$D4811</f>
        <v>2.3679860456154231</v>
      </c>
    </row>
    <row r="2760" spans="1:4" ht="16.5" hidden="1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313">
        <f>参数调整!$K$34*怪物掉落配置方案!$D4812</f>
        <v>2.8652631151946619</v>
      </c>
    </row>
    <row r="2761" spans="1:4" ht="16.5" hidden="1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313">
        <f>参数调整!$K$34*怪物掉落配置方案!$D4813</f>
        <v>3.409899905686208</v>
      </c>
    </row>
    <row r="2762" spans="1:4" ht="16.5" hidden="1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313">
        <f>参数调整!$K$34*怪物掉落配置方案!$D4814</f>
        <v>4.0018964170900642</v>
      </c>
    </row>
    <row r="2763" spans="1:4" ht="16.5" hidden="1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313">
        <f>参数调整!$K$34*怪物掉落配置方案!$D4815</f>
        <v>4.6412526494062281</v>
      </c>
    </row>
    <row r="2764" spans="1:4" ht="16.5" hidden="1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313">
        <f>参数调整!$K$34*怪物掉落配置方案!$D4816</f>
        <v>5.3279686026347015</v>
      </c>
    </row>
    <row r="2765" spans="1:4" ht="16.5" hidden="1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313">
        <f>参数调整!$K$34*怪物掉落配置方案!$D4817</f>
        <v>6.0620442767754836</v>
      </c>
    </row>
    <row r="2766" spans="1:4" ht="16.5" hidden="1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313">
        <f>参数调整!$K$34*怪物掉落配置方案!$D4818</f>
        <v>7.6722747877939712</v>
      </c>
    </row>
    <row r="2767" spans="1:4" ht="16.5" hidden="1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313">
        <f>参数调整!$K$34*怪物掉落配置方案!$D4819</f>
        <v>9.4719441824616908</v>
      </c>
    </row>
    <row r="2768" spans="1:4" ht="16.5" hidden="1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313">
        <f>参数调整!$K$34*怪物掉落配置方案!$D4820</f>
        <v>11.461052460778648</v>
      </c>
    </row>
    <row r="2769" spans="1:4" ht="16.5" hidden="1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313">
        <f>参数调整!$K$34*怪物掉落配置方案!$D4821</f>
        <v>14.799912785096392</v>
      </c>
    </row>
    <row r="2770" spans="1:4" ht="16.5" hidden="1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313">
        <f>参数调整!$K$34*怪物掉落配置方案!$D4822</f>
        <v>21.311874410538799</v>
      </c>
    </row>
    <row r="2771" spans="1:4" ht="16.5" hidden="1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313">
        <f>参数调整!$K$34*怪物掉落配置方案!$D4823</f>
        <v>29.007829058788925</v>
      </c>
    </row>
    <row r="2772" spans="1:4" ht="16.5" hidden="1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313">
        <f>参数调整!$K$34*怪物掉落配置方案!$D4824</f>
        <v>32.417728964475138</v>
      </c>
    </row>
    <row r="2773" spans="1:4" ht="16.5" hidden="1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313">
        <f>参数调整!$K$34*怪物掉落配置方案!$D4825</f>
        <v>37.887776729846763</v>
      </c>
    </row>
    <row r="2774" spans="1:4" ht="16.5" hidden="1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313">
        <f>参数调整!$K$34*怪物掉落配置方案!$D4826</f>
        <v>43.784061983429154</v>
      </c>
    </row>
    <row r="2775" spans="1:4" ht="16.5" hidden="1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313">
        <f>参数调整!$K$34*怪物掉落配置方案!$D4827</f>
        <v>50.106584725222334</v>
      </c>
    </row>
    <row r="2776" spans="1:4" ht="16.5" hidden="1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313">
        <f>参数调整!$K$34*怪物掉落配置方案!$D4828</f>
        <v>56.855344955226307</v>
      </c>
    </row>
    <row r="2777" spans="1:4" ht="16.5" hidden="1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313">
        <f>参数调整!$K$34*怪物掉落配置方案!$D4829</f>
        <v>64.030342673441027</v>
      </c>
    </row>
    <row r="2778" spans="1:4" ht="16.5" hidden="1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313">
        <f>参数调整!$K$34*怪物掉落配置方案!$D4830</f>
        <v>71.631577879866555</v>
      </c>
    </row>
    <row r="2779" spans="1:4" ht="16.5" hidden="1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313">
        <f>参数调整!$K$34*怪物掉落配置方案!$D4831</f>
        <v>79.659050574502828</v>
      </c>
    </row>
    <row r="2780" spans="1:4" ht="16.5" hidden="1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313">
        <f>参数调整!$K$34*怪物掉落配置方案!$D4832</f>
        <v>88.112760757349875</v>
      </c>
    </row>
    <row r="2781" spans="1:4" ht="16.5" hidden="1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313">
        <f>参数调整!$K$34*怪物掉落配置方案!$D4833</f>
        <v>96.992708428407724</v>
      </c>
    </row>
    <row r="2782" spans="1:4" ht="16.5" hidden="1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313">
        <f>参数调整!$K$34*怪物掉落配置方案!$D4834</f>
        <v>106.29889358767635</v>
      </c>
    </row>
    <row r="2783" spans="1:4" ht="16.5" hidden="1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313">
        <f>参数调整!$K$34*怪物掉落配置方案!$D4835</f>
        <v>116.03131623515573</v>
      </c>
    </row>
    <row r="2784" spans="1:4" ht="16.5" hidden="1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313">
        <f>参数调整!$K$34*怪物掉落配置方案!$D4836</f>
        <v>8.9354294361552317E-3</v>
      </c>
    </row>
    <row r="2785" spans="1:4" ht="16.5" hidden="1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313">
        <f>参数调整!$K$34*怪物掉落配置方案!$D4837</f>
        <v>1.1308902880133968E-2</v>
      </c>
    </row>
    <row r="2786" spans="1:4" ht="16.5" hidden="1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313">
        <f>参数调整!$K$34*怪物掉落配置方案!$D4838</f>
        <v>1.3961608493992549E-2</v>
      </c>
    </row>
    <row r="2787" spans="1:4" ht="16.5" hidden="1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313">
        <f>参数调整!$K$34*怪物掉落配置方案!$D4839</f>
        <v>1.6893546277730986E-2</v>
      </c>
    </row>
    <row r="2788" spans="1:4" ht="16.5" hidden="1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313">
        <f>参数调整!$K$34*怪物掉落配置方案!$D4840</f>
        <v>2.0104716231349264E-2</v>
      </c>
    </row>
    <row r="2789" spans="1:4" ht="16.5" hidden="1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313">
        <f>参数调整!$K$34*怪物掉落配置方案!$D4841</f>
        <v>2.359511835484741E-2</v>
      </c>
    </row>
    <row r="2790" spans="1:4" ht="16.5" hidden="1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313">
        <f>参数调整!$K$34*怪物掉落配置方案!$D4842</f>
        <v>2.7364752648225393E-2</v>
      </c>
    </row>
    <row r="2791" spans="1:4" ht="16.5" hidden="1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313">
        <f>参数调整!$K$34*怪物掉落配置方案!$D4843</f>
        <v>3.1413619111483236E-2</v>
      </c>
    </row>
    <row r="2792" spans="1:4" ht="16.5" hidden="1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313">
        <f>参数调整!$K$34*怪物掉落配置方案!$D4844</f>
        <v>3.5741717744620927E-2</v>
      </c>
    </row>
    <row r="2793" spans="1:4" ht="16.5" hidden="1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313">
        <f>参数调整!$K$34*怪物掉落配置方案!$D4845</f>
        <v>4.5235611520535859E-2</v>
      </c>
    </row>
    <row r="2794" spans="1:4" ht="16.5" hidden="1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313">
        <f>参数调整!$K$34*怪物掉落配置方案!$D4846</f>
        <v>5.5846433975970187E-2</v>
      </c>
    </row>
    <row r="2795" spans="1:4" ht="16.5" hidden="1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313">
        <f>参数调整!$K$34*怪物掉落配置方案!$D4847</f>
        <v>6.7574185110923932E-2</v>
      </c>
    </row>
    <row r="2796" spans="1:4" ht="16.5" hidden="1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313">
        <f>参数调整!$K$34*怪物掉落配置方案!$D4848</f>
        <v>8.7260053087453424E-2</v>
      </c>
    </row>
    <row r="2797" spans="1:4" ht="16.5" hidden="1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313">
        <f>参数调整!$K$34*怪物掉落配置方案!$D4849</f>
        <v>0.12565447644593292</v>
      </c>
    </row>
    <row r="2798" spans="1:4" ht="16.5" hidden="1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313">
        <f>参数调整!$K$34*怪物掉落配置方案!$D4850</f>
        <v>0.17102970405140869</v>
      </c>
    </row>
    <row r="2799" spans="1:4" ht="16.5" hidden="1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313">
        <f>参数调整!$K$34*怪物掉落配置方案!$D4851</f>
        <v>0.19113442028275801</v>
      </c>
    </row>
    <row r="2800" spans="1:4" ht="16.5" hidden="1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313">
        <f>参数调整!$K$34*怪物掉落配置方案!$D4852</f>
        <v>0.22338573590388075</v>
      </c>
    </row>
    <row r="2801" spans="1:4" ht="16.5" hidden="1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313">
        <f>参数调整!$K$34*怪物掉落配置方案!$D4853</f>
        <v>0.2581501410539222</v>
      </c>
    </row>
    <row r="2802" spans="1:4" ht="16.5" hidden="1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313">
        <f>参数调整!$K$34*怪物掉落配置方案!$D4854</f>
        <v>0.29542763573288233</v>
      </c>
    </row>
    <row r="2803" spans="1:4" ht="16.5" hidden="1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313">
        <f>参数调整!$K$34*怪物掉落配置方案!$D4855</f>
        <v>0.33521821994076118</v>
      </c>
    </row>
    <row r="2804" spans="1:4" ht="16.5" hidden="1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313">
        <f>参数调整!$K$34*怪物掉落配置方案!$D4856</f>
        <v>0.37752189367755851</v>
      </c>
    </row>
    <row r="2805" spans="1:4" ht="16.5" hidden="1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313">
        <f>参数调整!$K$34*怪物掉落配置方案!$D4857</f>
        <v>0.42233865694327455</v>
      </c>
    </row>
    <row r="2806" spans="1:4" ht="16.5" hidden="1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313">
        <f>参数调整!$K$34*怪物掉落配置方案!$D4858</f>
        <v>0.46966850973790925</v>
      </c>
    </row>
    <row r="2807" spans="1:4" ht="16.5" hidden="1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313">
        <f>参数调整!$K$34*怪物掉落配置方案!$D4859</f>
        <v>0.51951145206146254</v>
      </c>
    </row>
    <row r="2808" spans="1:4" ht="16.5" hidden="1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313">
        <f>参数调整!$K$34*怪物掉落配置方案!$D4860</f>
        <v>0.57186748391393483</v>
      </c>
    </row>
    <row r="2809" spans="1:4" ht="16.5" hidden="1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313">
        <f>参数调整!$K$34*怪物掉落配置方案!$D4861</f>
        <v>0.62673660529532549</v>
      </c>
    </row>
    <row r="2810" spans="1:4" ht="16.5" hidden="1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313">
        <f>参数调整!$K$34*怪物掉落配置方案!$D4862</f>
        <v>0.68411881620563486</v>
      </c>
    </row>
    <row r="2811" spans="1:4" ht="16.5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313">
        <f>参数调整!$K$34*怪物掉落配置方案!$D4863</f>
        <v>166700</v>
      </c>
    </row>
    <row r="2812" spans="1:4" ht="16.5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313">
        <f>参数调整!$K$34*怪物掉落配置方案!$D4864</f>
        <v>266200</v>
      </c>
    </row>
    <row r="2813" spans="1:4" ht="16.5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313">
        <f>参数调整!$K$34*怪物掉落配置方案!$D4865</f>
        <v>433300</v>
      </c>
    </row>
    <row r="2814" spans="1:4" ht="16.5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313">
        <f>参数调整!$K$34*怪物掉落配置方案!$D4866</f>
        <v>541700</v>
      </c>
    </row>
    <row r="2815" spans="1:4" ht="16.5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313">
        <f>参数调整!$K$34*怪物掉落配置方案!$D4867</f>
        <v>544400</v>
      </c>
    </row>
    <row r="2816" spans="1:4" ht="16.5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313">
        <f>参数调整!$K$34*怪物掉落配置方案!$D4868</f>
        <v>557400</v>
      </c>
    </row>
    <row r="2817" spans="1:4" ht="16.5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313">
        <f>参数调整!$K$34*怪物掉落配置方案!$D4869</f>
        <v>629100</v>
      </c>
    </row>
    <row r="2818" spans="1:4" ht="16.5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313">
        <f>参数调整!$K$34*怪物掉落配置方案!$D4870</f>
        <v>1008100</v>
      </c>
    </row>
    <row r="2819" spans="1:4" ht="16.5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313">
        <f>参数调整!$K$34*怪物掉落配置方案!$D4871</f>
        <v>1733500</v>
      </c>
    </row>
    <row r="2820" spans="1:4" ht="16.5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313">
        <f>参数调整!$K$34*怪物掉落配置方案!$D4872</f>
        <v>2039700</v>
      </c>
    </row>
    <row r="2821" spans="1:4" ht="16.5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313">
        <f>参数调整!$K$34*怪物掉落配置方案!$D4873</f>
        <v>3150000</v>
      </c>
    </row>
    <row r="2822" spans="1:4" ht="16.5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313">
        <f>参数调整!$K$34*怪物掉落配置方案!$D4874</f>
        <v>3255600</v>
      </c>
    </row>
    <row r="2823" spans="1:4" ht="16.5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313">
        <f>参数调整!$K$34*怪物掉落配置方案!$D4875</f>
        <v>12981400</v>
      </c>
    </row>
    <row r="2824" spans="1:4" ht="16.5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313">
        <f>参数调整!$K$34*怪物掉落配置方案!$D4876</f>
        <v>44441700</v>
      </c>
    </row>
    <row r="2825" spans="1:4" ht="16.5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313">
        <f>参数调整!$K$34*怪物掉落配置方案!$D4877</f>
        <v>536838900</v>
      </c>
    </row>
    <row r="2826" spans="1:4" ht="16.5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313">
        <f>参数调整!$K$34*怪物掉落配置方案!$D4878</f>
        <v>488146700</v>
      </c>
    </row>
    <row r="2827" spans="1:4" ht="16.5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313">
        <f>参数调整!$K$34*怪物掉落配置方案!$D4879</f>
        <v>583333300</v>
      </c>
    </row>
    <row r="2828" spans="1:4" ht="16.5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313">
        <f>参数调整!$K$34*怪物掉落配置方案!$D4880</f>
        <v>116666700</v>
      </c>
    </row>
    <row r="2829" spans="1:4" ht="16.5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313">
        <f>参数调整!$K$34*怪物掉落配置方案!$D4881</f>
        <v>116666700</v>
      </c>
    </row>
    <row r="2830" spans="1:4" ht="16.5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313">
        <f>参数调整!$K$34*怪物掉落配置方案!$D4882</f>
        <v>116666700</v>
      </c>
    </row>
    <row r="2831" spans="1:4" ht="16.5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313">
        <f>参数调整!$K$34*怪物掉落配置方案!$D4883</f>
        <v>116666700</v>
      </c>
    </row>
    <row r="2832" spans="1:4" ht="16.5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313">
        <f>参数调整!$K$34*怪物掉落配置方案!$D4884</f>
        <v>116666700</v>
      </c>
    </row>
    <row r="2833" spans="1:4" ht="16.5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313">
        <f>参数调整!$K$34*怪物掉落配置方案!$D4885</f>
        <v>58333300</v>
      </c>
    </row>
    <row r="2834" spans="1:4" ht="16.5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313">
        <f>参数调整!$K$34*怪物掉落配置方案!$D4886</f>
        <v>58333300</v>
      </c>
    </row>
    <row r="2835" spans="1:4" ht="16.5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313">
        <f>参数调整!$K$34*怪物掉落配置方案!$D4887</f>
        <v>58333300</v>
      </c>
    </row>
    <row r="2836" spans="1:4" ht="16.5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313">
        <f>参数调整!$K$34*怪物掉落配置方案!$D4888</f>
        <v>58333300</v>
      </c>
    </row>
    <row r="2837" spans="1:4" ht="16.5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313">
        <f>参数调整!$K$34*怪物掉落配置方案!$D4889</f>
        <v>58333300</v>
      </c>
    </row>
    <row r="2838" spans="1:4" ht="16.5" hidden="1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313">
        <f>参数调整!$K$34*怪物掉落配置方案!$D4890</f>
        <v>5.1885112559125077E-2</v>
      </c>
    </row>
    <row r="2839" spans="1:4" ht="16.5" hidden="1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313">
        <f>参数调整!$K$34*怪物掉落配置方案!$D4891</f>
        <v>6.5667095582642693E-2</v>
      </c>
    </row>
    <row r="2840" spans="1:4" ht="16.5" hidden="1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313">
        <f>参数调整!$K$34*怪物掉落配置方案!$D4892</f>
        <v>8.1070488373632926E-2</v>
      </c>
    </row>
    <row r="2841" spans="1:4" ht="16.5" hidden="1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313">
        <f>参数调整!$K$34*怪物掉落配置方案!$D4893</f>
        <v>9.809529093209586E-2</v>
      </c>
    </row>
    <row r="2842" spans="1:4" ht="16.5" hidden="1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313">
        <f>参数调整!$K$34*怪物掉落配置方案!$D4894</f>
        <v>0.11674150325803141</v>
      </c>
    </row>
    <row r="2843" spans="1:4" ht="16.5" hidden="1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313">
        <f>参数调整!$K$34*怪物掉落配置方案!$D4895</f>
        <v>0.13700912535143969</v>
      </c>
    </row>
    <row r="2844" spans="1:4" ht="16.5" hidden="1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313">
        <f>参数调整!$K$34*怪物掉落配置方案!$D4896</f>
        <v>0.15889815721232053</v>
      </c>
    </row>
    <row r="2845" spans="1:4" ht="16.5" hidden="1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313">
        <f>参数调整!$K$34*怪物掉落配置方案!$D4897</f>
        <v>0.18240859884067409</v>
      </c>
    </row>
    <row r="2846" spans="1:4" ht="16.5" hidden="1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313">
        <f>参数调整!$K$34*怪物掉落配置方案!$D4898</f>
        <v>0.20754045023650036</v>
      </c>
    </row>
    <row r="2847" spans="1:4" ht="16.5" hidden="1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313">
        <f>参数调整!$K$34*怪物掉落配置方案!$D4899</f>
        <v>0.26266838233057072</v>
      </c>
    </row>
    <row r="2848" spans="1:4" ht="16.5" hidden="1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313">
        <f>参数调整!$K$34*怪物掉落配置方案!$D4900</f>
        <v>0.32428195349453171</v>
      </c>
    </row>
    <row r="2849" spans="1:4" ht="16.5" hidden="1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313">
        <f>参数调整!$K$34*怪物掉落配置方案!$D4901</f>
        <v>0.39238116372838344</v>
      </c>
    </row>
    <row r="2850" spans="1:4" ht="16.5" hidden="1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313">
        <f>参数调整!$K$34*怪物掉落配置方案!$D4902</f>
        <v>0.50669055233520588</v>
      </c>
    </row>
    <row r="2851" spans="1:4" ht="16.5" hidden="1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313">
        <f>参数调整!$K$34*怪物掉落配置方案!$D4903</f>
        <v>0.72963439536269625</v>
      </c>
    </row>
    <row r="2852" spans="1:4" ht="16.5" hidden="1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313">
        <f>参数调整!$K$34*怪物掉落配置方案!$D4904</f>
        <v>0.99311348257700338</v>
      </c>
    </row>
    <row r="2853" spans="1:4" ht="16.5" hidden="1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313">
        <f>参数调整!$K$34*怪物掉落配置方案!$D4905</f>
        <v>1.1098549858350351</v>
      </c>
    </row>
    <row r="2854" spans="1:4" ht="16.5" hidden="1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313">
        <f>参数调整!$K$34*怪物掉落配置方案!$D4906</f>
        <v>1.2971278139781268</v>
      </c>
    </row>
    <row r="2855" spans="1:4" ht="16.5" hidden="1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313">
        <f>参数调整!$K$34*怪物掉落配置方案!$D4907</f>
        <v>1.4989933300284728</v>
      </c>
    </row>
    <row r="2856" spans="1:4" ht="16.5" hidden="1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313">
        <f>参数调整!$K$34*怪物掉落配置方案!$D4908</f>
        <v>1.7154515339860728</v>
      </c>
    </row>
    <row r="2857" spans="1:4" ht="16.5" hidden="1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313">
        <f>参数调整!$K$34*怪物掉落配置方案!$D4909</f>
        <v>1.9465024258509274</v>
      </c>
    </row>
    <row r="2858" spans="1:4" ht="16.5" hidden="1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313">
        <f>参数调整!$K$34*怪物掉落配置方案!$D4910</f>
        <v>2.1921460056230342</v>
      </c>
    </row>
    <row r="2859" spans="1:4" ht="16.5" hidden="1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313">
        <f>参数调整!$K$34*怪物掉落配置方案!$D4911</f>
        <v>2.4523822733023963</v>
      </c>
    </row>
    <row r="2860" spans="1:4" ht="16.5" hidden="1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313">
        <f>参数调整!$K$34*怪物掉落配置方案!$D4912</f>
        <v>2.7272112288890118</v>
      </c>
    </row>
    <row r="2861" spans="1:4" ht="16.5" hidden="1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313">
        <f>参数调整!$K$34*怪物掉落配置方案!$D4913</f>
        <v>3.016632872382881</v>
      </c>
    </row>
    <row r="2862" spans="1:4" ht="16.5" hidden="1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313">
        <f>参数调整!$K$34*怪物掉落配置方案!$D4914</f>
        <v>3.3206472037840049</v>
      </c>
    </row>
    <row r="2863" spans="1:4" ht="16.5" hidden="1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313">
        <f>参数调整!$K$34*怪物掉落配置方案!$D4915</f>
        <v>3.6392542230923821</v>
      </c>
    </row>
    <row r="2864" spans="1:4" ht="16.5" hidden="1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313">
        <f>参数调整!$K$34*怪物掉落配置方案!$D4916</f>
        <v>3.972453930308014</v>
      </c>
    </row>
    <row r="2865" spans="1:4" ht="16.5" hidden="1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313">
        <f>参数调整!$K$34*怪物掉落配置方案!$D4917</f>
        <v>0</v>
      </c>
    </row>
    <row r="2866" spans="1:4" ht="16.5" hidden="1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313">
        <f>参数调整!$K$34*怪物掉落配置方案!$D4918</f>
        <v>0</v>
      </c>
    </row>
    <row r="2867" spans="1:4" ht="16.5" hidden="1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313">
        <f>参数调整!$K$34*怪物掉落配置方案!$D4919</f>
        <v>0</v>
      </c>
    </row>
    <row r="2868" spans="1:4" ht="16.5" hidden="1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313">
        <f>参数调整!$K$34*怪物掉落配置方案!$D4920</f>
        <v>0</v>
      </c>
    </row>
    <row r="2869" spans="1:4" ht="16.5" hidden="1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313">
        <f>参数调整!$K$34*怪物掉落配置方案!$D4921</f>
        <v>0</v>
      </c>
    </row>
    <row r="2870" spans="1:4" ht="16.5" hidden="1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313">
        <f>参数调整!$K$34*怪物掉落配置方案!$D4922</f>
        <v>0</v>
      </c>
    </row>
    <row r="2871" spans="1:4" ht="16.5" hidden="1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313">
        <f>参数调整!$K$34*怪物掉落配置方案!$D4923</f>
        <v>0</v>
      </c>
    </row>
    <row r="2872" spans="1:4" ht="16.5" hidden="1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313">
        <f>参数调整!$K$34*怪物掉落配置方案!$D4924</f>
        <v>0</v>
      </c>
    </row>
    <row r="2873" spans="1:4" ht="16.5" hidden="1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313">
        <f>参数调整!$K$34*怪物掉落配置方案!$D4925</f>
        <v>0</v>
      </c>
    </row>
    <row r="2874" spans="1:4" ht="16.5" hidden="1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313">
        <f>参数调整!$K$34*怪物掉落配置方案!$D4926</f>
        <v>0</v>
      </c>
    </row>
    <row r="2875" spans="1:4" ht="16.5" hidden="1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313">
        <f>参数调整!$K$34*怪物掉落配置方案!$D4927</f>
        <v>0</v>
      </c>
    </row>
    <row r="2876" spans="1:4" ht="16.5" hidden="1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313">
        <f>参数调整!$K$34*怪物掉落配置方案!$D4928</f>
        <v>0</v>
      </c>
    </row>
    <row r="2877" spans="1:4" ht="16.5" hidden="1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313">
        <f>参数调整!$K$34*怪物掉落配置方案!$D4929</f>
        <v>0</v>
      </c>
    </row>
    <row r="2878" spans="1:4" ht="16.5" hidden="1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313">
        <f>参数调整!$K$34*怪物掉落配置方案!$D4930</f>
        <v>0</v>
      </c>
    </row>
    <row r="2879" spans="1:4" ht="16.5" hidden="1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313">
        <f>参数调整!$K$34*怪物掉落配置方案!$D4931</f>
        <v>0</v>
      </c>
    </row>
    <row r="2880" spans="1:4" ht="16.5" hidden="1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313">
        <f>参数调整!$K$34*怪物掉落配置方案!$D4932</f>
        <v>0</v>
      </c>
    </row>
    <row r="2881" spans="1:4" ht="16.5" hidden="1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313">
        <f>参数调整!$K$34*怪物掉落配置方案!$D4933</f>
        <v>0</v>
      </c>
    </row>
    <row r="2882" spans="1:4" ht="16.5" hidden="1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313">
        <f>参数调整!$K$34*怪物掉落配置方案!$D4934</f>
        <v>0</v>
      </c>
    </row>
    <row r="2883" spans="1:4" ht="16.5" hidden="1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313">
        <f>参数调整!$K$34*怪物掉落配置方案!$D4935</f>
        <v>0</v>
      </c>
    </row>
    <row r="2884" spans="1:4" ht="16.5" hidden="1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313">
        <f>参数调整!$K$34*怪物掉落配置方案!$D4936</f>
        <v>0</v>
      </c>
    </row>
    <row r="2885" spans="1:4" ht="16.5" hidden="1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313">
        <f>参数调整!$K$34*怪物掉落配置方案!$D4937</f>
        <v>0</v>
      </c>
    </row>
    <row r="2886" spans="1:4" ht="16.5" hidden="1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313">
        <f>参数调整!$K$34*怪物掉落配置方案!$D4938</f>
        <v>0</v>
      </c>
    </row>
    <row r="2887" spans="1:4" ht="16.5" hidden="1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313">
        <f>参数调整!$K$34*怪物掉落配置方案!$D4939</f>
        <v>0</v>
      </c>
    </row>
    <row r="2888" spans="1:4" ht="16.5" hidden="1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313">
        <f>参数调整!$K$34*怪物掉落配置方案!$D4940</f>
        <v>0</v>
      </c>
    </row>
    <row r="2889" spans="1:4" ht="16.5" hidden="1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313">
        <f>参数调整!$K$34*怪物掉落配置方案!$D4941</f>
        <v>0</v>
      </c>
    </row>
    <row r="2890" spans="1:4" ht="16.5" hidden="1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313">
        <f>参数调整!$K$34*怪物掉落配置方案!$D4942</f>
        <v>0</v>
      </c>
    </row>
    <row r="2891" spans="1:4" ht="16.5" hidden="1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313">
        <f>参数调整!$K$34*怪物掉落配置方案!$D4943</f>
        <v>0</v>
      </c>
    </row>
    <row r="2892" spans="1:4" ht="16.5" hidden="1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313">
        <f>参数调整!$K$34*怪物掉落配置方案!$D4944</f>
        <v>2.4616293974400714E-2</v>
      </c>
    </row>
    <row r="2893" spans="1:4" ht="16.5" hidden="1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313">
        <f>参数调整!$K$34*怪物掉落配置方案!$D4945</f>
        <v>3.1154997061350911E-2</v>
      </c>
    </row>
    <row r="2894" spans="1:4" ht="16.5" hidden="1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313">
        <f>参数调整!$K$34*怪物掉落配置方案!$D4946</f>
        <v>3.8462959335001108E-2</v>
      </c>
    </row>
    <row r="2895" spans="1:4" ht="16.5" hidden="1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313">
        <f>参数调整!$K$34*怪物掉落配置方案!$D4947</f>
        <v>4.6540180795351348E-2</v>
      </c>
    </row>
    <row r="2896" spans="1:4" ht="16.5" hidden="1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313">
        <f>参数调整!$K$34*怪物掉落配置方案!$D4948</f>
        <v>5.5386661442401598E-2</v>
      </c>
    </row>
    <row r="2897" spans="1:4" ht="16.5" hidden="1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313">
        <f>参数调整!$K$34*怪物掉落配置方案!$D4949</f>
        <v>6.500240127615188E-2</v>
      </c>
    </row>
    <row r="2898" spans="1:4" ht="16.5" hidden="1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313">
        <f>参数调整!$K$34*怪物掉落配置方案!$D4950</f>
        <v>7.5387400296602167E-2</v>
      </c>
    </row>
    <row r="2899" spans="1:4" ht="16.5" hidden="1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313">
        <f>参数调整!$K$34*怪物掉落配置方案!$D4951</f>
        <v>8.6541658503752492E-2</v>
      </c>
    </row>
    <row r="2900" spans="1:4" ht="16.5" hidden="1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313">
        <f>参数调整!$K$34*怪物掉落配置方案!$D4952</f>
        <v>9.8465175897602869E-2</v>
      </c>
    </row>
    <row r="2901" spans="1:4" ht="16.5" hidden="1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313">
        <f>参数调整!$K$34*怪物掉落配置方案!$D4953</f>
        <v>0.1246199882454036</v>
      </c>
    </row>
    <row r="2902" spans="1:4" ht="16.5" hidden="1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313">
        <f>参数调整!$K$34*怪物掉落配置方案!$D4954</f>
        <v>0.15385183734000443</v>
      </c>
    </row>
    <row r="2903" spans="1:4" ht="16.5" hidden="1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313">
        <f>参数调整!$K$34*怪物掉落配置方案!$D4955</f>
        <v>0.18616072318140539</v>
      </c>
    </row>
    <row r="2904" spans="1:4" ht="16.5" hidden="1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313">
        <f>参数调整!$K$34*怪物掉落配置方案!$D4956</f>
        <v>0.24039349584375694</v>
      </c>
    </row>
    <row r="2905" spans="1:4" ht="16.5" hidden="1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313">
        <f>参数调整!$K$34*怪物掉落配置方案!$D4957</f>
        <v>0.34616663401500997</v>
      </c>
    </row>
    <row r="2906" spans="1:4" ht="16.5" hidden="1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313">
        <f>参数调整!$K$34*怪物掉落配置方案!$D4958</f>
        <v>0.47117125185376352</v>
      </c>
    </row>
    <row r="2907" spans="1:4" ht="16.5" hidden="1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313">
        <f>参数调整!$K$34*怪物掉落配置方案!$D4959</f>
        <v>0.52655791329616519</v>
      </c>
    </row>
    <row r="2908" spans="1:4" ht="16.5" hidden="1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313">
        <f>参数调整!$K$34*怪物掉落配置方案!$D4960</f>
        <v>0.61540734936001773</v>
      </c>
    </row>
    <row r="2909" spans="1:4" ht="16.5" hidden="1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313">
        <f>参数调整!$K$34*怪物掉落配置方案!$D4961</f>
        <v>0.71118011810417048</v>
      </c>
    </row>
    <row r="2910" spans="1:4" ht="16.5" hidden="1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313">
        <f>参数调整!$K$34*怪物掉落配置方案!$D4962</f>
        <v>0.81387621952862343</v>
      </c>
    </row>
    <row r="2911" spans="1:4" ht="16.5" hidden="1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313">
        <f>参数调整!$K$34*怪物掉落配置方案!$D4963</f>
        <v>0.92349565363337682</v>
      </c>
    </row>
    <row r="2912" spans="1:4" ht="16.5" hidden="1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313">
        <f>参数调整!$K$34*怪物掉落配置方案!$D4964</f>
        <v>1.0400384204184301</v>
      </c>
    </row>
    <row r="2913" spans="1:4" ht="16.5" hidden="1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313">
        <f>参数调整!$K$34*怪物掉落配置方案!$D4965</f>
        <v>1.1635045198837837</v>
      </c>
    </row>
    <row r="2914" spans="1:4" ht="16.5" hidden="1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313">
        <f>参数调整!$K$34*怪物掉落配置方案!$D4966</f>
        <v>1.2938939520294372</v>
      </c>
    </row>
    <row r="2915" spans="1:4" ht="16.5" hidden="1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313">
        <f>参数调整!$K$34*怪物掉落配置方案!$D4967</f>
        <v>1.431206716855391</v>
      </c>
    </row>
    <row r="2916" spans="1:4" ht="16.5" hidden="1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313">
        <f>参数调整!$K$34*怪物掉落配置方案!$D4968</f>
        <v>1.5754428143616457</v>
      </c>
    </row>
    <row r="2917" spans="1:4" ht="16.5" hidden="1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313">
        <f>参数调整!$K$34*怪物掉落配置方案!$D4969</f>
        <v>1.7266022445482001</v>
      </c>
    </row>
    <row r="2918" spans="1:4" ht="16.5" hidden="1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313">
        <f>参数调整!$K$34*怪物掉落配置方案!$D4970</f>
        <v>1.8846850074150545</v>
      </c>
    </row>
    <row r="2919" spans="1:4" ht="16.5" hidden="1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313">
        <f>参数调整!$K$34*怪物掉落配置方案!$D4971</f>
        <v>0.65001470483839885</v>
      </c>
    </row>
    <row r="2920" spans="1:4" ht="16.5" hidden="1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313">
        <f>参数调整!$K$34*怪物掉落配置方案!$D4972</f>
        <v>0.82267486081109875</v>
      </c>
    </row>
    <row r="2921" spans="1:4" ht="16.5" hidden="1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313">
        <f>参数调整!$K$34*怪物掉落配置方案!$D4973</f>
        <v>1.0156479763099984</v>
      </c>
    </row>
    <row r="2922" spans="1:4" ht="16.5" hidden="1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313">
        <f>参数调整!$K$34*怪物掉落配置方案!$D4974</f>
        <v>1.2289340513350981</v>
      </c>
    </row>
    <row r="2923" spans="1:4" ht="16.5" hidden="1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313">
        <f>参数调整!$K$34*怪物掉落配置方案!$D4975</f>
        <v>1.4625330858863972</v>
      </c>
    </row>
    <row r="2924" spans="1:4" ht="16.5" hidden="1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313">
        <f>参数调整!$K$34*怪物掉落配置方案!$D4976</f>
        <v>1.7164450799638975</v>
      </c>
    </row>
    <row r="2925" spans="1:4" ht="16.5" hidden="1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313">
        <f>参数调整!$K$34*怪物掉落配置方案!$D4977</f>
        <v>1.9906700335675966</v>
      </c>
    </row>
    <row r="2926" spans="1:4" ht="16.5" hidden="1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313">
        <f>参数调整!$K$34*怪物掉落配置方案!$D4978</f>
        <v>2.2852079466974962</v>
      </c>
    </row>
    <row r="2927" spans="1:4" ht="16.5" hidden="1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313">
        <f>参数调整!$K$34*怪物掉落配置方案!$D4979</f>
        <v>2.6000588193535963</v>
      </c>
    </row>
    <row r="2928" spans="1:4" ht="16.5" hidden="1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313">
        <f>参数调整!$K$34*怪物掉落配置方案!$D4980</f>
        <v>3.290699443244395</v>
      </c>
    </row>
    <row r="2929" spans="1:4" ht="16.5" hidden="1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313">
        <f>参数调整!$K$34*怪物掉落配置方案!$D4981</f>
        <v>4.0625919052399917</v>
      </c>
    </row>
    <row r="2930" spans="1:4" ht="16.5" hidden="1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313">
        <f>参数调整!$K$34*怪物掉落配置方案!$D4982</f>
        <v>4.9157362053403926</v>
      </c>
    </row>
    <row r="2931" spans="1:4" ht="16.5" hidden="1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313">
        <f>参数调整!$K$34*怪物掉落配置方案!$D4983</f>
        <v>6.3477998519374887</v>
      </c>
    </row>
    <row r="2932" spans="1:4" ht="16.5" hidden="1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313">
        <f>参数调整!$K$34*怪物掉落配置方案!$D4984</f>
        <v>9.1408317867899829</v>
      </c>
    </row>
    <row r="2933" spans="1:4" ht="16.5" hidden="1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313">
        <f>参数调整!$K$34*怪物掉落配置方案!$D4985</f>
        <v>12.441687709797478</v>
      </c>
    </row>
    <row r="2934" spans="1:4" ht="16.5" hidden="1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313">
        <f>参数调整!$K$34*怪物掉落配置方案!$D4986</f>
        <v>13.904220795683878</v>
      </c>
    </row>
    <row r="2935" spans="1:4" ht="16.5" hidden="1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313">
        <f>参数调整!$K$34*怪物掉落配置方案!$D4987</f>
        <v>16.250367620959967</v>
      </c>
    </row>
    <row r="2936" spans="1:4" ht="16.5" hidden="1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313">
        <f>参数调整!$K$34*怪物掉落配置方案!$D4988</f>
        <v>18.779331081971865</v>
      </c>
    </row>
    <row r="2937" spans="1:4" ht="16.5" hidden="1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313">
        <f>参数调整!$K$34*怪物掉落配置方案!$D4989</f>
        <v>21.49111117871956</v>
      </c>
    </row>
    <row r="2938" spans="1:4" ht="16.5" hidden="1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313">
        <f>参数调整!$K$34*怪物掉落配置方案!$D4990</f>
        <v>24.38570791120306</v>
      </c>
    </row>
    <row r="2939" spans="1:4" ht="16.5" hidden="1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313">
        <f>参数调整!$K$34*怪物掉落配置方案!$D4991</f>
        <v>27.463121279422353</v>
      </c>
    </row>
    <row r="2940" spans="1:4" ht="16.5" hidden="1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313">
        <f>参数调整!$K$34*怪物掉落配置方案!$D4992</f>
        <v>30.723351283377447</v>
      </c>
    </row>
    <row r="2941" spans="1:4" ht="16.5" hidden="1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313">
        <f>参数调整!$K$34*怪物掉落配置方案!$D4993</f>
        <v>34.166397923068345</v>
      </c>
    </row>
    <row r="2942" spans="1:4" ht="16.5" hidden="1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313">
        <f>参数调整!$K$34*怪物掉落配置方案!$D4994</f>
        <v>37.792261198495034</v>
      </c>
    </row>
    <row r="2943" spans="1:4" ht="16.5" hidden="1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313">
        <f>参数调整!$K$34*怪物掉落配置方案!$D4995</f>
        <v>41.600941109657526</v>
      </c>
    </row>
    <row r="2944" spans="1:4" ht="16.5" hidden="1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313">
        <f>参数调整!$K$34*怪物掉落配置方案!$D4996</f>
        <v>45.592437656555816</v>
      </c>
    </row>
    <row r="2945" spans="1:4" ht="16.5" hidden="1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313">
        <f>参数调整!$K$34*怪物掉落配置方案!$D4997</f>
        <v>49.766750839189925</v>
      </c>
    </row>
    <row r="2946" spans="1:4" ht="16.5" hidden="1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313">
        <f>参数调整!$K$34*怪物掉落配置方案!$D4998</f>
        <v>3.2492470676928121E-4</v>
      </c>
    </row>
    <row r="2947" spans="1:4" ht="16.5" hidden="1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313">
        <f>参数调整!$K$34*怪物掉落配置方案!$D4999</f>
        <v>4.112328320048715E-4</v>
      </c>
    </row>
    <row r="2948" spans="1:4" ht="16.5" hidden="1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313">
        <f>参数调整!$K$34*怪物掉落配置方案!$D5000</f>
        <v>5.0769485432700177E-4</v>
      </c>
    </row>
    <row r="2949" spans="1:4" ht="16.5" hidden="1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313">
        <f>参数调整!$K$34*怪物掉落配置方案!$D5001</f>
        <v>6.1431077373567218E-4</v>
      </c>
    </row>
    <row r="2950" spans="1:4" ht="16.5" hidden="1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313">
        <f>参数调整!$K$34*怪物掉落配置方案!$D5002</f>
        <v>7.3108059023088245E-4</v>
      </c>
    </row>
    <row r="2951" spans="1:4" ht="16.5" hidden="1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313">
        <f>参数调整!$K$34*怪物掉落配置方案!$D5003</f>
        <v>8.5800430381263325E-4</v>
      </c>
    </row>
    <row r="2952" spans="1:4" ht="16.5" hidden="1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313">
        <f>参数调整!$K$34*怪物掉落配置方案!$D5004</f>
        <v>9.9508191448092337E-4</v>
      </c>
    </row>
    <row r="2953" spans="1:4" ht="16.5" hidden="1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313">
        <f>参数调整!$K$34*怪物掉落配置方案!$D5005</f>
        <v>1.142313422235754E-3</v>
      </c>
    </row>
    <row r="2954" spans="1:4" ht="16.5" hidden="1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313">
        <f>参数调整!$K$34*怪物掉落配置方案!$D5006</f>
        <v>1.2996988270771248E-3</v>
      </c>
    </row>
    <row r="2955" spans="1:4" ht="16.5" hidden="1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313">
        <f>参数调整!$K$34*怪物掉落配置方案!$D5007</f>
        <v>1.644931328019486E-3</v>
      </c>
    </row>
    <row r="2956" spans="1:4" ht="16.5" hidden="1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313">
        <f>参数调整!$K$34*怪物掉落配置方案!$D5008</f>
        <v>2.0307794173080071E-3</v>
      </c>
    </row>
    <row r="2957" spans="1:4" ht="16.5" hidden="1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313">
        <f>参数调整!$K$34*怪物掉落配置方案!$D5009</f>
        <v>2.4572430949426887E-3</v>
      </c>
    </row>
    <row r="2958" spans="1:4" ht="16.5" hidden="1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313">
        <f>参数调整!$K$34*怪物掉落配置方案!$D5010</f>
        <v>3.1730928395437611E-3</v>
      </c>
    </row>
    <row r="2959" spans="1:4" ht="16.5" hidden="1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313">
        <f>参数调整!$K$34*怪物掉落配置方案!$D5011</f>
        <v>4.5692536889430152E-3</v>
      </c>
    </row>
    <row r="2960" spans="1:4" ht="16.5" hidden="1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313">
        <f>参数调整!$K$34*怪物掉落配置方案!$D5012</f>
        <v>6.2192619655057693E-3</v>
      </c>
    </row>
    <row r="2961" spans="1:4" ht="16.5" hidden="1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313">
        <f>参数调整!$K$34*怪物掉落配置方案!$D5013</f>
        <v>6.9503425557366555E-3</v>
      </c>
    </row>
    <row r="2962" spans="1:4" ht="16.5" hidden="1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313">
        <f>参数调整!$K$34*怪物掉落配置方案!$D5014</f>
        <v>8.1231176692320283E-3</v>
      </c>
    </row>
    <row r="2963" spans="1:4" ht="16.5" hidden="1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313">
        <f>参数调整!$K$34*怪物掉落配置方案!$D5015</f>
        <v>9.3872778565062629E-3</v>
      </c>
    </row>
    <row r="2964" spans="1:4" ht="16.5" hidden="1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313">
        <f>参数调整!$K$34*怪物掉落配置方案!$D5016</f>
        <v>1.0742823117559357E-2</v>
      </c>
    </row>
    <row r="2965" spans="1:4" ht="16.5" hidden="1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313">
        <f>参数调整!$K$34*怪物掉落配置方案!$D5017</f>
        <v>1.2189753452391316E-2</v>
      </c>
    </row>
    <row r="2966" spans="1:4" ht="16.5" hidden="1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313">
        <f>参数调整!$K$34*怪物掉落配置方案!$D5018</f>
        <v>1.3728068861002128E-2</v>
      </c>
    </row>
    <row r="2967" spans="1:4" ht="16.5" hidden="1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313">
        <f>参数调整!$K$34*怪物掉落配置方案!$D5019</f>
        <v>1.5357769343391805E-2</v>
      </c>
    </row>
    <row r="2968" spans="1:4" ht="16.5" hidden="1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313">
        <f>参数调整!$K$34*怪物掉落配置方案!$D5020</f>
        <v>1.7078854899560337E-2</v>
      </c>
    </row>
    <row r="2969" spans="1:4" ht="16.5" hidden="1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313">
        <f>参数调整!$K$34*怪物掉落配置方案!$D5021</f>
        <v>1.889132552950773E-2</v>
      </c>
    </row>
    <row r="2970" spans="1:4" ht="16.5" hidden="1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313">
        <f>参数调整!$K$34*怪物掉落配置方案!$D5022</f>
        <v>2.0795181233233997E-2</v>
      </c>
    </row>
    <row r="2971" spans="1:4" ht="16.5" hidden="1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313">
        <f>参数调整!$K$34*怪物掉落配置方案!$D5023</f>
        <v>2.2790422010739109E-2</v>
      </c>
    </row>
    <row r="2972" spans="1:4" ht="16.5" hidden="1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313">
        <f>参数调整!$K$34*怪物掉落配置方案!$D5024</f>
        <v>2.4877047862023091E-2</v>
      </c>
    </row>
    <row r="2973" spans="1:4" ht="16.5" hidden="1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313">
        <f>参数调整!$K$34*怪物掉落配置方案!$D5025</f>
        <v>8.9354294361552317E-2</v>
      </c>
    </row>
    <row r="2974" spans="1:4" ht="16.5" hidden="1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313">
        <f>参数调整!$K$34*怪物掉落配置方案!$D5026</f>
        <v>0.11308902880133966</v>
      </c>
    </row>
    <row r="2975" spans="1:4" ht="16.5" hidden="1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313">
        <f>参数调整!$K$34*怪物掉落配置方案!$D5027</f>
        <v>0.13961608493992547</v>
      </c>
    </row>
    <row r="2976" spans="1:4" ht="16.5" hidden="1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313">
        <f>参数调整!$K$34*怪物掉落配置方案!$D5028</f>
        <v>0.16893546277730984</v>
      </c>
    </row>
    <row r="2977" spans="1:4" ht="16.5" hidden="1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313">
        <f>参数调整!$K$34*怪物掉落配置方案!$D5029</f>
        <v>0.20104716231349268</v>
      </c>
    </row>
    <row r="2978" spans="1:4" ht="16.5" hidden="1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313">
        <f>参数调整!$K$34*怪物掉落配置方案!$D5030</f>
        <v>0.23595118354847408</v>
      </c>
    </row>
    <row r="2979" spans="1:4" ht="16.5" hidden="1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313">
        <f>参数调整!$K$34*怪物掉落配置方案!$D5031</f>
        <v>0.27364752648225388</v>
      </c>
    </row>
    <row r="2980" spans="1:4" ht="16.5" hidden="1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313">
        <f>参数调整!$K$34*怪物掉落配置方案!$D5032</f>
        <v>0.31413619111483237</v>
      </c>
    </row>
    <row r="2981" spans="1:4" ht="16.5" hidden="1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313">
        <f>参数调整!$K$34*怪物掉落配置方案!$D5033</f>
        <v>0.35741717744620927</v>
      </c>
    </row>
    <row r="2982" spans="1:4" ht="16.5" hidden="1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313">
        <f>参数调整!$K$34*怪物掉落配置方案!$D5034</f>
        <v>0.45235611520535862</v>
      </c>
    </row>
    <row r="2983" spans="1:4" ht="16.5" hidden="1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313">
        <f>参数调整!$K$34*怪物掉落配置方案!$D5035</f>
        <v>0.55846433975970189</v>
      </c>
    </row>
    <row r="2984" spans="1:4" ht="16.5" hidden="1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313">
        <f>参数调整!$K$34*怪物掉落配置方案!$D5036</f>
        <v>0.67574185110923946</v>
      </c>
    </row>
    <row r="2985" spans="1:4" ht="16.5" hidden="1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313">
        <f>参数调整!$K$34*怪物掉落配置方案!$D5037</f>
        <v>0.87260053087453437</v>
      </c>
    </row>
    <row r="2986" spans="1:4" ht="16.5" hidden="1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313">
        <f>参数调整!$K$34*怪物掉落配置方案!$D5038</f>
        <v>1.2565447644593291</v>
      </c>
    </row>
    <row r="2987" spans="1:4" ht="16.5" hidden="1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313">
        <f>参数调整!$K$34*怪物掉落配置方案!$D5039</f>
        <v>1.7102970405140872</v>
      </c>
    </row>
    <row r="2988" spans="1:4" ht="16.5" hidden="1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313">
        <f>参数调整!$K$34*怪物掉落配置方案!$D5040</f>
        <v>1.91134420282758</v>
      </c>
    </row>
    <row r="2989" spans="1:4" ht="16.5" hidden="1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313">
        <f>参数调整!$K$34*怪物掉落配置方案!$D5041</f>
        <v>2.2338573590388076</v>
      </c>
    </row>
    <row r="2990" spans="1:4" ht="16.5" hidden="1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313">
        <f>参数调整!$K$34*怪物掉落配置方案!$D5042</f>
        <v>2.5815014105392216</v>
      </c>
    </row>
    <row r="2991" spans="1:4" ht="16.5" hidden="1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313">
        <f>参数调整!$K$34*怪物掉落配置方案!$D5043</f>
        <v>2.9542763573288227</v>
      </c>
    </row>
    <row r="2992" spans="1:4" ht="16.5" hidden="1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313">
        <f>参数调整!$K$34*怪物掉落配置方案!$D5044</f>
        <v>3.3521821994076104</v>
      </c>
    </row>
    <row r="2993" spans="1:4" ht="16.5" hidden="1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313">
        <f>参数调整!$K$34*怪物掉落配置方案!$D5045</f>
        <v>3.7752189367755853</v>
      </c>
    </row>
    <row r="2994" spans="1:4" ht="16.5" hidden="1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313">
        <f>参数调整!$K$34*怪物掉落配置方案!$D5046</f>
        <v>4.2233865694327459</v>
      </c>
    </row>
    <row r="2995" spans="1:4" ht="16.5" hidden="1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313">
        <f>参数调整!$K$34*怪物掉落配置方案!$D5047</f>
        <v>4.6966850973790919</v>
      </c>
    </row>
    <row r="2996" spans="1:4" ht="16.5" hidden="1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313">
        <f>参数调整!$K$34*怪物掉落配置方案!$D5048</f>
        <v>5.1951145206146263</v>
      </c>
    </row>
    <row r="2997" spans="1:4" ht="16.5" hidden="1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313">
        <f>参数调整!$K$34*怪物掉落配置方案!$D5049</f>
        <v>5.7186748391393483</v>
      </c>
    </row>
    <row r="2998" spans="1:4" ht="16.5" hidden="1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313">
        <f>参数调整!$K$34*怪物掉落配置方案!$D5050</f>
        <v>6.2673660529532551</v>
      </c>
    </row>
    <row r="2999" spans="1:4" ht="16.5" hidden="1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313">
        <f>参数调整!$K$34*怪物掉落配置方案!$D5051</f>
        <v>6.8411881620563486</v>
      </c>
    </row>
    <row r="3000" spans="1:4" ht="16.5" hidden="1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313">
        <f>参数调整!$K$34*怪物掉落配置方案!$D5052</f>
        <v>3.2492470676928117E-3</v>
      </c>
    </row>
    <row r="3001" spans="1:4" ht="16.5" hidden="1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313">
        <f>参数调整!$K$34*怪物掉落配置方案!$D5053</f>
        <v>4.1123283200487151E-3</v>
      </c>
    </row>
    <row r="3002" spans="1:4" ht="16.5" hidden="1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313">
        <f>参数调整!$K$34*怪物掉落配置方案!$D5054</f>
        <v>5.0769485432700179E-3</v>
      </c>
    </row>
    <row r="3003" spans="1:4" ht="16.5" hidden="1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313">
        <f>参数调整!$K$34*怪物掉落配置方案!$D5055</f>
        <v>6.1431077373567218E-3</v>
      </c>
    </row>
    <row r="3004" spans="1:4" ht="16.5" hidden="1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313">
        <f>参数调整!$K$34*怪物掉落配置方案!$D5056</f>
        <v>7.310805902308825E-3</v>
      </c>
    </row>
    <row r="3005" spans="1:4" ht="16.5" hidden="1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313">
        <f>参数调整!$K$34*怪物掉落配置方案!$D5057</f>
        <v>8.5800430381263292E-3</v>
      </c>
    </row>
    <row r="3006" spans="1:4" ht="16.5" hidden="1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313">
        <f>参数调整!$K$34*怪物掉落配置方案!$D5058</f>
        <v>9.9508191448092337E-3</v>
      </c>
    </row>
    <row r="3007" spans="1:4" ht="16.5" hidden="1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313">
        <f>参数调整!$K$34*怪物掉落配置方案!$D5059</f>
        <v>1.1423134222357538E-2</v>
      </c>
    </row>
    <row r="3008" spans="1:4" ht="16.5" hidden="1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313">
        <f>参数调整!$K$34*怪物掉落配置方案!$D5060</f>
        <v>1.299698827077125E-2</v>
      </c>
    </row>
    <row r="3009" spans="1:4" ht="16.5" hidden="1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313">
        <f>参数调整!$K$34*怪物掉落配置方案!$D5061</f>
        <v>1.6449313280194857E-2</v>
      </c>
    </row>
    <row r="3010" spans="1:4" ht="16.5" hidden="1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313">
        <f>参数调整!$K$34*怪物掉落配置方案!$D5062</f>
        <v>2.0307794173080068E-2</v>
      </c>
    </row>
    <row r="3011" spans="1:4" ht="16.5" hidden="1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313">
        <f>参数调整!$K$34*怪物掉落配置方案!$D5063</f>
        <v>2.4572430949426887E-2</v>
      </c>
    </row>
    <row r="3012" spans="1:4" ht="16.5" hidden="1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313">
        <f>参数调整!$K$34*怪物掉落配置方案!$D5064</f>
        <v>3.1730928395437612E-2</v>
      </c>
    </row>
    <row r="3013" spans="1:4" ht="16.5" hidden="1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313">
        <f>参数调整!$K$34*怪物掉落配置方案!$D5065</f>
        <v>4.5692536889430146E-2</v>
      </c>
    </row>
    <row r="3014" spans="1:4" ht="16.5" hidden="1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313">
        <f>参数调整!$K$34*怪物掉落配置方案!$D5066</f>
        <v>6.2192619655057707E-2</v>
      </c>
    </row>
    <row r="3015" spans="1:4" ht="16.5" hidden="1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313">
        <f>参数调整!$K$34*怪物掉落配置方案!$D5067</f>
        <v>6.9503425557366549E-2</v>
      </c>
    </row>
    <row r="3016" spans="1:4" ht="16.5" hidden="1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313">
        <f>参数调整!$K$34*怪物掉落配置方案!$D5068</f>
        <v>8.1231176692320273E-2</v>
      </c>
    </row>
    <row r="3017" spans="1:4" ht="16.5" hidden="1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313">
        <f>参数调整!$K$34*怪物掉落配置方案!$D5069</f>
        <v>9.3872778565062598E-2</v>
      </c>
    </row>
    <row r="3018" spans="1:4" ht="16.5" hidden="1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313">
        <f>参数调整!$K$34*怪物掉落配置方案!$D5070</f>
        <v>0.10742823117559357</v>
      </c>
    </row>
    <row r="3019" spans="1:4" ht="16.5" hidden="1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313">
        <f>参数调整!$K$34*怪物掉落配置方案!$D5071</f>
        <v>0.12189753452391315</v>
      </c>
    </row>
    <row r="3020" spans="1:4" ht="16.5" hidden="1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313">
        <f>参数调整!$K$34*怪物掉落配置方案!$D5072</f>
        <v>0.13728068861002127</v>
      </c>
    </row>
    <row r="3021" spans="1:4" ht="16.5" hidden="1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313">
        <f>参数调整!$K$34*怪物掉落配置方案!$D5073</f>
        <v>0.15357769343391806</v>
      </c>
    </row>
    <row r="3022" spans="1:4" ht="16.5" hidden="1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313">
        <f>参数调整!$K$34*怪物掉落配置方案!$D5074</f>
        <v>0.17078854899560336</v>
      </c>
    </row>
    <row r="3023" spans="1:4" ht="16.5" hidden="1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313">
        <f>参数调整!$K$34*怪物掉落配置方案!$D5075</f>
        <v>0.18891325529507733</v>
      </c>
    </row>
    <row r="3024" spans="1:4" ht="16.5" hidden="1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313">
        <f>参数调整!$K$34*怪物掉落配置方案!$D5076</f>
        <v>0.20795181233233995</v>
      </c>
    </row>
    <row r="3025" spans="1:4" ht="16.5" hidden="1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313">
        <f>参数调整!$K$34*怪物掉落配置方案!$D5077</f>
        <v>0.22790422010739109</v>
      </c>
    </row>
    <row r="3026" spans="1:4" ht="16.5" hidden="1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313">
        <f>参数调整!$K$34*怪物掉落配置方案!$D5078</f>
        <v>0.24877047862023088</v>
      </c>
    </row>
    <row r="3027" spans="1:4" ht="16.5" hidden="1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313">
        <f>参数调整!$K$34*怪物掉落配置方案!$D5079</f>
        <v>0.45400927223921539</v>
      </c>
    </row>
    <row r="3028" spans="1:4" ht="16.5" hidden="1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313">
        <f>参数调整!$K$34*怪物掉落配置方案!$D5080</f>
        <v>0.574605485177757</v>
      </c>
    </row>
    <row r="3029" spans="1:4" ht="16.5" hidden="1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313">
        <f>参数调整!$K$34*怪物掉落配置方案!$D5081</f>
        <v>0.70938948787377398</v>
      </c>
    </row>
    <row r="3030" spans="1:4" ht="16.5" hidden="1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313">
        <f>参数调整!$K$34*怪物掉落配置方案!$D5082</f>
        <v>0.85836128032726666</v>
      </c>
    </row>
    <row r="3031" spans="1:4" ht="16.5" hidden="1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313">
        <f>参数调整!$K$34*怪物掉落配置方案!$D5083</f>
        <v>1.0215208625382344</v>
      </c>
    </row>
    <row r="3032" spans="1:4" ht="16.5" hidden="1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313">
        <f>参数调整!$K$34*怪物掉落配置方案!$D5084</f>
        <v>1.1988682345066781</v>
      </c>
    </row>
    <row r="3033" spans="1:4" ht="16.5" hidden="1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313">
        <f>参数调整!$K$34*怪物掉落配置方案!$D5085</f>
        <v>1.3904033962325968</v>
      </c>
    </row>
    <row r="3034" spans="1:4" ht="16.5" hidden="1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313">
        <f>参数调整!$K$34*怪物掉落配置方案!$D5086</f>
        <v>1.5961263477159915</v>
      </c>
    </row>
    <row r="3035" spans="1:4" ht="16.5" hidden="1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313">
        <f>参数调整!$K$34*怪物掉落配置方案!$D5087</f>
        <v>1.8160370889568618</v>
      </c>
    </row>
    <row r="3036" spans="1:4" ht="16.5" hidden="1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313">
        <f>参数调整!$K$34*怪物掉落配置方案!$D5088</f>
        <v>2.2984219407110285</v>
      </c>
    </row>
    <row r="3037" spans="1:4" ht="16.5" hidden="1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313">
        <f>参数调整!$K$34*怪物掉落配置方案!$D5089</f>
        <v>2.8375579514950959</v>
      </c>
    </row>
    <row r="3038" spans="1:4" ht="16.5" hidden="1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313">
        <f>参数调整!$K$34*怪物掉落配置方案!$D5090</f>
        <v>3.4334451213090666</v>
      </c>
    </row>
    <row r="3039" spans="1:4" ht="16.5" hidden="1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313">
        <f>参数调整!$K$34*怪物掉落配置方案!$D5091</f>
        <v>4.4336842992110874</v>
      </c>
    </row>
    <row r="3040" spans="1:4" ht="16.5" hidden="1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313">
        <f>参数调整!$K$34*怪物掉落配置方案!$D5092</f>
        <v>6.3845053908639651</v>
      </c>
    </row>
    <row r="3041" spans="1:4" ht="16.5" hidden="1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313">
        <f>参数调整!$K$34*怪物掉落配置方案!$D5093</f>
        <v>8.6900212264537302</v>
      </c>
    </row>
    <row r="3042" spans="1:4" ht="16.5" hidden="1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313">
        <f>参数调整!$K$34*怪物掉落配置方案!$D5094</f>
        <v>9.7115420889919672</v>
      </c>
    </row>
    <row r="3043" spans="1:4" ht="16.5" hidden="1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313">
        <f>参数调整!$K$34*怪物掉落配置方案!$D5095</f>
        <v>11.350231805980384</v>
      </c>
    </row>
    <row r="3044" spans="1:4" ht="16.5" hidden="1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313">
        <f>参数调整!$K$34*怪物掉落配置方案!$D5096</f>
        <v>13.116611630786078</v>
      </c>
    </row>
    <row r="3045" spans="1:4" ht="16.5" hidden="1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313">
        <f>参数调整!$K$34*怪物掉落配置方案!$D5097</f>
        <v>15.010681563409056</v>
      </c>
    </row>
    <row r="3046" spans="1:4" ht="16.5" hidden="1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313">
        <f>参数调整!$K$34*怪物掉落配置方案!$D5098</f>
        <v>17.032441603849318</v>
      </c>
    </row>
    <row r="3047" spans="1:4" ht="16.5" hidden="1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313">
        <f>参数调整!$K$34*怪物掉落配置方案!$D5099</f>
        <v>19.181891752106846</v>
      </c>
    </row>
    <row r="3048" spans="1:4" ht="16.5" hidden="1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313">
        <f>参数调整!$K$34*怪物掉落配置方案!$D5100</f>
        <v>21.459032008181662</v>
      </c>
    </row>
    <row r="3049" spans="1:4" ht="16.5" hidden="1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313">
        <f>参数调整!$K$34*怪物掉落配置方案!$D5101</f>
        <v>23.863862372073758</v>
      </c>
    </row>
    <row r="3050" spans="1:4" ht="16.5" hidden="1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313">
        <f>参数调整!$K$34*怪物掉落配置方案!$D5102</f>
        <v>26.396382843783122</v>
      </c>
    </row>
    <row r="3051" spans="1:4" ht="16.5" hidden="1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313">
        <f>参数调整!$K$34*怪物掉落配置方案!$D5103</f>
        <v>29.056593423309788</v>
      </c>
    </row>
    <row r="3052" spans="1:4" ht="16.5" hidden="1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313">
        <f>参数调整!$K$34*怪物掉落配置方案!$D5104</f>
        <v>31.844494110653716</v>
      </c>
    </row>
    <row r="3053" spans="1:4" ht="16.5" hidden="1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313">
        <f>参数调整!$K$34*怪物掉落配置方案!$D5105</f>
        <v>34.760084905814928</v>
      </c>
    </row>
    <row r="3054" spans="1:4" ht="16.5" hidden="1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313">
        <f>参数调整!$K$34*怪物掉落配置方案!$D5106</f>
        <v>5.912107288515956E-2</v>
      </c>
    </row>
    <row r="3055" spans="1:4" ht="16.5" hidden="1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313">
        <f>参数调整!$K$34*怪物掉落配置方案!$D5107</f>
        <v>7.4825107870280058E-2</v>
      </c>
    </row>
    <row r="3056" spans="1:4" ht="16.5" hidden="1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313">
        <f>参数调整!$K$34*怪物掉落配置方案!$D5108</f>
        <v>9.2376676383061795E-2</v>
      </c>
    </row>
    <row r="3057" spans="1:4" ht="16.5" hidden="1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313">
        <f>参数调整!$K$34*怪物掉落配置方案!$D5109</f>
        <v>0.11177577842350478</v>
      </c>
    </row>
    <row r="3058" spans="1:4" ht="16.5" hidden="1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313">
        <f>参数调整!$K$34*怪物掉落配置方案!$D5110</f>
        <v>0.13302241399160897</v>
      </c>
    </row>
    <row r="3059" spans="1:4" ht="16.5" hidden="1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313">
        <f>参数调整!$K$34*怪物掉落配置方案!$D5111</f>
        <v>0.15611658308737447</v>
      </c>
    </row>
    <row r="3060" spans="1:4" ht="16.5" hidden="1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313">
        <f>参数调整!$K$34*怪物掉落配置方案!$D5112</f>
        <v>0.18105828571080107</v>
      </c>
    </row>
    <row r="3061" spans="1:4" ht="16.5" hidden="1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313">
        <f>参数调整!$K$34*怪物掉落配置方案!$D5113</f>
        <v>0.20784752186188907</v>
      </c>
    </row>
    <row r="3062" spans="1:4" ht="16.5" hidden="1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313">
        <f>参数调整!$K$34*怪物掉落配置方案!$D5114</f>
        <v>0.23648429154063824</v>
      </c>
    </row>
    <row r="3063" spans="1:4" ht="16.5" hidden="1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313">
        <f>参数调整!$K$34*怪物掉落配置方案!$D5115</f>
        <v>0.29930043148112023</v>
      </c>
    </row>
    <row r="3064" spans="1:4" ht="16.5" hidden="1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313">
        <f>参数调整!$K$34*怪物掉落配置方案!$D5116</f>
        <v>0.36950670553224713</v>
      </c>
    </row>
    <row r="3065" spans="1:4" ht="16.5" hidden="1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313">
        <f>参数调整!$K$34*怪物掉落配置方案!$D5117</f>
        <v>0.44710311369401912</v>
      </c>
    </row>
    <row r="3066" spans="1:4" ht="16.5" hidden="1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313">
        <f>参数调整!$K$34*怪物掉落配置方案!$D5118</f>
        <v>0.57735422739413611</v>
      </c>
    </row>
    <row r="3067" spans="1:4" ht="16.5" hidden="1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313">
        <f>参数调整!$K$34*怪物掉落配置方案!$D5119</f>
        <v>0.83139008744755605</v>
      </c>
    </row>
    <row r="3068" spans="1:4" ht="16.5" hidden="1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313">
        <f>参数调整!$K$34*怪物掉落配置方案!$D5120</f>
        <v>1.1316142856925069</v>
      </c>
    </row>
    <row r="3069" spans="1:4" ht="16.5" hidden="1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313">
        <f>参数调整!$K$34*怪物掉落配置方案!$D5121</f>
        <v>1.2646366996841161</v>
      </c>
    </row>
    <row r="3070" spans="1:4" ht="16.5" hidden="1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313">
        <f>参数调整!$K$34*怪物掉落配置方案!$D5122</f>
        <v>1.4780268221289885</v>
      </c>
    </row>
    <row r="3071" spans="1:4" ht="16.5" hidden="1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313">
        <f>参数调整!$K$34*怪物掉落配置方案!$D5123</f>
        <v>1.7080447463228121</v>
      </c>
    </row>
    <row r="3072" spans="1:4" ht="16.5" hidden="1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313">
        <f>参数调整!$K$34*怪物掉落配置方案!$D5124</f>
        <v>1.9546904722655873</v>
      </c>
    </row>
    <row r="3073" spans="1:4" ht="16.5" hidden="1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313">
        <f>参数调整!$K$34*怪物掉落配置方案!$D5125</f>
        <v>2.217963999957314</v>
      </c>
    </row>
    <row r="3074" spans="1:4" ht="16.5" hidden="1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313">
        <f>参数调整!$K$34*怪物掉落配置方案!$D5126</f>
        <v>2.4978653293979911</v>
      </c>
    </row>
    <row r="3075" spans="1:4" ht="16.5" hidden="1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313">
        <f>参数调整!$K$34*怪物掉落配置方案!$D5127</f>
        <v>2.7943944605876196</v>
      </c>
    </row>
    <row r="3076" spans="1:4" ht="16.5" hidden="1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313">
        <f>参数调整!$K$34*怪物掉落配置方案!$D5128</f>
        <v>3.1075513935261987</v>
      </c>
    </row>
    <row r="3077" spans="1:4" ht="16.5" hidden="1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313">
        <f>参数调整!$K$34*怪物掉落配置方案!$D5129</f>
        <v>3.4373361282137282</v>
      </c>
    </row>
    <row r="3078" spans="1:4" ht="16.5" hidden="1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313">
        <f>参数调整!$K$34*怪物掉落配置方案!$D5130</f>
        <v>3.7837486646502114</v>
      </c>
    </row>
    <row r="3079" spans="1:4" ht="16.5" hidden="1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313">
        <f>参数调整!$K$34*怪物掉落配置方案!$D5131</f>
        <v>4.1467890028356447</v>
      </c>
    </row>
    <row r="3080" spans="1:4" ht="16.5" hidden="1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313">
        <f>参数调整!$K$34*怪物掉落配置方案!$D5132</f>
        <v>4.5264571427700284</v>
      </c>
    </row>
    <row r="3081" spans="1:4" ht="16.5" hidden="1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313">
        <f>参数调整!$K$33*怪物掉落配置方案!$D4107</f>
        <v>1.9795754865273258E-2</v>
      </c>
    </row>
    <row r="3082" spans="1:4" ht="16.5" hidden="1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313">
        <f>参数调整!$K$33*怪物掉落配置方案!$D4108</f>
        <v>2.5054002251361472E-2</v>
      </c>
    </row>
    <row r="3083" spans="1:4" ht="16.5" hidden="1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313">
        <f>参数调整!$K$33*怪物掉落配置方案!$D4109</f>
        <v>3.0930866976989466E-2</v>
      </c>
    </row>
    <row r="3084" spans="1:4" ht="16.5" hidden="1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313">
        <f>参数调整!$K$33*怪物掉落配置方案!$D4110</f>
        <v>3.7426349042157254E-2</v>
      </c>
    </row>
    <row r="3085" spans="1:4" ht="16.5" hidden="1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313">
        <f>参数调整!$K$33*怪物掉落配置方案!$D4111</f>
        <v>4.4540448446864819E-2</v>
      </c>
    </row>
    <row r="3086" spans="1:4" ht="16.5" hidden="1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313">
        <f>参数调整!$K$33*怪物掉落配置方案!$D4112</f>
        <v>5.2273165191112192E-2</v>
      </c>
    </row>
    <row r="3087" spans="1:4" ht="16.5" hidden="1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313">
        <f>参数调整!$K$33*怪物掉落配置方案!$D4113</f>
        <v>6.0624499274899338E-2</v>
      </c>
    </row>
    <row r="3088" spans="1:4" ht="16.5" hidden="1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313">
        <f>参数调整!$K$33*怪物掉落配置方案!$D4114</f>
        <v>6.9594450698226284E-2</v>
      </c>
    </row>
    <row r="3089" spans="1:4" ht="16.5" hidden="1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313">
        <f>参数调整!$K$33*怪物掉落配置方案!$D4115</f>
        <v>7.9183019461093032E-2</v>
      </c>
    </row>
    <row r="3090" spans="1:4" ht="16.5" hidden="1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313">
        <f>参数调整!$K$33*怪物掉落配置方案!$D4116</f>
        <v>0.10021600900544586</v>
      </c>
    </row>
    <row r="3091" spans="1:4" ht="16.5" hidden="1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313">
        <f>参数调整!$K$33*怪物掉落配置方案!$D4117</f>
        <v>0.12372346790795784</v>
      </c>
    </row>
    <row r="3092" spans="1:4" ht="16.5" hidden="1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313">
        <f>参数调整!$K$33*怪物掉落配置方案!$D4118</f>
        <v>0.14970539616862902</v>
      </c>
    </row>
    <row r="3093" spans="1:4" ht="16.5" hidden="1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313">
        <f>参数调整!$K$33*怪物掉落配置方案!$D4119</f>
        <v>0.19331791860618411</v>
      </c>
    </row>
    <row r="3094" spans="1:4" ht="16.5" hidden="1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313">
        <f>参数调整!$K$33*怪物掉落配置方案!$D4120</f>
        <v>0.27837780279290514</v>
      </c>
    </row>
    <row r="3095" spans="1:4" ht="16.5" hidden="1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313">
        <f>参数调整!$K$33*怪物掉落配置方案!$D4121</f>
        <v>0.37890312046812086</v>
      </c>
    </row>
    <row r="3096" spans="1:4" ht="16.5" hidden="1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313">
        <f>参数调整!$K$33*怪物掉落配置方案!$D4122</f>
        <v>0.4234435689149858</v>
      </c>
    </row>
    <row r="3097" spans="1:4" ht="16.5" hidden="1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313">
        <f>参数调整!$K$33*怪物掉落配置方案!$D4123</f>
        <v>0.49489387163183135</v>
      </c>
    </row>
    <row r="3098" spans="1:4" ht="16.5" hidden="1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313">
        <f>参数调整!$K$33*怪物掉落配置方案!$D4124</f>
        <v>0.57191173040453502</v>
      </c>
    </row>
    <row r="3099" spans="1:4" ht="16.5" hidden="1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313">
        <f>参数调整!$K$33*怪物掉落配置方案!$D4125</f>
        <v>0.65449714523309688</v>
      </c>
    </row>
    <row r="3100" spans="1:4" ht="16.5" hidden="1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313">
        <f>参数调整!$K$33*怪物掉落配置方案!$D4126</f>
        <v>0.74265011611751708</v>
      </c>
    </row>
    <row r="3101" spans="1:4" ht="16.5" hidden="1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313">
        <f>参数调整!$K$33*怪物掉落配置方案!$D4127</f>
        <v>0.83637064305779507</v>
      </c>
    </row>
    <row r="3102" spans="1:4" ht="16.5" hidden="1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313">
        <f>参数调整!$K$33*怪物掉落配置方案!$D4128</f>
        <v>0.93565872605393119</v>
      </c>
    </row>
    <row r="3103" spans="1:4" ht="16.5" hidden="1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313">
        <f>参数调整!$K$33*怪物掉落配置方案!$D4129</f>
        <v>1.0405143651059254</v>
      </c>
    </row>
    <row r="3104" spans="1:4" ht="16.5" hidden="1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313">
        <f>参数调整!$K$33*怪物掉落配置方案!$D4130</f>
        <v>1.1509375602137777</v>
      </c>
    </row>
    <row r="3105" spans="1:4" ht="16.5" hidden="1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313">
        <f>参数调整!$K$33*怪物掉落配置方案!$D4131</f>
        <v>1.2669283113774885</v>
      </c>
    </row>
    <row r="3106" spans="1:4" ht="16.5" hidden="1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313">
        <f>参数调整!$K$33*怪物掉落配置方案!$D4132</f>
        <v>1.388486618597057</v>
      </c>
    </row>
    <row r="3107" spans="1:4" ht="16.5" hidden="1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313">
        <f>参数调整!$K$33*怪物掉落配置方案!$D4133</f>
        <v>1.5156124818724839</v>
      </c>
    </row>
    <row r="3108" spans="1:4" ht="16.5" hidden="1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313">
        <f>参数调整!$K$33*怪物掉落配置方案!$D4134</f>
        <v>0.25942556279562545</v>
      </c>
    </row>
    <row r="3109" spans="1:4" ht="16.5" hidden="1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313">
        <f>参数调整!$K$33*怪物掉落配置方案!$D4135</f>
        <v>0.32833547791321349</v>
      </c>
    </row>
    <row r="3110" spans="1:4" ht="16.5" hidden="1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313">
        <f>参数调整!$K$33*怪物掉落配置方案!$D4136</f>
        <v>0.40535244186816466</v>
      </c>
    </row>
    <row r="3111" spans="1:4" ht="16.5" hidden="1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313">
        <f>参数调整!$K$33*怪物掉落配置方案!$D4137</f>
        <v>0.49047645466047934</v>
      </c>
    </row>
    <row r="3112" spans="1:4" ht="16.5" hidden="1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313">
        <f>参数调整!$K$33*怪物掉落配置方案!$D4138</f>
        <v>0.58370751629015694</v>
      </c>
    </row>
    <row r="3113" spans="1:4" ht="16.5" hidden="1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313">
        <f>参数调整!$K$33*怪物掉落配置方案!$D4139</f>
        <v>0.68504562675719838</v>
      </c>
    </row>
    <row r="3114" spans="1:4" ht="16.5" hidden="1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313">
        <f>参数调整!$K$33*怪物掉落配置方案!$D4140</f>
        <v>0.79449078606160262</v>
      </c>
    </row>
    <row r="3115" spans="1:4" ht="16.5" hidden="1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313">
        <f>参数调整!$K$33*怪物掉落配置方案!$D4141</f>
        <v>0.91204299420337043</v>
      </c>
    </row>
    <row r="3116" spans="1:4" ht="16.5" hidden="1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313">
        <f>参数调整!$K$33*怪物掉落配置方案!$D4142</f>
        <v>1.0377022511825018</v>
      </c>
    </row>
    <row r="3117" spans="1:4" ht="16.5" hidden="1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313">
        <f>参数调整!$K$33*怪物掉落配置方案!$D4143</f>
        <v>1.3133419116528537</v>
      </c>
    </row>
    <row r="3118" spans="1:4" ht="16.5" hidden="1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313">
        <f>参数调整!$K$33*怪物掉落配置方案!$D4144</f>
        <v>1.6214097674726584</v>
      </c>
    </row>
    <row r="3119" spans="1:4" ht="16.5" hidden="1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313">
        <f>参数调整!$K$33*怪物掉落配置方案!$D4145</f>
        <v>1.9619058186419174</v>
      </c>
    </row>
    <row r="3120" spans="1:4" ht="16.5" hidden="1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313">
        <f>参数调整!$K$33*怪物掉落配置方案!$D4146</f>
        <v>2.533452761676029</v>
      </c>
    </row>
    <row r="3121" spans="1:4" ht="16.5" hidden="1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313">
        <f>参数调整!$K$33*怪物掉落配置方案!$D4147</f>
        <v>3.6481719768134817</v>
      </c>
    </row>
    <row r="3122" spans="1:4" ht="16.5" hidden="1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313">
        <f>参数调整!$K$33*怪物掉落配置方案!$D4148</f>
        <v>4.965567412885016</v>
      </c>
    </row>
    <row r="3123" spans="1:4" ht="16.5" hidden="1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313">
        <f>参数调整!$K$33*怪物掉落配置方案!$D4149</f>
        <v>5.5492749291751746</v>
      </c>
    </row>
    <row r="3124" spans="1:4" ht="16.5" hidden="1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313">
        <f>参数调整!$K$33*怪物掉落配置方案!$D4150</f>
        <v>6.4856390698906337</v>
      </c>
    </row>
    <row r="3125" spans="1:4" ht="16.5" hidden="1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313">
        <f>参数调整!$K$33*怪物掉落配置方案!$D4151</f>
        <v>7.4949666501423637</v>
      </c>
    </row>
    <row r="3126" spans="1:4" ht="16.5" hidden="1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313">
        <f>参数调整!$K$33*怪物掉落配置方案!$D4152</f>
        <v>8.5772576699303631</v>
      </c>
    </row>
    <row r="3127" spans="1:4" ht="16.5" hidden="1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313">
        <f>参数调整!$K$33*怪物掉落配置方案!$D4153</f>
        <v>9.7325121292546353</v>
      </c>
    </row>
    <row r="3128" spans="1:4" ht="16.5" hidden="1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313">
        <f>参数调整!$K$33*怪物掉落配置方案!$D4154</f>
        <v>10.960730028115172</v>
      </c>
    </row>
    <row r="3129" spans="1:4" ht="16.5" hidden="1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313">
        <f>参数调整!$K$33*怪物掉落配置方案!$D4155</f>
        <v>12.261911366511983</v>
      </c>
    </row>
    <row r="3130" spans="1:4" ht="16.5" hidden="1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313">
        <f>参数调整!$K$33*怪物掉落配置方案!$D4156</f>
        <v>13.636056144445059</v>
      </c>
    </row>
    <row r="3131" spans="1:4" ht="16.5" hidden="1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313">
        <f>参数调整!$K$33*怪物掉落配置方案!$D4157</f>
        <v>15.083164361914406</v>
      </c>
    </row>
    <row r="3132" spans="1:4" ht="16.5" hidden="1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313">
        <f>参数调整!$K$33*怪物掉落配置方案!$D4158</f>
        <v>16.603236018920025</v>
      </c>
    </row>
    <row r="3133" spans="1:4" ht="16.5" hidden="1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313">
        <f>参数调整!$K$33*怪物掉落配置方案!$D4159</f>
        <v>18.196271115461911</v>
      </c>
    </row>
    <row r="3134" spans="1:4" ht="16.5" hidden="1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313">
        <f>参数调整!$K$33*怪物掉落配置方案!$D4160</f>
        <v>19.862269651540068</v>
      </c>
    </row>
    <row r="3135" spans="1:4" ht="16.5" hidden="1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313">
        <f>参数调整!$K$33*怪物掉落配置方案!$D4161</f>
        <v>3350</v>
      </c>
    </row>
    <row r="3136" spans="1:4" ht="16.5" hidden="1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313">
        <f>参数调整!$K$33*怪物掉落配置方案!$D4162</f>
        <v>4250</v>
      </c>
    </row>
    <row r="3137" spans="1:4" ht="16.5" hidden="1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313">
        <f>参数调整!$K$33*怪物掉落配置方案!$D4163</f>
        <v>5250</v>
      </c>
    </row>
    <row r="3138" spans="1:4" ht="16.5" hidden="1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313">
        <f>参数调整!$K$33*怪物掉落配置方案!$D4164</f>
        <v>6350</v>
      </c>
    </row>
    <row r="3139" spans="1:4" ht="16.5" hidden="1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313">
        <f>参数调整!$K$33*怪物掉落配置方案!$D4165</f>
        <v>7550</v>
      </c>
    </row>
    <row r="3140" spans="1:4" ht="16.5" hidden="1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313">
        <f>参数调整!$K$33*怪物掉落配置方案!$D4166</f>
        <v>8850</v>
      </c>
    </row>
    <row r="3141" spans="1:4" ht="16.5" hidden="1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313">
        <f>参数调整!$K$33*怪物掉落配置方案!$D4167</f>
        <v>10300</v>
      </c>
    </row>
    <row r="3142" spans="1:4" ht="16.5" hidden="1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313">
        <f>参数调整!$K$33*怪物掉落配置方案!$D4168</f>
        <v>11800</v>
      </c>
    </row>
    <row r="3143" spans="1:4" ht="16.5" hidden="1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313">
        <f>参数调整!$K$33*怪物掉落配置方案!$D4169</f>
        <v>13400</v>
      </c>
    </row>
    <row r="3144" spans="1:4" ht="16.5" hidden="1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313">
        <f>参数调整!$K$33*怪物掉落配置方案!$D4170</f>
        <v>17000</v>
      </c>
    </row>
    <row r="3145" spans="1:4" ht="16.5" hidden="1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313">
        <f>参数调整!$K$33*怪物掉落配置方案!$D4171</f>
        <v>20950</v>
      </c>
    </row>
    <row r="3146" spans="1:4" ht="16.5" hidden="1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313">
        <f>参数调整!$K$33*怪物掉落配置方案!$D4172</f>
        <v>25400</v>
      </c>
    </row>
    <row r="3147" spans="1:4" ht="16.5" hidden="1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313">
        <f>参数调整!$K$33*怪物掉落配置方案!$D4173</f>
        <v>32750</v>
      </c>
    </row>
    <row r="3148" spans="1:4" ht="16.5" hidden="1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313">
        <f>参数调整!$K$33*怪物掉落配置方案!$D4174</f>
        <v>47200</v>
      </c>
    </row>
    <row r="3149" spans="1:4" ht="16.5" hidden="1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313">
        <f>参数调整!$K$33*怪物掉落配置方案!$D4175</f>
        <v>64250</v>
      </c>
    </row>
    <row r="3150" spans="1:4" ht="16.5" hidden="1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313">
        <f>参数调整!$K$33*怪物掉落配置方案!$D4176</f>
        <v>71800</v>
      </c>
    </row>
    <row r="3151" spans="1:4" ht="16.5" hidden="1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313">
        <f>参数调整!$K$33*怪物掉落配置方案!$D4177</f>
        <v>83900</v>
      </c>
    </row>
    <row r="3152" spans="1:4" ht="16.5" hidden="1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313">
        <f>参数调整!$K$33*怪物掉落配置方案!$D4178</f>
        <v>96950</v>
      </c>
    </row>
    <row r="3153" spans="1:4" ht="16.5" hidden="1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313">
        <f>参数调整!$K$33*怪物掉落配置方案!$D4179</f>
        <v>110950</v>
      </c>
    </row>
    <row r="3154" spans="1:4" ht="16.5" hidden="1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313">
        <f>参数调整!$K$33*怪物掉落配置方案!$D4180</f>
        <v>125900</v>
      </c>
    </row>
    <row r="3155" spans="1:4" ht="16.5" hidden="1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313">
        <f>参数调整!$K$33*怪物掉落配置方案!$D4181</f>
        <v>141800</v>
      </c>
    </row>
    <row r="3156" spans="1:4" ht="16.5" hidden="1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313">
        <f>参数调整!$K$33*怪物掉落配置方案!$D4182</f>
        <v>158600</v>
      </c>
    </row>
    <row r="3157" spans="1:4" ht="16.5" hidden="1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313">
        <f>参数调整!$K$33*怪物掉落配置方案!$D4183</f>
        <v>176400</v>
      </c>
    </row>
    <row r="3158" spans="1:4" ht="16.5" hidden="1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313">
        <f>参数调整!$K$33*怪物掉落配置方案!$D4184</f>
        <v>195100</v>
      </c>
    </row>
    <row r="3159" spans="1:4" ht="16.5" hidden="1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313">
        <f>参数调整!$K$33*怪物掉落配置方案!$D4185</f>
        <v>214750</v>
      </c>
    </row>
    <row r="3160" spans="1:4" ht="16.5" hidden="1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313">
        <f>参数调整!$K$33*怪物掉落配置方案!$D4186</f>
        <v>235350</v>
      </c>
    </row>
    <row r="3161" spans="1:4" ht="16.5" hidden="1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313">
        <f>参数调整!$K$33*怪物掉落配置方案!$D4187</f>
        <v>256900</v>
      </c>
    </row>
    <row r="3162" spans="1:4" ht="16.5" hidden="1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313">
        <f>参数调整!$K$33*怪物掉落配置方案!$D4188</f>
        <v>4.0615588346160146E-4</v>
      </c>
    </row>
    <row r="3163" spans="1:4" ht="16.5" hidden="1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313">
        <f>参数调整!$K$33*怪物掉落配置方案!$D4189</f>
        <v>5.1404104000608939E-4</v>
      </c>
    </row>
    <row r="3164" spans="1:4" ht="16.5" hidden="1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313">
        <f>参数调整!$K$33*怪物掉落配置方案!$D4190</f>
        <v>6.3461856790875224E-4</v>
      </c>
    </row>
    <row r="3165" spans="1:4" ht="16.5" hidden="1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313">
        <f>参数调整!$K$33*怪物掉落配置方案!$D4191</f>
        <v>7.6788846716959022E-4</v>
      </c>
    </row>
    <row r="3166" spans="1:4" ht="16.5" hidden="1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313">
        <f>参数调整!$K$33*怪物掉落配置方案!$D4192</f>
        <v>9.1385073778860312E-4</v>
      </c>
    </row>
    <row r="3167" spans="1:4" ht="16.5" hidden="1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313">
        <f>参数调整!$K$33*怪物掉落配置方案!$D4193</f>
        <v>1.0725053797657912E-3</v>
      </c>
    </row>
    <row r="3168" spans="1:4" ht="16.5" hidden="1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313">
        <f>参数调整!$K$33*怪物掉落配置方案!$D4194</f>
        <v>1.2438523931011542E-3</v>
      </c>
    </row>
    <row r="3169" spans="1:4" ht="16.5" hidden="1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313">
        <f>参数调整!$K$33*怪物掉落配置方案!$D4195</f>
        <v>1.4278917777946923E-3</v>
      </c>
    </row>
    <row r="3170" spans="1:4" ht="16.5" hidden="1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313">
        <f>参数调整!$K$33*怪物掉落配置方案!$D4196</f>
        <v>1.6246235338464063E-3</v>
      </c>
    </row>
    <row r="3171" spans="1:4" ht="16.5" hidden="1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313">
        <f>参数调整!$K$33*怪物掉落配置方案!$D4197</f>
        <v>2.0561641600243571E-3</v>
      </c>
    </row>
    <row r="3172" spans="1:4" ht="16.5" hidden="1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313">
        <f>参数调整!$K$33*怪物掉落配置方案!$D4198</f>
        <v>2.5384742716350085E-3</v>
      </c>
    </row>
    <row r="3173" spans="1:4" ht="16.5" hidden="1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313">
        <f>参数调整!$K$33*怪物掉落配置方案!$D4199</f>
        <v>3.0715538686783609E-3</v>
      </c>
    </row>
    <row r="3174" spans="1:4" ht="16.5" hidden="1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313">
        <f>参数调整!$K$33*怪物掉落配置方案!$D4200</f>
        <v>3.9663660494297015E-3</v>
      </c>
    </row>
    <row r="3175" spans="1:4" ht="16.5" hidden="1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313">
        <f>参数调整!$K$33*怪物掉落配置方案!$D4201</f>
        <v>5.7115671111787683E-3</v>
      </c>
    </row>
    <row r="3176" spans="1:4" ht="16.5" hidden="1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313">
        <f>参数调整!$K$33*怪物掉落配置方案!$D4202</f>
        <v>7.7740774568822134E-3</v>
      </c>
    </row>
    <row r="3177" spans="1:4" ht="16.5" hidden="1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313">
        <f>参数调整!$K$33*怪物掉落配置方案!$D4203</f>
        <v>8.6879281946708187E-3</v>
      </c>
    </row>
    <row r="3178" spans="1:4" ht="16.5" hidden="1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313">
        <f>参数调整!$K$33*怪物掉落配置方案!$D4204</f>
        <v>1.0153897086540034E-2</v>
      </c>
    </row>
    <row r="3179" spans="1:4" ht="16.5" hidden="1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313">
        <f>参数调整!$K$33*怪物掉落配置方案!$D4205</f>
        <v>1.1734097320632825E-2</v>
      </c>
    </row>
    <row r="3180" spans="1:4" ht="16.5" hidden="1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313">
        <f>参数调整!$K$33*怪物掉落配置方案!$D4206</f>
        <v>1.3428528896949196E-2</v>
      </c>
    </row>
    <row r="3181" spans="1:4" ht="16.5" hidden="1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313">
        <f>参数调整!$K$33*怪物掉落配置方案!$D4207</f>
        <v>1.5237191815489144E-2</v>
      </c>
    </row>
    <row r="3182" spans="1:4" ht="16.5" hidden="1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313">
        <f>参数调整!$K$33*怪物掉落配置方案!$D4208</f>
        <v>1.7160086076252658E-2</v>
      </c>
    </row>
    <row r="3183" spans="1:4" ht="16.5" hidden="1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313">
        <f>参数调整!$K$33*怪物掉落配置方案!$D4209</f>
        <v>1.9197211679239757E-2</v>
      </c>
    </row>
    <row r="3184" spans="1:4" ht="16.5" hidden="1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313">
        <f>参数调整!$K$33*怪物掉落配置方案!$D4210</f>
        <v>2.134856862445042E-2</v>
      </c>
    </row>
    <row r="3185" spans="1:4" ht="16.5" hidden="1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313">
        <f>参数调整!$K$33*怪物掉落配置方案!$D4211</f>
        <v>2.3614156911884666E-2</v>
      </c>
    </row>
    <row r="3186" spans="1:4" ht="16.5" hidden="1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313">
        <f>参数调整!$K$33*怪物掉落配置方案!$D4212</f>
        <v>2.5993976541542493E-2</v>
      </c>
    </row>
    <row r="3187" spans="1:4" ht="16.5" hidden="1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313">
        <f>参数调整!$K$33*怪物掉落配置方案!$D4213</f>
        <v>2.8488027513423886E-2</v>
      </c>
    </row>
    <row r="3188" spans="1:4" ht="16.5" hidden="1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313">
        <f>参数调整!$K$33*怪物掉落配置方案!$D4214</f>
        <v>3.109630982752886E-2</v>
      </c>
    </row>
    <row r="3189" spans="1:4" ht="16.5" hidden="1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313">
        <f>参数调整!$K$33*怪物掉落配置方案!$D4215</f>
        <v>0</v>
      </c>
    </row>
    <row r="3190" spans="1:4" ht="16.5" hidden="1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313">
        <f>参数调整!$K$33*怪物掉落配置方案!$D4216</f>
        <v>0</v>
      </c>
    </row>
    <row r="3191" spans="1:4" ht="16.5" hidden="1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313">
        <f>参数调整!$K$33*怪物掉落配置方案!$D4217</f>
        <v>0</v>
      </c>
    </row>
    <row r="3192" spans="1:4" ht="16.5" hidden="1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313">
        <f>参数调整!$K$33*怪物掉落配置方案!$D4218</f>
        <v>0</v>
      </c>
    </row>
    <row r="3193" spans="1:4" ht="16.5" hidden="1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313">
        <f>参数调整!$K$33*怪物掉落配置方案!$D4219</f>
        <v>0</v>
      </c>
    </row>
    <row r="3194" spans="1:4" ht="16.5" hidden="1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313">
        <f>参数调整!$K$33*怪物掉落配置方案!$D4220</f>
        <v>0</v>
      </c>
    </row>
    <row r="3195" spans="1:4" ht="16.5" hidden="1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313">
        <f>参数调整!$K$33*怪物掉落配置方案!$D4221</f>
        <v>0</v>
      </c>
    </row>
    <row r="3196" spans="1:4" ht="16.5" hidden="1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313">
        <f>参数调整!$K$33*怪物掉落配置方案!$D4222</f>
        <v>0</v>
      </c>
    </row>
    <row r="3197" spans="1:4" ht="16.5" hidden="1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313">
        <f>参数调整!$K$33*怪物掉落配置方案!$D4223</f>
        <v>0</v>
      </c>
    </row>
    <row r="3198" spans="1:4" ht="16.5" hidden="1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313">
        <f>参数调整!$K$33*怪物掉落配置方案!$D4224</f>
        <v>0</v>
      </c>
    </row>
    <row r="3199" spans="1:4" ht="16.5" hidden="1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313">
        <f>参数调整!$K$33*怪物掉落配置方案!$D4225</f>
        <v>0</v>
      </c>
    </row>
    <row r="3200" spans="1:4" ht="16.5" hidden="1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313">
        <f>参数调整!$K$33*怪物掉落配置方案!$D4226</f>
        <v>0</v>
      </c>
    </row>
    <row r="3201" spans="1:4" ht="16.5" hidden="1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313">
        <f>参数调整!$K$33*怪物掉落配置方案!$D4227</f>
        <v>0</v>
      </c>
    </row>
    <row r="3202" spans="1:4" ht="16.5" hidden="1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313">
        <f>参数调整!$K$33*怪物掉落配置方案!$D4228</f>
        <v>0</v>
      </c>
    </row>
    <row r="3203" spans="1:4" ht="16.5" hidden="1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313">
        <f>参数调整!$K$33*怪物掉落配置方案!$D4229</f>
        <v>0</v>
      </c>
    </row>
    <row r="3204" spans="1:4" ht="16.5" hidden="1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313">
        <f>参数调整!$K$33*怪物掉落配置方案!$D4230</f>
        <v>0</v>
      </c>
    </row>
    <row r="3205" spans="1:4" ht="16.5" hidden="1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313">
        <f>参数调整!$K$33*怪物掉落配置方案!$D4231</f>
        <v>0</v>
      </c>
    </row>
    <row r="3206" spans="1:4" ht="16.5" hidden="1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313">
        <f>参数调整!$K$33*怪物掉落配置方案!$D4232</f>
        <v>0</v>
      </c>
    </row>
    <row r="3207" spans="1:4" ht="16.5" hidden="1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313">
        <f>参数调整!$K$33*怪物掉落配置方案!$D4233</f>
        <v>0</v>
      </c>
    </row>
    <row r="3208" spans="1:4" ht="16.5" hidden="1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313">
        <f>参数调整!$K$33*怪物掉落配置方案!$D4234</f>
        <v>0</v>
      </c>
    </row>
    <row r="3209" spans="1:4" ht="16.5" hidden="1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313">
        <f>参数调整!$K$33*怪物掉落配置方案!$D4235</f>
        <v>0</v>
      </c>
    </row>
    <row r="3210" spans="1:4" ht="16.5" hidden="1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313">
        <f>参数调整!$K$33*怪物掉落配置方案!$D4236</f>
        <v>0</v>
      </c>
    </row>
    <row r="3211" spans="1:4" ht="16.5" hidden="1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313">
        <f>参数调整!$K$33*怪物掉落配置方案!$D4237</f>
        <v>0</v>
      </c>
    </row>
    <row r="3212" spans="1:4" ht="16.5" hidden="1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313">
        <f>参数调整!$K$33*怪物掉落配置方案!$D4238</f>
        <v>0</v>
      </c>
    </row>
    <row r="3213" spans="1:4" ht="16.5" hidden="1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313">
        <f>参数调整!$K$33*怪物掉落配置方案!$D4239</f>
        <v>0</v>
      </c>
    </row>
    <row r="3214" spans="1:4" ht="16.5" hidden="1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313">
        <f>参数调整!$K$33*怪物掉落配置方案!$D4240</f>
        <v>0</v>
      </c>
    </row>
    <row r="3215" spans="1:4" ht="16.5" hidden="1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313">
        <f>参数调整!$K$33*怪物掉落配置方案!$D4241</f>
        <v>0</v>
      </c>
    </row>
    <row r="3216" spans="1:4" ht="16.5" hidden="1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313">
        <f>参数调整!$K$33*怪物掉落配置方案!$D4242</f>
        <v>0</v>
      </c>
    </row>
    <row r="3217" spans="1:4" ht="16.5" hidden="1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313">
        <f>参数调整!$K$33*怪物掉落配置方案!$D4243</f>
        <v>0</v>
      </c>
    </row>
    <row r="3218" spans="1:4" ht="16.5" hidden="1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313">
        <f>参数调整!$K$33*怪物掉落配置方案!$D4244</f>
        <v>0</v>
      </c>
    </row>
    <row r="3219" spans="1:4" ht="16.5" hidden="1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313">
        <f>参数调整!$K$33*怪物掉落配置方案!$D4245</f>
        <v>0</v>
      </c>
    </row>
    <row r="3220" spans="1:4" ht="16.5" hidden="1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313">
        <f>参数调整!$K$33*怪物掉落配置方案!$D4246</f>
        <v>0</v>
      </c>
    </row>
    <row r="3221" spans="1:4" ht="16.5" hidden="1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313">
        <f>参数调整!$K$33*怪物掉落配置方案!$D4247</f>
        <v>0</v>
      </c>
    </row>
    <row r="3222" spans="1:4" ht="16.5" hidden="1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313">
        <f>参数调整!$K$33*怪物掉落配置方案!$D4248</f>
        <v>0</v>
      </c>
    </row>
    <row r="3223" spans="1:4" ht="16.5" hidden="1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313">
        <f>参数调整!$K$33*怪物掉落配置方案!$D4249</f>
        <v>0</v>
      </c>
    </row>
    <row r="3224" spans="1:4" ht="16.5" hidden="1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313">
        <f>参数调整!$K$33*怪物掉落配置方案!$D4250</f>
        <v>0</v>
      </c>
    </row>
    <row r="3225" spans="1:4" ht="16.5" hidden="1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313">
        <f>参数调整!$K$33*怪物掉落配置方案!$D4251</f>
        <v>0</v>
      </c>
    </row>
    <row r="3226" spans="1:4" ht="16.5" hidden="1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313">
        <f>参数调整!$K$33*怪物掉落配置方案!$D4252</f>
        <v>0</v>
      </c>
    </row>
    <row r="3227" spans="1:4" ht="16.5" hidden="1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313">
        <f>参数调整!$K$33*怪物掉落配置方案!$D4253</f>
        <v>0</v>
      </c>
    </row>
    <row r="3228" spans="1:4" ht="16.5" hidden="1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313">
        <f>参数调整!$K$33*怪物掉落配置方案!$D4254</f>
        <v>0</v>
      </c>
    </row>
    <row r="3229" spans="1:4" ht="16.5" hidden="1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313">
        <f>参数调整!$K$33*怪物掉落配置方案!$D4255</f>
        <v>0</v>
      </c>
    </row>
    <row r="3230" spans="1:4" ht="16.5" hidden="1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313">
        <f>参数调整!$K$33*怪物掉落配置方案!$D4256</f>
        <v>0</v>
      </c>
    </row>
    <row r="3231" spans="1:4" ht="16.5" hidden="1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313">
        <f>参数调整!$K$33*怪物掉落配置方案!$D4257</f>
        <v>0</v>
      </c>
    </row>
    <row r="3232" spans="1:4" ht="16.5" hidden="1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313">
        <f>参数调整!$K$33*怪物掉落配置方案!$D4258</f>
        <v>0</v>
      </c>
    </row>
    <row r="3233" spans="1:4" ht="16.5" hidden="1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313">
        <f>参数调整!$K$33*怪物掉落配置方案!$D4259</f>
        <v>0</v>
      </c>
    </row>
    <row r="3234" spans="1:4" ht="16.5" hidden="1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313">
        <f>参数调整!$K$33*怪物掉落配置方案!$D4260</f>
        <v>0</v>
      </c>
    </row>
    <row r="3235" spans="1:4" ht="16.5" hidden="1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313">
        <f>参数调整!$K$33*怪物掉落配置方案!$D4261</f>
        <v>0</v>
      </c>
    </row>
    <row r="3236" spans="1:4" ht="16.5" hidden="1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313">
        <f>参数调整!$K$33*怪物掉落配置方案!$D4262</f>
        <v>0</v>
      </c>
    </row>
    <row r="3237" spans="1:4" ht="16.5" hidden="1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313">
        <f>参数调整!$K$33*怪物掉落配置方案!$D4263</f>
        <v>0</v>
      </c>
    </row>
    <row r="3238" spans="1:4" ht="16.5" hidden="1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313">
        <f>参数调整!$K$33*怪物掉落配置方案!$D4264</f>
        <v>0</v>
      </c>
    </row>
    <row r="3239" spans="1:4" ht="16.5" hidden="1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313">
        <f>参数调整!$K$33*怪物掉落配置方案!$D4265</f>
        <v>0</v>
      </c>
    </row>
    <row r="3240" spans="1:4" ht="16.5" hidden="1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313">
        <f>参数调整!$K$33*怪物掉落配置方案!$D4266</f>
        <v>0</v>
      </c>
    </row>
    <row r="3241" spans="1:4" ht="16.5" hidden="1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313">
        <f>参数调整!$K$33*怪物掉落配置方案!$D4267</f>
        <v>0</v>
      </c>
    </row>
    <row r="3242" spans="1:4" ht="16.5" hidden="1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313">
        <f>参数调整!$K$33*怪物掉落配置方案!$D4268</f>
        <v>0</v>
      </c>
    </row>
    <row r="3243" spans="1:4" ht="16.5" hidden="1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313">
        <f>参数调整!$K$33*怪物掉落配置方案!$D4269</f>
        <v>0</v>
      </c>
    </row>
    <row r="3244" spans="1:4" ht="16.5" hidden="1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313">
        <f>参数调整!$K$33*怪物掉落配置方案!$D4270</f>
        <v>0</v>
      </c>
    </row>
    <row r="3245" spans="1:4" ht="16.5" hidden="1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313">
        <f>参数调整!$K$33*怪物掉落配置方案!$D4271</f>
        <v>0</v>
      </c>
    </row>
    <row r="3246" spans="1:4" ht="16.5" hidden="1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313">
        <f>参数调整!$K$33*怪物掉落配置方案!$D4272</f>
        <v>0</v>
      </c>
    </row>
    <row r="3247" spans="1:4" ht="16.5" hidden="1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313">
        <f>参数调整!$K$33*怪物掉落配置方案!$D4273</f>
        <v>0</v>
      </c>
    </row>
    <row r="3248" spans="1:4" ht="16.5" hidden="1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313">
        <f>参数调整!$K$33*怪物掉落配置方案!$D4274</f>
        <v>0</v>
      </c>
    </row>
    <row r="3249" spans="1:4" ht="16.5" hidden="1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313">
        <f>参数调整!$K$33*怪物掉落配置方案!$D4275</f>
        <v>0</v>
      </c>
    </row>
    <row r="3250" spans="1:4" ht="16.5" hidden="1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313">
        <f>参数调整!$K$33*怪物掉落配置方案!$D4276</f>
        <v>0</v>
      </c>
    </row>
    <row r="3251" spans="1:4" ht="16.5" hidden="1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313">
        <f>参数调整!$K$33*怪物掉落配置方案!$D4277</f>
        <v>0</v>
      </c>
    </row>
    <row r="3252" spans="1:4" ht="16.5" hidden="1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313">
        <f>参数调整!$K$33*怪物掉落配置方案!$D4278</f>
        <v>0</v>
      </c>
    </row>
    <row r="3253" spans="1:4" ht="16.5" hidden="1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313">
        <f>参数调整!$K$33*怪物掉落配置方案!$D4279</f>
        <v>0</v>
      </c>
    </row>
    <row r="3254" spans="1:4" ht="16.5" hidden="1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313">
        <f>参数调整!$K$33*怪物掉落配置方案!$D4280</f>
        <v>0</v>
      </c>
    </row>
    <row r="3255" spans="1:4" ht="16.5" hidden="1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313">
        <f>参数调整!$K$33*怪物掉落配置方案!$D4281</f>
        <v>0</v>
      </c>
    </row>
    <row r="3256" spans="1:4" ht="16.5" hidden="1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313">
        <f>参数调整!$K$33*怪物掉落配置方案!$D4282</f>
        <v>0</v>
      </c>
    </row>
    <row r="3257" spans="1:4" ht="16.5" hidden="1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313">
        <f>参数调整!$K$33*怪物掉落配置方案!$D4283</f>
        <v>0</v>
      </c>
    </row>
    <row r="3258" spans="1:4" ht="16.5" hidden="1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313">
        <f>参数调整!$K$33*怪物掉落配置方案!$D4284</f>
        <v>0</v>
      </c>
    </row>
    <row r="3259" spans="1:4" ht="16.5" hidden="1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313">
        <f>参数调整!$K$33*怪物掉落配置方案!$D4285</f>
        <v>0</v>
      </c>
    </row>
    <row r="3260" spans="1:4" ht="16.5" hidden="1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313">
        <f>参数调整!$K$33*怪物掉落配置方案!$D4286</f>
        <v>0</v>
      </c>
    </row>
    <row r="3261" spans="1:4" ht="16.5" hidden="1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313">
        <f>参数调整!$K$33*怪物掉落配置方案!$D4287</f>
        <v>0</v>
      </c>
    </row>
    <row r="3262" spans="1:4" ht="16.5" hidden="1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313">
        <f>参数调整!$K$33*怪物掉落配置方案!$D4288</f>
        <v>0</v>
      </c>
    </row>
    <row r="3263" spans="1:4" ht="16.5" hidden="1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313">
        <f>参数调整!$K$33*怪物掉落配置方案!$D4289</f>
        <v>0</v>
      </c>
    </row>
    <row r="3264" spans="1:4" ht="16.5" hidden="1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313">
        <f>参数调整!$K$33*怪物掉落配置方案!$D4290</f>
        <v>0</v>
      </c>
    </row>
    <row r="3265" spans="1:4" ht="16.5" hidden="1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313">
        <f>参数调整!$K$33*怪物掉落配置方案!$D4291</f>
        <v>0</v>
      </c>
    </row>
    <row r="3266" spans="1:4" ht="16.5" hidden="1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313">
        <f>参数调整!$K$33*怪物掉落配置方案!$D4292</f>
        <v>0</v>
      </c>
    </row>
    <row r="3267" spans="1:4" ht="16.5" hidden="1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313">
        <f>参数调整!$K$33*怪物掉落配置方案!$D4293</f>
        <v>0</v>
      </c>
    </row>
    <row r="3268" spans="1:4" ht="16.5" hidden="1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313">
        <f>参数调整!$K$33*怪物掉落配置方案!$D4294</f>
        <v>0</v>
      </c>
    </row>
    <row r="3269" spans="1:4" ht="16.5" hidden="1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313">
        <f>参数调整!$K$33*怪物掉落配置方案!$D4295</f>
        <v>0</v>
      </c>
    </row>
    <row r="3270" spans="1:4" ht="16.5" hidden="1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313">
        <f>参数调整!$K$33*怪物掉落配置方案!$D4296</f>
        <v>0</v>
      </c>
    </row>
    <row r="3271" spans="1:4" ht="16.5" hidden="1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313">
        <f>参数调整!$K$33*怪物掉落配置方案!$D4297</f>
        <v>0</v>
      </c>
    </row>
    <row r="3272" spans="1:4" ht="16.5" hidden="1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313">
        <f>参数调整!$K$33*怪物掉落配置方案!$D4298</f>
        <v>0</v>
      </c>
    </row>
    <row r="3273" spans="1:4" ht="16.5" hidden="1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313">
        <f>参数调整!$K$33*怪物掉落配置方案!$D4299</f>
        <v>0</v>
      </c>
    </row>
    <row r="3274" spans="1:4" ht="16.5" hidden="1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313">
        <f>参数调整!$K$33*怪物掉落配置方案!$D4300</f>
        <v>0</v>
      </c>
    </row>
    <row r="3275" spans="1:4" ht="16.5" hidden="1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313">
        <f>参数调整!$K$33*怪物掉落配置方案!$D4301</f>
        <v>0</v>
      </c>
    </row>
    <row r="3276" spans="1:4" ht="16.5" hidden="1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313">
        <f>参数调整!$K$33*怪物掉落配置方案!$D4302</f>
        <v>0</v>
      </c>
    </row>
    <row r="3277" spans="1:4" ht="16.5" hidden="1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313">
        <f>参数调整!$K$33*怪物掉落配置方案!$D4303</f>
        <v>0</v>
      </c>
    </row>
    <row r="3278" spans="1:4" ht="16.5" hidden="1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313">
        <f>参数调整!$K$33*怪物掉落配置方案!$D4304</f>
        <v>0</v>
      </c>
    </row>
    <row r="3279" spans="1:4" ht="16.5" hidden="1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313">
        <f>参数调整!$K$33*怪物掉落配置方案!$D4305</f>
        <v>0</v>
      </c>
    </row>
    <row r="3280" spans="1:4" ht="16.5" hidden="1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313">
        <f>参数调整!$K$33*怪物掉落配置方案!$D4306</f>
        <v>0</v>
      </c>
    </row>
    <row r="3281" spans="1:4" ht="16.5" hidden="1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313">
        <f>参数调整!$K$33*怪物掉落配置方案!$D4307</f>
        <v>0</v>
      </c>
    </row>
    <row r="3282" spans="1:4" ht="16.5" hidden="1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313">
        <f>参数调整!$K$33*怪物掉落配置方案!$D4308</f>
        <v>0</v>
      </c>
    </row>
    <row r="3283" spans="1:4" ht="16.5" hidden="1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313">
        <f>参数调整!$K$33*怪物掉落配置方案!$D4309</f>
        <v>0</v>
      </c>
    </row>
    <row r="3284" spans="1:4" ht="16.5" hidden="1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313">
        <f>参数调整!$K$33*怪物掉落配置方案!$D4310</f>
        <v>0</v>
      </c>
    </row>
    <row r="3285" spans="1:4" ht="16.5" hidden="1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313">
        <f>参数调整!$K$33*怪物掉落配置方案!$D4311</f>
        <v>0</v>
      </c>
    </row>
    <row r="3286" spans="1:4" ht="16.5" hidden="1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313">
        <f>参数调整!$K$33*怪物掉落配置方案!$D4312</f>
        <v>0</v>
      </c>
    </row>
    <row r="3287" spans="1:4" ht="16.5" hidden="1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313">
        <f>参数调整!$K$33*怪物掉落配置方案!$D4313</f>
        <v>0</v>
      </c>
    </row>
    <row r="3288" spans="1:4" ht="16.5" hidden="1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313">
        <f>参数调整!$K$33*怪物掉落配置方案!$D4314</f>
        <v>0</v>
      </c>
    </row>
    <row r="3289" spans="1:4" ht="16.5" hidden="1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313">
        <f>参数调整!$K$33*怪物掉落配置方案!$D4315</f>
        <v>0</v>
      </c>
    </row>
    <row r="3290" spans="1:4" ht="16.5" hidden="1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313">
        <f>参数调整!$K$33*怪物掉落配置方案!$D4316</f>
        <v>0</v>
      </c>
    </row>
    <row r="3291" spans="1:4" ht="16.5" hidden="1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313">
        <f>参数调整!$K$33*怪物掉落配置方案!$D4317</f>
        <v>0</v>
      </c>
    </row>
    <row r="3292" spans="1:4" ht="16.5" hidden="1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313">
        <f>参数调整!$K$33*怪物掉落配置方案!$D4318</f>
        <v>0</v>
      </c>
    </row>
    <row r="3293" spans="1:4" ht="16.5" hidden="1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313">
        <f>参数调整!$K$33*怪物掉落配置方案!$D4319</f>
        <v>0</v>
      </c>
    </row>
    <row r="3294" spans="1:4" ht="16.5" hidden="1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313">
        <f>参数调整!$K$33*怪物掉落配置方案!$D4320</f>
        <v>0</v>
      </c>
    </row>
    <row r="3295" spans="1:4" ht="16.5" hidden="1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313">
        <f>参数调整!$K$33*怪物掉落配置方案!$D4321</f>
        <v>0</v>
      </c>
    </row>
    <row r="3296" spans="1:4" ht="16.5" hidden="1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313">
        <f>参数调整!$K$33*怪物掉落配置方案!$D4322</f>
        <v>0</v>
      </c>
    </row>
    <row r="3297" spans="1:4" ht="16.5" hidden="1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313">
        <f>参数调整!$K$33*怪物掉落配置方案!$D4323</f>
        <v>0</v>
      </c>
    </row>
    <row r="3298" spans="1:4" ht="16.5" hidden="1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313">
        <f>参数调整!$K$33*怪物掉落配置方案!$D4324</f>
        <v>0</v>
      </c>
    </row>
    <row r="3299" spans="1:4" ht="16.5" hidden="1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313">
        <f>参数调整!$K$33*怪物掉落配置方案!$D4325</f>
        <v>0</v>
      </c>
    </row>
    <row r="3300" spans="1:4" ht="16.5" hidden="1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313">
        <f>参数调整!$K$33*怪物掉落配置方案!$D4326</f>
        <v>0</v>
      </c>
    </row>
    <row r="3301" spans="1:4" ht="16.5" hidden="1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313">
        <f>参数调整!$K$33*怪物掉落配置方案!$D4327</f>
        <v>0</v>
      </c>
    </row>
    <row r="3302" spans="1:4" ht="16.5" hidden="1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313">
        <f>参数调整!$K$33*怪物掉落配置方案!$D4328</f>
        <v>0</v>
      </c>
    </row>
    <row r="3303" spans="1:4" ht="16.5" hidden="1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313">
        <f>参数调整!$K$33*怪物掉落配置方案!$D4329</f>
        <v>0</v>
      </c>
    </row>
    <row r="3304" spans="1:4" ht="16.5" hidden="1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313">
        <f>参数调整!$K$33*怪物掉落配置方案!$D4330</f>
        <v>0</v>
      </c>
    </row>
    <row r="3305" spans="1:4" ht="16.5" hidden="1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313">
        <f>参数调整!$K$33*怪物掉落配置方案!$D4331</f>
        <v>0</v>
      </c>
    </row>
    <row r="3306" spans="1:4" ht="16.5" hidden="1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313">
        <f>参数调整!$K$33*怪物掉落配置方案!$D4332</f>
        <v>0</v>
      </c>
    </row>
    <row r="3307" spans="1:4" ht="16.5" hidden="1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313">
        <f>参数调整!$K$33*怪物掉落配置方案!$D4333</f>
        <v>0</v>
      </c>
    </row>
    <row r="3308" spans="1:4" ht="16.5" hidden="1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313">
        <f>参数调整!$K$33*怪物掉落配置方案!$D4334</f>
        <v>0</v>
      </c>
    </row>
    <row r="3309" spans="1:4" ht="16.5" hidden="1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313">
        <f>参数调整!$K$33*怪物掉落配置方案!$D4335</f>
        <v>0</v>
      </c>
    </row>
    <row r="3310" spans="1:4" ht="16.5" hidden="1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313">
        <f>参数调整!$K$33*怪物掉落配置方案!$D4336</f>
        <v>0</v>
      </c>
    </row>
    <row r="3311" spans="1:4" ht="16.5" hidden="1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313">
        <f>参数调整!$K$33*怪物掉落配置方案!$D4337</f>
        <v>0</v>
      </c>
    </row>
    <row r="3312" spans="1:4" ht="16.5" hidden="1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313">
        <f>参数调整!$K$33*怪物掉落配置方案!$D4338</f>
        <v>0</v>
      </c>
    </row>
    <row r="3313" spans="1:4" ht="16.5" hidden="1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313">
        <f>参数调整!$K$33*怪物掉落配置方案!$D4339</f>
        <v>0</v>
      </c>
    </row>
    <row r="3314" spans="1:4" ht="16.5" hidden="1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313">
        <f>参数调整!$K$33*怪物掉落配置方案!$D4340</f>
        <v>0</v>
      </c>
    </row>
    <row r="3315" spans="1:4" ht="16.5" hidden="1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313">
        <f>参数调整!$K$33*怪物掉落配置方案!$D4341</f>
        <v>0</v>
      </c>
    </row>
    <row r="3316" spans="1:4" ht="16.5" hidden="1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313">
        <f>参数调整!$K$33*怪物掉落配置方案!$D4342</f>
        <v>0</v>
      </c>
    </row>
    <row r="3317" spans="1:4" ht="16.5" hidden="1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313">
        <f>参数调整!$K$33*怪物掉落配置方案!$D4343</f>
        <v>0</v>
      </c>
    </row>
    <row r="3318" spans="1:4" ht="16.5" hidden="1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313">
        <f>参数调整!$K$33*怪物掉落配置方案!$D4344</f>
        <v>0</v>
      </c>
    </row>
    <row r="3319" spans="1:4" ht="16.5" hidden="1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313">
        <f>参数调整!$K$33*怪物掉落配置方案!$D4345</f>
        <v>0</v>
      </c>
    </row>
    <row r="3320" spans="1:4" ht="16.5" hidden="1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313">
        <f>参数调整!$K$33*怪物掉落配置方案!$D4346</f>
        <v>0</v>
      </c>
    </row>
    <row r="3321" spans="1:4" ht="16.5" hidden="1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313">
        <f>参数调整!$K$33*怪物掉落配置方案!$D4347</f>
        <v>0</v>
      </c>
    </row>
    <row r="3322" spans="1:4" ht="16.5" hidden="1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313">
        <f>参数调整!$K$33*怪物掉落配置方案!$D4348</f>
        <v>0</v>
      </c>
    </row>
    <row r="3323" spans="1:4" ht="16.5" hidden="1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313">
        <f>参数调整!$K$33*怪物掉落配置方案!$D4349</f>
        <v>0</v>
      </c>
    </row>
    <row r="3324" spans="1:4" ht="16.5" hidden="1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313">
        <f>参数调整!$K$33*怪物掉落配置方案!$D4350</f>
        <v>0</v>
      </c>
    </row>
    <row r="3325" spans="1:4" ht="16.5" hidden="1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313">
        <f>参数调整!$K$33*怪物掉落配置方案!$D4351</f>
        <v>0</v>
      </c>
    </row>
    <row r="3326" spans="1:4" ht="16.5" hidden="1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313">
        <f>参数调整!$K$33*怪物掉落配置方案!$D4352</f>
        <v>0</v>
      </c>
    </row>
    <row r="3327" spans="1:4" ht="16.5" hidden="1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313">
        <f>参数调整!$K$33*怪物掉落配置方案!$D4353</f>
        <v>0</v>
      </c>
    </row>
    <row r="3328" spans="1:4" ht="16.5" hidden="1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313">
        <f>参数调整!$K$33*怪物掉落配置方案!$D4354</f>
        <v>0</v>
      </c>
    </row>
    <row r="3329" spans="1:4" ht="16.5" hidden="1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313">
        <f>参数调整!$K$33*怪物掉落配置方案!$D4355</f>
        <v>0</v>
      </c>
    </row>
    <row r="3330" spans="1:4" ht="16.5" hidden="1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313">
        <f>参数调整!$K$33*怪物掉落配置方案!$D4356</f>
        <v>0</v>
      </c>
    </row>
    <row r="3331" spans="1:4" ht="16.5" hidden="1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313">
        <f>参数调整!$K$33*怪物掉落配置方案!$D4357</f>
        <v>0</v>
      </c>
    </row>
    <row r="3332" spans="1:4" ht="16.5" hidden="1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313">
        <f>参数调整!$K$33*怪物掉落配置方案!$D4358</f>
        <v>0</v>
      </c>
    </row>
    <row r="3333" spans="1:4" ht="16.5" hidden="1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313">
        <f>参数调整!$K$33*怪物掉落配置方案!$D4359</f>
        <v>0</v>
      </c>
    </row>
    <row r="3334" spans="1:4" ht="16.5" hidden="1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313">
        <f>参数调整!$K$33*怪物掉落配置方案!$D4360</f>
        <v>0</v>
      </c>
    </row>
    <row r="3335" spans="1:4" ht="16.5" hidden="1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313">
        <f>参数调整!$K$33*怪物掉落配置方案!$D4361</f>
        <v>0</v>
      </c>
    </row>
    <row r="3336" spans="1:4" ht="16.5" hidden="1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313">
        <f>参数调整!$K$33*怪物掉落配置方案!$D4362</f>
        <v>0</v>
      </c>
    </row>
    <row r="3337" spans="1:4" ht="16.5" hidden="1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313">
        <f>参数调整!$K$33*怪物掉落配置方案!$D4363</f>
        <v>0</v>
      </c>
    </row>
    <row r="3338" spans="1:4" ht="16.5" hidden="1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313">
        <f>参数调整!$K$33*怪物掉落配置方案!$D4364</f>
        <v>0</v>
      </c>
    </row>
    <row r="3339" spans="1:4" ht="16.5" hidden="1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313">
        <f>参数调整!$K$33*怪物掉落配置方案!$D4365</f>
        <v>0</v>
      </c>
    </row>
    <row r="3340" spans="1:4" ht="16.5" hidden="1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313">
        <f>参数调整!$K$33*怪物掉落配置方案!$D4366</f>
        <v>0</v>
      </c>
    </row>
    <row r="3341" spans="1:4" ht="16.5" hidden="1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313">
        <f>参数调整!$K$33*怪物掉落配置方案!$D4367</f>
        <v>0</v>
      </c>
    </row>
    <row r="3342" spans="1:4" ht="16.5" hidden="1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313">
        <f>参数调整!$K$33*怪物掉落配置方案!$D4368</f>
        <v>0</v>
      </c>
    </row>
    <row r="3343" spans="1:4" ht="16.5" hidden="1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313">
        <f>参数调整!$K$33*怪物掉落配置方案!$D4369</f>
        <v>0</v>
      </c>
    </row>
    <row r="3344" spans="1:4" ht="16.5" hidden="1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313">
        <f>参数调整!$K$33*怪物掉落配置方案!$D4370</f>
        <v>0</v>
      </c>
    </row>
    <row r="3345" spans="1:4" ht="16.5" hidden="1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313">
        <f>参数调整!$K$33*怪物掉落配置方案!$D4371</f>
        <v>0</v>
      </c>
    </row>
    <row r="3346" spans="1:4" ht="16.5" hidden="1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313">
        <f>参数调整!$K$33*怪物掉落配置方案!$D4372</f>
        <v>0</v>
      </c>
    </row>
    <row r="3347" spans="1:4" ht="16.5" hidden="1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313">
        <f>参数调整!$K$33*怪物掉落配置方案!$D4373</f>
        <v>0</v>
      </c>
    </row>
    <row r="3348" spans="1:4" ht="16.5" hidden="1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313">
        <f>参数调整!$K$33*怪物掉落配置方案!$D4374</f>
        <v>0</v>
      </c>
    </row>
    <row r="3349" spans="1:4" ht="16.5" hidden="1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313">
        <f>参数调整!$K$33*怪物掉落配置方案!$D4375</f>
        <v>0</v>
      </c>
    </row>
    <row r="3350" spans="1:4" ht="16.5" hidden="1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313">
        <f>参数调整!$K$33*怪物掉落配置方案!$D4376</f>
        <v>0</v>
      </c>
    </row>
    <row r="3351" spans="1:4" ht="16.5" hidden="1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313">
        <f>参数调整!$K$33*怪物掉落配置方案!$D4377</f>
        <v>0</v>
      </c>
    </row>
    <row r="3352" spans="1:4" ht="16.5" hidden="1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313">
        <f>参数调整!$K$33*怪物掉落配置方案!$D4378</f>
        <v>0</v>
      </c>
    </row>
    <row r="3353" spans="1:4" ht="16.5" hidden="1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313">
        <f>参数调整!$K$33*怪物掉落配置方案!$D4379</f>
        <v>0</v>
      </c>
    </row>
    <row r="3354" spans="1:4" ht="16.5" hidden="1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313">
        <f>参数调整!$K$33*怪物掉落配置方案!$D4380</f>
        <v>0</v>
      </c>
    </row>
    <row r="3355" spans="1:4" ht="16.5" hidden="1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313">
        <f>参数调整!$K$33*怪物掉落配置方案!$D4381</f>
        <v>0</v>
      </c>
    </row>
    <row r="3356" spans="1:4" ht="16.5" hidden="1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313">
        <f>参数调整!$K$33*怪物掉落配置方案!$D4382</f>
        <v>0</v>
      </c>
    </row>
    <row r="3357" spans="1:4" ht="16.5" hidden="1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313">
        <f>参数调整!$K$33*怪物掉落配置方案!$D4383</f>
        <v>0</v>
      </c>
    </row>
    <row r="3358" spans="1:4" ht="16.5" hidden="1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313">
        <f>参数调整!$K$33*怪物掉落配置方案!$D4384</f>
        <v>0</v>
      </c>
    </row>
    <row r="3359" spans="1:4" ht="16.5" hidden="1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313">
        <f>参数调整!$K$33*怪物掉落配置方案!$D4385</f>
        <v>0</v>
      </c>
    </row>
    <row r="3360" spans="1:4" ht="16.5" hidden="1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313">
        <f>参数调整!$K$33*怪物掉落配置方案!$D4386</f>
        <v>0</v>
      </c>
    </row>
    <row r="3361" spans="1:4" ht="16.5" hidden="1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313">
        <f>参数调整!$K$33*怪物掉落配置方案!$D4387</f>
        <v>0</v>
      </c>
    </row>
    <row r="3362" spans="1:4" ht="16.5" hidden="1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313">
        <f>参数调整!$K$33*怪物掉落配置方案!$D4388</f>
        <v>0</v>
      </c>
    </row>
    <row r="3363" spans="1:4" ht="16.5" hidden="1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313">
        <f>参数调整!$K$33*怪物掉落配置方案!$D4389</f>
        <v>0</v>
      </c>
    </row>
    <row r="3364" spans="1:4" ht="16.5" hidden="1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313">
        <f>参数调整!$K$33*怪物掉落配置方案!$D4390</f>
        <v>0</v>
      </c>
    </row>
    <row r="3365" spans="1:4" ht="16.5" hidden="1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313">
        <f>参数调整!$K$33*怪物掉落配置方案!$D4391</f>
        <v>0</v>
      </c>
    </row>
    <row r="3366" spans="1:4" ht="16.5" hidden="1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313">
        <f>参数调整!$K$33*怪物掉落配置方案!$D4392</f>
        <v>0</v>
      </c>
    </row>
    <row r="3367" spans="1:4" ht="16.5" hidden="1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313">
        <f>参数调整!$K$33*怪物掉落配置方案!$D4393</f>
        <v>0</v>
      </c>
    </row>
    <row r="3368" spans="1:4" ht="16.5" hidden="1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313">
        <f>参数调整!$K$33*怪物掉落配置方案!$D4394</f>
        <v>0</v>
      </c>
    </row>
    <row r="3369" spans="1:4" ht="16.5" hidden="1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313">
        <f>参数调整!$K$33*怪物掉落配置方案!$D4395</f>
        <v>0</v>
      </c>
    </row>
    <row r="3370" spans="1:4" ht="16.5" hidden="1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313">
        <f>参数调整!$K$33*怪物掉落配置方案!$D4396</f>
        <v>0</v>
      </c>
    </row>
    <row r="3371" spans="1:4" ht="16.5" hidden="1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313">
        <f>参数调整!$K$33*怪物掉落配置方案!$D4397</f>
        <v>0</v>
      </c>
    </row>
    <row r="3372" spans="1:4" ht="16.5" hidden="1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313">
        <f>参数调整!$K$33*怪物掉落配置方案!$D4398</f>
        <v>0</v>
      </c>
    </row>
    <row r="3373" spans="1:4" ht="16.5" hidden="1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313">
        <f>参数调整!$K$33*怪物掉落配置方案!$D4399</f>
        <v>0</v>
      </c>
    </row>
    <row r="3374" spans="1:4" ht="16.5" hidden="1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313">
        <f>参数调整!$K$33*怪物掉落配置方案!$D4400</f>
        <v>0</v>
      </c>
    </row>
    <row r="3375" spans="1:4" ht="16.5" hidden="1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313">
        <f>参数调整!$K$33*怪物掉落配置方案!$D4401</f>
        <v>0</v>
      </c>
    </row>
    <row r="3376" spans="1:4" ht="16.5" hidden="1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313">
        <f>参数调整!$K$33*怪物掉落配置方案!$D4402</f>
        <v>0</v>
      </c>
    </row>
    <row r="3377" spans="1:4" ht="16.5" hidden="1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313">
        <f>参数调整!$K$33*怪物掉落配置方案!$D4403</f>
        <v>0</v>
      </c>
    </row>
    <row r="3378" spans="1:4" ht="16.5" hidden="1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313">
        <f>参数调整!$K$33*怪物掉落配置方案!$D4404</f>
        <v>0</v>
      </c>
    </row>
    <row r="3379" spans="1:4" ht="16.5" hidden="1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313">
        <f>参数调整!$K$33*怪物掉落配置方案!$D4405</f>
        <v>0</v>
      </c>
    </row>
    <row r="3380" spans="1:4" ht="16.5" hidden="1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313">
        <f>参数调整!$K$33*怪物掉落配置方案!$D4406</f>
        <v>0</v>
      </c>
    </row>
    <row r="3381" spans="1:4" ht="16.5" hidden="1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313">
        <f>参数调整!$K$33*怪物掉落配置方案!$D4407</f>
        <v>0</v>
      </c>
    </row>
    <row r="3382" spans="1:4" ht="16.5" hidden="1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313">
        <f>参数调整!$K$33*怪物掉落配置方案!$D4408</f>
        <v>0</v>
      </c>
    </row>
    <row r="3383" spans="1:4" ht="16.5" hidden="1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313">
        <f>参数调整!$K$33*怪物掉落配置方案!$D4409</f>
        <v>0</v>
      </c>
    </row>
    <row r="3384" spans="1:4" ht="16.5" hidden="1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313">
        <f>参数调整!$K$33*怪物掉落配置方案!$D4410</f>
        <v>0</v>
      </c>
    </row>
    <row r="3385" spans="1:4" ht="16.5" hidden="1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313">
        <f>参数调整!$K$33*怪物掉落配置方案!$D4411</f>
        <v>0</v>
      </c>
    </row>
    <row r="3386" spans="1:4" ht="16.5" hidden="1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313">
        <f>参数调整!$K$33*怪物掉落配置方案!$D4412</f>
        <v>0</v>
      </c>
    </row>
    <row r="3387" spans="1:4" ht="16.5" hidden="1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313">
        <f>参数调整!$K$33*怪物掉落配置方案!$D4413</f>
        <v>0</v>
      </c>
    </row>
    <row r="3388" spans="1:4" ht="16.5" hidden="1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313">
        <f>参数调整!$K$33*怪物掉落配置方案!$D4414</f>
        <v>0</v>
      </c>
    </row>
    <row r="3389" spans="1:4" ht="16.5" hidden="1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313">
        <f>参数调整!$K$33*怪物掉落配置方案!$D4415</f>
        <v>0</v>
      </c>
    </row>
    <row r="3390" spans="1:4" ht="16.5" hidden="1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313">
        <f>参数调整!$K$33*怪物掉落配置方案!$D4416</f>
        <v>0</v>
      </c>
    </row>
    <row r="3391" spans="1:4" ht="16.5" hidden="1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313">
        <f>参数调整!$K$33*怪物掉落配置方案!$D4417</f>
        <v>0</v>
      </c>
    </row>
    <row r="3392" spans="1:4" ht="16.5" hidden="1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313">
        <f>参数调整!$K$33*怪物掉落配置方案!$D4418</f>
        <v>0</v>
      </c>
    </row>
    <row r="3393" spans="1:4" ht="16.5" hidden="1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313">
        <f>参数调整!$K$33*怪物掉落配置方案!$D4419</f>
        <v>0</v>
      </c>
    </row>
    <row r="3394" spans="1:4" ht="16.5" hidden="1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313">
        <f>参数调整!$K$33*怪物掉落配置方案!$D4420</f>
        <v>0</v>
      </c>
    </row>
    <row r="3395" spans="1:4" ht="16.5" hidden="1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313">
        <f>参数调整!$K$33*怪物掉落配置方案!$D4421</f>
        <v>0</v>
      </c>
    </row>
    <row r="3396" spans="1:4" ht="16.5" hidden="1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313">
        <f>参数调整!$K$33*怪物掉落配置方案!$D4422</f>
        <v>0</v>
      </c>
    </row>
    <row r="3397" spans="1:4" ht="16.5" hidden="1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313">
        <f>参数调整!$K$33*怪物掉落配置方案!$D4423</f>
        <v>0</v>
      </c>
    </row>
    <row r="3398" spans="1:4" ht="16.5" hidden="1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313">
        <f>参数调整!$K$33*怪物掉落配置方案!$D4424</f>
        <v>0</v>
      </c>
    </row>
    <row r="3399" spans="1:4" ht="16.5" hidden="1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313">
        <f>参数调整!$K$33*怪物掉落配置方案!$D4425</f>
        <v>0</v>
      </c>
    </row>
    <row r="3400" spans="1:4" ht="16.5" hidden="1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313">
        <f>参数调整!$K$33*怪物掉落配置方案!$D4426</f>
        <v>0</v>
      </c>
    </row>
    <row r="3401" spans="1:4" ht="16.5" hidden="1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313">
        <f>参数调整!$K$33*怪物掉落配置方案!$D4427</f>
        <v>0</v>
      </c>
    </row>
    <row r="3402" spans="1:4" ht="16.5" hidden="1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313">
        <f>参数调整!$K$33*怪物掉落配置方案!$D4428</f>
        <v>0</v>
      </c>
    </row>
    <row r="3403" spans="1:4" ht="16.5" hidden="1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313">
        <f>参数调整!$K$33*怪物掉落配置方案!$D4429</f>
        <v>0</v>
      </c>
    </row>
    <row r="3404" spans="1:4" ht="16.5" hidden="1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313">
        <f>参数调整!$K$33*怪物掉落配置方案!$D4430</f>
        <v>0</v>
      </c>
    </row>
    <row r="3405" spans="1:4" ht="16.5" hidden="1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313">
        <f>参数调整!$K$33*怪物掉落配置方案!$D4431</f>
        <v>0</v>
      </c>
    </row>
    <row r="3406" spans="1:4" ht="16.5" hidden="1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313">
        <f>参数调整!$K$33*怪物掉落配置方案!$D4432</f>
        <v>0</v>
      </c>
    </row>
    <row r="3407" spans="1:4" ht="16.5" hidden="1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313">
        <f>参数调整!$K$33*怪物掉落配置方案!$D4433</f>
        <v>0</v>
      </c>
    </row>
    <row r="3408" spans="1:4" ht="16.5" hidden="1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313">
        <f>参数调整!$K$33*怪物掉落配置方案!$D4434</f>
        <v>0</v>
      </c>
    </row>
    <row r="3409" spans="1:4" ht="16.5" hidden="1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313">
        <f>参数调整!$K$33*怪物掉落配置方案!$D4435</f>
        <v>0</v>
      </c>
    </row>
    <row r="3410" spans="1:4" ht="16.5" hidden="1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313">
        <f>参数调整!$K$33*怪物掉落配置方案!$D4436</f>
        <v>0</v>
      </c>
    </row>
    <row r="3411" spans="1:4" ht="16.5" hidden="1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313">
        <f>参数调整!$K$33*怪物掉落配置方案!$D4437</f>
        <v>0</v>
      </c>
    </row>
    <row r="3412" spans="1:4" ht="16.5" hidden="1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313">
        <f>参数调整!$K$33*怪物掉落配置方案!$D4438</f>
        <v>0</v>
      </c>
    </row>
    <row r="3413" spans="1:4" ht="16.5" hidden="1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313">
        <f>参数调整!$K$33*怪物掉落配置方案!$D4439</f>
        <v>0</v>
      </c>
    </row>
    <row r="3414" spans="1:4" ht="16.5" hidden="1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313">
        <f>参数调整!$K$33*怪物掉落配置方案!$D4440</f>
        <v>0</v>
      </c>
    </row>
    <row r="3415" spans="1:4" ht="16.5" hidden="1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313">
        <f>参数调整!$K$33*怪物掉落配置方案!$D4441</f>
        <v>0</v>
      </c>
    </row>
    <row r="3416" spans="1:4" ht="16.5" hidden="1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313">
        <f>参数调整!$K$33*怪物掉落配置方案!$D4442</f>
        <v>0</v>
      </c>
    </row>
    <row r="3417" spans="1:4" ht="16.5" hidden="1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313">
        <f>参数调整!$K$33*怪物掉落配置方案!$D4443</f>
        <v>0</v>
      </c>
    </row>
    <row r="3418" spans="1:4" ht="16.5" hidden="1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313">
        <f>参数调整!$K$33*怪物掉落配置方案!$D4444</f>
        <v>0</v>
      </c>
    </row>
    <row r="3419" spans="1:4" ht="16.5" hidden="1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313">
        <f>参数调整!$K$33*怪物掉落配置方案!$D4445</f>
        <v>0</v>
      </c>
    </row>
    <row r="3420" spans="1:4" ht="16.5" hidden="1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313">
        <f>参数调整!$K$33*怪物掉落配置方案!$D4446</f>
        <v>0</v>
      </c>
    </row>
    <row r="3421" spans="1:4" ht="16.5" hidden="1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313">
        <f>参数调整!$K$33*怪物掉落配置方案!$D4447</f>
        <v>0</v>
      </c>
    </row>
    <row r="3422" spans="1:4" ht="16.5" hidden="1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313">
        <f>参数调整!$K$33*怪物掉落配置方案!$D4448</f>
        <v>0</v>
      </c>
    </row>
    <row r="3423" spans="1:4" ht="16.5" hidden="1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313">
        <f>参数调整!$K$33*怪物掉落配置方案!$D4449</f>
        <v>0</v>
      </c>
    </row>
    <row r="3424" spans="1:4" ht="16.5" hidden="1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313">
        <f>参数调整!$K$33*怪物掉落配置方案!$D4450</f>
        <v>0</v>
      </c>
    </row>
    <row r="3425" spans="1:4" ht="16.5" hidden="1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313">
        <f>参数调整!$K$33*怪物掉落配置方案!$D4451</f>
        <v>0</v>
      </c>
    </row>
    <row r="3426" spans="1:4" ht="16.5" hidden="1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313">
        <f>参数调整!$K$33*怪物掉落配置方案!$D4452</f>
        <v>0</v>
      </c>
    </row>
    <row r="3427" spans="1:4" ht="16.5" hidden="1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313">
        <f>参数调整!$K$33*怪物掉落配置方案!$D4453</f>
        <v>0</v>
      </c>
    </row>
    <row r="3428" spans="1:4" ht="16.5" hidden="1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313">
        <f>参数调整!$K$33*怪物掉落配置方案!$D4454</f>
        <v>0</v>
      </c>
    </row>
    <row r="3429" spans="1:4" ht="16.5" hidden="1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313">
        <f>参数调整!$K$33*怪物掉落配置方案!$D4455</f>
        <v>0</v>
      </c>
    </row>
    <row r="3430" spans="1:4" ht="16.5" hidden="1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313">
        <f>参数调整!$K$33*怪物掉落配置方案!$D4456</f>
        <v>0</v>
      </c>
    </row>
    <row r="3431" spans="1:4" ht="16.5" hidden="1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313">
        <f>参数调整!$K$33*怪物掉落配置方案!$D4457</f>
        <v>0</v>
      </c>
    </row>
    <row r="3432" spans="1:4" ht="16.5" hidden="1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313">
        <f>参数调整!$K$33*怪物掉落配置方案!$D4458</f>
        <v>0</v>
      </c>
    </row>
    <row r="3433" spans="1:4" ht="16.5" hidden="1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313">
        <f>参数调整!$K$33*怪物掉落配置方案!$D4459</f>
        <v>0</v>
      </c>
    </row>
    <row r="3434" spans="1:4" ht="16.5" hidden="1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313">
        <f>参数调整!$K$33*怪物掉落配置方案!$D4460</f>
        <v>0</v>
      </c>
    </row>
    <row r="3435" spans="1:4" ht="16.5" hidden="1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313">
        <f>参数调整!$K$33*怪物掉落配置方案!$D4461</f>
        <v>0</v>
      </c>
    </row>
    <row r="3436" spans="1:4" ht="16.5" hidden="1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313">
        <f>参数调整!$K$33*怪物掉落配置方案!$D4462</f>
        <v>0</v>
      </c>
    </row>
    <row r="3437" spans="1:4" ht="16.5" hidden="1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313">
        <f>参数调整!$K$33*怪物掉落配置方案!$D4463</f>
        <v>0</v>
      </c>
    </row>
    <row r="3438" spans="1:4" ht="16.5" hidden="1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313">
        <f>参数调整!$K$33*怪物掉落配置方案!$D4464</f>
        <v>0</v>
      </c>
    </row>
    <row r="3439" spans="1:4" ht="16.5" hidden="1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313">
        <f>参数调整!$K$33*怪物掉落配置方案!$D4465</f>
        <v>0</v>
      </c>
    </row>
    <row r="3440" spans="1:4" ht="16.5" hidden="1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313">
        <f>参数调整!$K$33*怪物掉落配置方案!$D4466</f>
        <v>0</v>
      </c>
    </row>
    <row r="3441" spans="1:4" ht="16.5" hidden="1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313">
        <f>参数调整!$K$33*怪物掉落配置方案!$D4467</f>
        <v>0</v>
      </c>
    </row>
    <row r="3442" spans="1:4" ht="16.5" hidden="1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313">
        <f>参数调整!$K$33*怪物掉落配置方案!$D4468</f>
        <v>0</v>
      </c>
    </row>
    <row r="3443" spans="1:4" ht="16.5" hidden="1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313">
        <f>参数调整!$K$33*怪物掉落配置方案!$D4469</f>
        <v>0</v>
      </c>
    </row>
    <row r="3444" spans="1:4" ht="16.5" hidden="1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313">
        <f>参数调整!$K$33*怪物掉落配置方案!$D4470</f>
        <v>0</v>
      </c>
    </row>
    <row r="3445" spans="1:4" ht="16.5" hidden="1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313">
        <f>参数调整!$K$33*怪物掉落配置方案!$D4471</f>
        <v>0</v>
      </c>
    </row>
    <row r="3446" spans="1:4" ht="16.5" hidden="1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313">
        <f>参数调整!$K$33*怪物掉落配置方案!$D4472</f>
        <v>0</v>
      </c>
    </row>
    <row r="3447" spans="1:4" ht="16.5" hidden="1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313">
        <f>参数调整!$K$33*怪物掉落配置方案!$D4473</f>
        <v>0</v>
      </c>
    </row>
    <row r="3448" spans="1:4" ht="16.5" hidden="1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313">
        <f>参数调整!$K$33*怪物掉落配置方案!$D4474</f>
        <v>0</v>
      </c>
    </row>
    <row r="3449" spans="1:4" ht="16.5" hidden="1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313">
        <f>参数调整!$K$33*怪物掉落配置方案!$D4475</f>
        <v>0</v>
      </c>
    </row>
    <row r="3450" spans="1:4" ht="16.5" hidden="1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313">
        <f>参数调整!$K$33*怪物掉落配置方案!$D4476</f>
        <v>0</v>
      </c>
    </row>
    <row r="3451" spans="1:4" ht="16.5" hidden="1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313">
        <f>参数调整!$K$33*怪物掉落配置方案!$D4477</f>
        <v>0</v>
      </c>
    </row>
    <row r="3452" spans="1:4" ht="16.5" hidden="1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313">
        <f>参数调整!$K$33*怪物掉落配置方案!$D4478</f>
        <v>0</v>
      </c>
    </row>
    <row r="3453" spans="1:4" ht="16.5" hidden="1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313">
        <f>参数调整!$K$33*怪物掉落配置方案!$D4479</f>
        <v>0</v>
      </c>
    </row>
    <row r="3454" spans="1:4" ht="16.5" hidden="1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313">
        <f>参数调整!$K$33*怪物掉落配置方案!$D4480</f>
        <v>0</v>
      </c>
    </row>
    <row r="3455" spans="1:4" ht="16.5" hidden="1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313">
        <f>参数调整!$K$33*怪物掉落配置方案!$D4481</f>
        <v>0</v>
      </c>
    </row>
    <row r="3456" spans="1:4" ht="16.5" hidden="1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313">
        <f>参数调整!$K$33*怪物掉落配置方案!$D4482</f>
        <v>0</v>
      </c>
    </row>
    <row r="3457" spans="1:4" ht="16.5" hidden="1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313">
        <f>参数调整!$K$33*怪物掉落配置方案!$D4483</f>
        <v>0</v>
      </c>
    </row>
    <row r="3458" spans="1:4" ht="16.5" hidden="1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313">
        <f>参数调整!$K$33*怪物掉落配置方案!$D4484</f>
        <v>0</v>
      </c>
    </row>
    <row r="3459" spans="1:4" ht="16.5" hidden="1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313">
        <f>参数调整!$K$33*怪物掉落配置方案!$D4485</f>
        <v>0.11350231805980385</v>
      </c>
    </row>
    <row r="3460" spans="1:4" ht="16.5" hidden="1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313">
        <f>参数调整!$K$33*怪物掉落配置方案!$D4486</f>
        <v>0.14365137129443925</v>
      </c>
    </row>
    <row r="3461" spans="1:4" ht="16.5" hidden="1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313">
        <f>参数调整!$K$33*怪物掉落配置方案!$D4487</f>
        <v>0.1773473719684435</v>
      </c>
    </row>
    <row r="3462" spans="1:4" ht="16.5" hidden="1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313">
        <f>参数调整!$K$33*怪物掉落配置方案!$D4488</f>
        <v>0.21459032008181667</v>
      </c>
    </row>
    <row r="3463" spans="1:4" ht="16.5" hidden="1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313">
        <f>参数调整!$K$33*怪物掉落配置方案!$D4489</f>
        <v>0.25538021563455859</v>
      </c>
    </row>
    <row r="3464" spans="1:4" ht="16.5" hidden="1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313">
        <f>参数调整!$K$33*怪物掉落配置方案!$D4490</f>
        <v>0.29971705862666953</v>
      </c>
    </row>
    <row r="3465" spans="1:4" ht="16.5" hidden="1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313">
        <f>参数调整!$K$33*怪物掉落配置方案!$D4491</f>
        <v>0.3476008490581492</v>
      </c>
    </row>
    <row r="3466" spans="1:4" ht="16.5" hidden="1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313">
        <f>参数调整!$K$33*怪物掉落配置方案!$D4492</f>
        <v>0.39903158692899787</v>
      </c>
    </row>
    <row r="3467" spans="1:4" ht="16.5" hidden="1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313">
        <f>参数调整!$K$33*怪物掉落配置方案!$D4493</f>
        <v>0.45400927223921544</v>
      </c>
    </row>
    <row r="3468" spans="1:4" ht="16.5" hidden="1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313">
        <f>参数调整!$K$33*怪物掉落配置方案!$D4494</f>
        <v>0.57460548517775711</v>
      </c>
    </row>
    <row r="3469" spans="1:4" ht="16.5" hidden="1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313">
        <f>参数调整!$K$33*怪物掉落配置方案!$D4495</f>
        <v>0.70938948787377398</v>
      </c>
    </row>
    <row r="3470" spans="1:4" ht="16.5" hidden="1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313">
        <f>参数调整!$K$33*怪物掉落配置方案!$D4496</f>
        <v>0.85836128032726666</v>
      </c>
    </row>
    <row r="3471" spans="1:4" ht="16.5" hidden="1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313">
        <f>参数调整!$K$33*怪物掉落配置方案!$D4497</f>
        <v>1.1084210748027719</v>
      </c>
    </row>
    <row r="3472" spans="1:4" ht="16.5" hidden="1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313">
        <f>参数调整!$K$33*怪物掉落配置方案!$D4498</f>
        <v>1.5961263477159913</v>
      </c>
    </row>
    <row r="3473" spans="1:4" ht="16.5" hidden="1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313">
        <f>参数调整!$K$33*怪物掉落配置方案!$D4499</f>
        <v>2.1725053066134326</v>
      </c>
    </row>
    <row r="3474" spans="1:4" ht="16.5" hidden="1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313">
        <f>参数调整!$K$33*怪物掉落配置方案!$D4500</f>
        <v>2.4278855222479918</v>
      </c>
    </row>
    <row r="3475" spans="1:4" ht="16.5" hidden="1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313">
        <f>参数调整!$K$33*怪物掉落配置方案!$D4501</f>
        <v>2.8375579514950959</v>
      </c>
    </row>
    <row r="3476" spans="1:4" ht="16.5" hidden="1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313">
        <f>参数调整!$K$33*怪物掉落配置方案!$D4502</f>
        <v>3.2791529076965196</v>
      </c>
    </row>
    <row r="3477" spans="1:4" ht="16.5" hidden="1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313">
        <f>参数调整!$K$33*怪物掉落配置方案!$D4503</f>
        <v>3.7526703908522641</v>
      </c>
    </row>
    <row r="3478" spans="1:4" ht="16.5" hidden="1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313">
        <f>参数调整!$K$33*怪物掉落配置方案!$D4504</f>
        <v>4.2581104009623294</v>
      </c>
    </row>
    <row r="3479" spans="1:4" ht="16.5" hidden="1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313">
        <f>参数调整!$K$33*怪物掉落配置方案!$D4505</f>
        <v>4.7954729380267116</v>
      </c>
    </row>
    <row r="3480" spans="1:4" ht="16.5" hidden="1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313">
        <f>参数调整!$K$33*怪物掉落配置方案!$D4506</f>
        <v>5.3647580020454155</v>
      </c>
    </row>
    <row r="3481" spans="1:4" ht="16.5" hidden="1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313">
        <f>参数调整!$K$33*怪物掉落配置方案!$D4507</f>
        <v>5.9659655930184394</v>
      </c>
    </row>
    <row r="3482" spans="1:4" ht="16.5" hidden="1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313">
        <f>参数调整!$K$33*怪物掉落配置方案!$D4508</f>
        <v>6.5990957109457806</v>
      </c>
    </row>
    <row r="3483" spans="1:4" ht="16.5" hidden="1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313">
        <f>参数调整!$K$33*怪物掉落配置方案!$D4509</f>
        <v>7.2641483558274471</v>
      </c>
    </row>
    <row r="3484" spans="1:4" ht="16.5" hidden="1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313">
        <f>参数调整!$K$33*怪物掉落配置方案!$D4510</f>
        <v>7.9611235276634291</v>
      </c>
    </row>
    <row r="3485" spans="1:4" ht="16.5" hidden="1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313">
        <f>参数调整!$K$33*怪物掉落配置方案!$D4511</f>
        <v>8.690021226453732</v>
      </c>
    </row>
    <row r="3486" spans="1:4" ht="16.5" hidden="1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313">
        <f>参数调整!$K$33*怪物掉落配置方案!$D4512</f>
        <v>2.956053644257978E-2</v>
      </c>
    </row>
    <row r="3487" spans="1:4" ht="16.5" hidden="1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313">
        <f>参数调整!$K$33*怪物掉落配置方案!$D4513</f>
        <v>3.7412553935140029E-2</v>
      </c>
    </row>
    <row r="3488" spans="1:4" ht="16.5" hidden="1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313">
        <f>参数调整!$K$33*怪物掉落配置方案!$D4514</f>
        <v>4.6188338191530898E-2</v>
      </c>
    </row>
    <row r="3489" spans="1:4" ht="16.5" hidden="1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313">
        <f>参数调整!$K$33*怪物掉落配置方案!$D4515</f>
        <v>5.588788921175239E-2</v>
      </c>
    </row>
    <row r="3490" spans="1:4" ht="16.5" hidden="1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313">
        <f>参数调整!$K$33*怪物掉落配置方案!$D4516</f>
        <v>6.6511206995804484E-2</v>
      </c>
    </row>
    <row r="3491" spans="1:4" ht="16.5" hidden="1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313">
        <f>参数调整!$K$33*怪物掉落配置方案!$D4517</f>
        <v>7.8058291543687236E-2</v>
      </c>
    </row>
    <row r="3492" spans="1:4" ht="16.5" hidden="1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313">
        <f>参数调整!$K$33*怪物掉落配置方案!$D4518</f>
        <v>9.0529142855400535E-2</v>
      </c>
    </row>
    <row r="3493" spans="1:4" ht="16.5" hidden="1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313">
        <f>参数调整!$K$33*怪物掉落配置方案!$D4519</f>
        <v>0.10392376093094453</v>
      </c>
    </row>
    <row r="3494" spans="1:4" ht="16.5" hidden="1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313">
        <f>参数调整!$K$33*怪物掉落配置方案!$D4520</f>
        <v>0.11824214577031912</v>
      </c>
    </row>
    <row r="3495" spans="1:4" ht="16.5" hidden="1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313">
        <f>参数调整!$K$33*怪物掉落配置方案!$D4521</f>
        <v>0.14965021574056012</v>
      </c>
    </row>
    <row r="3496" spans="1:4" ht="16.5" hidden="1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313">
        <f>参数调整!$K$33*怪物掉落配置方案!$D4522</f>
        <v>0.18475335276612356</v>
      </c>
    </row>
    <row r="3497" spans="1:4" ht="16.5" hidden="1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313">
        <f>参数调整!$K$33*怪物掉落配置方案!$D4523</f>
        <v>0.22355155684700956</v>
      </c>
    </row>
    <row r="3498" spans="1:4" ht="16.5" hidden="1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313">
        <f>参数调整!$K$33*怪物掉落配置方案!$D4524</f>
        <v>0.28867711369706806</v>
      </c>
    </row>
    <row r="3499" spans="1:4" ht="16.5" hidden="1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313">
        <f>参数调整!$K$33*怪物掉落配置方案!$D4525</f>
        <v>0.41569504372377802</v>
      </c>
    </row>
    <row r="3500" spans="1:4" ht="16.5" hidden="1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313">
        <f>参数调整!$K$33*怪物掉落配置方案!$D4526</f>
        <v>0.56580714284625344</v>
      </c>
    </row>
    <row r="3501" spans="1:4" ht="16.5" hidden="1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313">
        <f>参数调整!$K$33*怪物掉落配置方案!$D4527</f>
        <v>0.63231834984205804</v>
      </c>
    </row>
    <row r="3502" spans="1:4" ht="16.5" hidden="1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313">
        <f>参数调整!$K$33*怪物掉落配置方案!$D4528</f>
        <v>0.73901341106449425</v>
      </c>
    </row>
    <row r="3503" spans="1:4" ht="16.5" hidden="1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313">
        <f>参数调整!$K$33*怪物掉落配置方案!$D4529</f>
        <v>0.85402237316140606</v>
      </c>
    </row>
    <row r="3504" spans="1:4" ht="16.5" hidden="1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313">
        <f>参数调整!$K$33*怪物掉落配置方案!$D4530</f>
        <v>0.97734523613279367</v>
      </c>
    </row>
    <row r="3505" spans="1:4" ht="16.5" hidden="1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313">
        <f>参数调整!$K$33*怪物掉落配置方案!$D4531</f>
        <v>1.108981999978657</v>
      </c>
    </row>
    <row r="3506" spans="1:4" ht="16.5" hidden="1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313">
        <f>参数调整!$K$33*怪物掉落配置方案!$D4532</f>
        <v>1.2489326646989956</v>
      </c>
    </row>
    <row r="3507" spans="1:4" ht="16.5" hidden="1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313">
        <f>参数调整!$K$33*怪物掉落配置方案!$D4533</f>
        <v>1.3971972302938098</v>
      </c>
    </row>
    <row r="3508" spans="1:4" ht="16.5" hidden="1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313">
        <f>参数调整!$K$33*怪物掉落配置方案!$D4534</f>
        <v>1.5537756967630993</v>
      </c>
    </row>
    <row r="3509" spans="1:4" ht="16.5" hidden="1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313">
        <f>参数调整!$K$33*怪物掉落配置方案!$D4535</f>
        <v>1.7186680641068641</v>
      </c>
    </row>
    <row r="3510" spans="1:4" ht="16.5" hidden="1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313">
        <f>参数调整!$K$33*怪物掉落配置方案!$D4536</f>
        <v>1.8918743323251057</v>
      </c>
    </row>
    <row r="3511" spans="1:4" ht="16.5" hidden="1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313">
        <f>参数调整!$K$33*怪物掉落配置方案!$D4537</f>
        <v>2.0733945014178223</v>
      </c>
    </row>
    <row r="3512" spans="1:4" ht="16.5" hidden="1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313">
        <f>参数调整!$K$33*怪物掉落配置方案!$D4538</f>
        <v>2.2632285713850142</v>
      </c>
    </row>
    <row r="3513" spans="1:4" ht="16.5" hidden="1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313">
        <f>参数调整!$K$33*怪物掉落配置方案!$D4539</f>
        <v>4.0615588346160146E-4</v>
      </c>
    </row>
    <row r="3514" spans="1:4" ht="16.5" hidden="1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313">
        <f>参数调整!$K$33*怪物掉落配置方案!$D4540</f>
        <v>5.1404104000608939E-4</v>
      </c>
    </row>
    <row r="3515" spans="1:4" ht="16.5" hidden="1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313">
        <f>参数调整!$K$33*怪物掉落配置方案!$D4541</f>
        <v>6.3461856790875224E-4</v>
      </c>
    </row>
    <row r="3516" spans="1:4" ht="16.5" hidden="1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313">
        <f>参数调整!$K$33*怪物掉落配置方案!$D4542</f>
        <v>7.6788846716959022E-4</v>
      </c>
    </row>
    <row r="3517" spans="1:4" ht="16.5" hidden="1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313">
        <f>参数调整!$K$33*怪物掉落配置方案!$D4543</f>
        <v>9.1385073778860312E-4</v>
      </c>
    </row>
    <row r="3518" spans="1:4" ht="16.5" hidden="1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313">
        <f>参数调整!$K$33*怪物掉落配置方案!$D4544</f>
        <v>1.0725053797657912E-3</v>
      </c>
    </row>
    <row r="3519" spans="1:4" ht="16.5" hidden="1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313">
        <f>参数调整!$K$33*怪物掉落配置方案!$D4545</f>
        <v>1.2438523931011542E-3</v>
      </c>
    </row>
    <row r="3520" spans="1:4" ht="16.5" hidden="1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313">
        <f>参数调整!$K$33*怪物掉落配置方案!$D4546</f>
        <v>1.4278917777946923E-3</v>
      </c>
    </row>
    <row r="3521" spans="1:4" ht="16.5" hidden="1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313">
        <f>参数调整!$K$33*怪物掉落配置方案!$D4547</f>
        <v>1.6246235338464063E-3</v>
      </c>
    </row>
    <row r="3522" spans="1:4" ht="16.5" hidden="1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313">
        <f>参数调整!$K$33*怪物掉落配置方案!$D4548</f>
        <v>2.0561641600243571E-3</v>
      </c>
    </row>
    <row r="3523" spans="1:4" ht="16.5" hidden="1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313">
        <f>参数调整!$K$33*怪物掉落配置方案!$D4549</f>
        <v>2.5384742716350085E-3</v>
      </c>
    </row>
    <row r="3524" spans="1:4" ht="16.5" hidden="1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313">
        <f>参数调整!$K$33*怪物掉落配置方案!$D4550</f>
        <v>3.0715538686783609E-3</v>
      </c>
    </row>
    <row r="3525" spans="1:4" ht="16.5" hidden="1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313">
        <f>参数调整!$K$33*怪物掉落配置方案!$D4551</f>
        <v>3.9663660494297015E-3</v>
      </c>
    </row>
    <row r="3526" spans="1:4" ht="16.5" hidden="1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313">
        <f>参数调整!$K$33*怪物掉落配置方案!$D4552</f>
        <v>5.7115671111787683E-3</v>
      </c>
    </row>
    <row r="3527" spans="1:4" ht="16.5" hidden="1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313">
        <f>参数调整!$K$33*怪物掉落配置方案!$D4553</f>
        <v>7.7740774568822134E-3</v>
      </c>
    </row>
    <row r="3528" spans="1:4" ht="16.5" hidden="1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313">
        <f>参数调整!$K$33*怪物掉落配置方案!$D4554</f>
        <v>8.6879281946708187E-3</v>
      </c>
    </row>
    <row r="3529" spans="1:4" ht="16.5" hidden="1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313">
        <f>参数调整!$K$33*怪物掉落配置方案!$D4555</f>
        <v>1.0153897086540034E-2</v>
      </c>
    </row>
    <row r="3530" spans="1:4" ht="16.5" hidden="1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313">
        <f>参数调整!$K$33*怪物掉落配置方案!$D4556</f>
        <v>1.1734097320632825E-2</v>
      </c>
    </row>
    <row r="3531" spans="1:4" ht="16.5" hidden="1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313">
        <f>参数调整!$K$33*怪物掉落配置方案!$D4557</f>
        <v>1.3428528896949196E-2</v>
      </c>
    </row>
    <row r="3532" spans="1:4" ht="16.5" hidden="1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313">
        <f>参数调整!$K$33*怪物掉落配置方案!$D4558</f>
        <v>1.5237191815489144E-2</v>
      </c>
    </row>
    <row r="3533" spans="1:4" ht="16.5" hidden="1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313">
        <f>参数调整!$K$33*怪物掉落配置方案!$D4559</f>
        <v>1.7160086076252658E-2</v>
      </c>
    </row>
    <row r="3534" spans="1:4" ht="16.5" hidden="1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313">
        <f>参数调整!$K$33*怪物掉落配置方案!$D4560</f>
        <v>1.9197211679239757E-2</v>
      </c>
    </row>
    <row r="3535" spans="1:4" ht="16.5" hidden="1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313">
        <f>参数调整!$K$33*怪物掉落配置方案!$D4561</f>
        <v>2.134856862445042E-2</v>
      </c>
    </row>
    <row r="3536" spans="1:4" ht="16.5" hidden="1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313">
        <f>参数调整!$K$33*怪物掉落配置方案!$D4562</f>
        <v>2.3614156911884666E-2</v>
      </c>
    </row>
    <row r="3537" spans="1:4" ht="16.5" hidden="1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313">
        <f>参数调整!$K$33*怪物掉落配置方案!$D4563</f>
        <v>2.5993976541542493E-2</v>
      </c>
    </row>
    <row r="3538" spans="1:4" ht="16.5" hidden="1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313">
        <f>参数调整!$K$33*怪物掉落配置方案!$D4564</f>
        <v>2.8488027513423886E-2</v>
      </c>
    </row>
    <row r="3539" spans="1:4" ht="16.5" hidden="1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313">
        <f>参数调整!$K$33*怪物掉落配置方案!$D4565</f>
        <v>3.109630982752886E-2</v>
      </c>
    </row>
    <row r="3540" spans="1:4" ht="16.5" hidden="1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313">
        <f>参数调整!$K$33*怪物掉落配置方案!$D4566</f>
        <v>0</v>
      </c>
    </row>
    <row r="3541" spans="1:4" ht="16.5" hidden="1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313">
        <f>参数调整!$K$33*怪物掉落配置方案!$D4567</f>
        <v>0</v>
      </c>
    </row>
    <row r="3542" spans="1:4" ht="16.5" hidden="1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313">
        <f>参数调整!$K$33*怪物掉落配置方案!$D4568</f>
        <v>0</v>
      </c>
    </row>
    <row r="3543" spans="1:4" ht="16.5" hidden="1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313">
        <f>参数调整!$K$33*怪物掉落配置方案!$D4569</f>
        <v>0</v>
      </c>
    </row>
    <row r="3544" spans="1:4" ht="16.5" hidden="1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313">
        <f>参数调整!$K$33*怪物掉落配置方案!$D4570</f>
        <v>0</v>
      </c>
    </row>
    <row r="3545" spans="1:4" ht="16.5" hidden="1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313">
        <f>参数调整!$K$33*怪物掉落配置方案!$D4571</f>
        <v>0</v>
      </c>
    </row>
    <row r="3546" spans="1:4" ht="16.5" hidden="1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313">
        <f>参数调整!$K$33*怪物掉落配置方案!$D4572</f>
        <v>0</v>
      </c>
    </row>
    <row r="3547" spans="1:4" ht="16.5" hidden="1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313">
        <f>参数调整!$K$33*怪物掉落配置方案!$D4573</f>
        <v>0</v>
      </c>
    </row>
    <row r="3548" spans="1:4" ht="16.5" hidden="1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313">
        <f>参数调整!$K$33*怪物掉落配置方案!$D4574</f>
        <v>0</v>
      </c>
    </row>
    <row r="3549" spans="1:4" ht="16.5" hidden="1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313">
        <f>参数调整!$K$33*怪物掉落配置方案!$D4575</f>
        <v>0</v>
      </c>
    </row>
    <row r="3550" spans="1:4" ht="16.5" hidden="1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313">
        <f>参数调整!$K$33*怪物掉落配置方案!$D4576</f>
        <v>0</v>
      </c>
    </row>
    <row r="3551" spans="1:4" ht="16.5" hidden="1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313">
        <f>参数调整!$K$33*怪物掉落配置方案!$D4577</f>
        <v>0</v>
      </c>
    </row>
    <row r="3552" spans="1:4" ht="16.5" hidden="1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313">
        <f>参数调整!$K$33*怪物掉落配置方案!$D4578</f>
        <v>0</v>
      </c>
    </row>
    <row r="3553" spans="1:4" ht="16.5" hidden="1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313">
        <f>参数调整!$K$33*怪物掉落配置方案!$D4579</f>
        <v>0</v>
      </c>
    </row>
    <row r="3554" spans="1:4" ht="16.5" hidden="1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313">
        <f>参数调整!$K$33*怪物掉落配置方案!$D4580</f>
        <v>0</v>
      </c>
    </row>
    <row r="3555" spans="1:4" ht="16.5" hidden="1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313">
        <f>参数调整!$K$33*怪物掉落配置方案!$D4581</f>
        <v>0</v>
      </c>
    </row>
    <row r="3556" spans="1:4" ht="16.5" hidden="1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313">
        <f>参数调整!$K$33*怪物掉落配置方案!$D4582</f>
        <v>0</v>
      </c>
    </row>
    <row r="3557" spans="1:4" ht="16.5" hidden="1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313">
        <f>参数调整!$K$33*怪物掉落配置方案!$D4583</f>
        <v>0</v>
      </c>
    </row>
    <row r="3558" spans="1:4" ht="16.5" hidden="1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313">
        <f>参数调整!$K$33*怪物掉落配置方案!$D4584</f>
        <v>0</v>
      </c>
    </row>
    <row r="3559" spans="1:4" ht="16.5" hidden="1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313">
        <f>参数调整!$K$33*怪物掉落配置方案!$D4585</f>
        <v>0</v>
      </c>
    </row>
    <row r="3560" spans="1:4" ht="16.5" hidden="1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313">
        <f>参数调整!$K$33*怪物掉落配置方案!$D4586</f>
        <v>0</v>
      </c>
    </row>
    <row r="3561" spans="1:4" ht="16.5" hidden="1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313">
        <f>参数调整!$K$33*怪物掉落配置方案!$D4587</f>
        <v>0</v>
      </c>
    </row>
    <row r="3562" spans="1:4" ht="16.5" hidden="1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313">
        <f>参数调整!$K$33*怪物掉落配置方案!$D4588</f>
        <v>0</v>
      </c>
    </row>
    <row r="3563" spans="1:4" ht="16.5" hidden="1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313">
        <f>参数调整!$K$33*怪物掉落配置方案!$D4589</f>
        <v>0</v>
      </c>
    </row>
    <row r="3564" spans="1:4" ht="16.5" hidden="1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313">
        <f>参数调整!$K$33*怪物掉落配置方案!$D4590</f>
        <v>0</v>
      </c>
    </row>
    <row r="3565" spans="1:4" ht="16.5" hidden="1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313">
        <f>参数调整!$K$33*怪物掉落配置方案!$D4591</f>
        <v>0</v>
      </c>
    </row>
    <row r="3566" spans="1:4" ht="16.5" hidden="1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313">
        <f>参数调整!$K$33*怪物掉落配置方案!$D4592</f>
        <v>0</v>
      </c>
    </row>
    <row r="3567" spans="1:4" ht="16.5" hidden="1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313">
        <f>参数调整!$K$33*怪物掉落配置方案!$D4593</f>
        <v>2.0307794173080071E-3</v>
      </c>
    </row>
    <row r="3568" spans="1:4" ht="16.5" hidden="1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313">
        <f>参数调整!$K$33*怪物掉落配置方案!$D4594</f>
        <v>2.570205200030447E-3</v>
      </c>
    </row>
    <row r="3569" spans="1:4" ht="16.5" hidden="1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313">
        <f>参数调整!$K$33*怪物掉落配置方案!$D4595</f>
        <v>3.1730928395437611E-3</v>
      </c>
    </row>
    <row r="3570" spans="1:4" ht="16.5" hidden="1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313">
        <f>参数调整!$K$33*怪物掉落配置方案!$D4596</f>
        <v>3.8394423358479512E-3</v>
      </c>
    </row>
    <row r="3571" spans="1:4" ht="16.5" hidden="1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313">
        <f>参数调整!$K$33*怪物掉落配置方案!$D4597</f>
        <v>4.5692536889430152E-3</v>
      </c>
    </row>
    <row r="3572" spans="1:4" ht="16.5" hidden="1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313">
        <f>参数调整!$K$33*怪物掉落配置方案!$D4598</f>
        <v>5.3625268988289568E-3</v>
      </c>
    </row>
    <row r="3573" spans="1:4" ht="16.5" hidden="1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313">
        <f>参数调整!$K$33*怪物掉落配置方案!$D4599</f>
        <v>6.2192619655057711E-3</v>
      </c>
    </row>
    <row r="3574" spans="1:4" ht="16.5" hidden="1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313">
        <f>参数调整!$K$33*怪物掉落配置方案!$D4600</f>
        <v>7.1394588889734621E-3</v>
      </c>
    </row>
    <row r="3575" spans="1:4" ht="16.5" hidden="1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313">
        <f>参数调整!$K$33*怪物掉落配置方案!$D4601</f>
        <v>8.12311766923203E-3</v>
      </c>
    </row>
    <row r="3576" spans="1:4" ht="16.5" hidden="1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313">
        <f>参数调整!$K$33*怪物掉落配置方案!$D4602</f>
        <v>1.0280820800121786E-2</v>
      </c>
    </row>
    <row r="3577" spans="1:4" ht="16.5" hidden="1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313">
        <f>参数调整!$K$33*怪物掉落配置方案!$D4603</f>
        <v>1.2692371358175044E-2</v>
      </c>
    </row>
    <row r="3578" spans="1:4" ht="16.5" hidden="1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313">
        <f>参数调整!$K$33*怪物掉落配置方案!$D4604</f>
        <v>1.5357769343391805E-2</v>
      </c>
    </row>
    <row r="3579" spans="1:4" ht="16.5" hidden="1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313">
        <f>参数调整!$K$33*怪物掉落配置方案!$D4605</f>
        <v>1.9831830247148508E-2</v>
      </c>
    </row>
    <row r="3580" spans="1:4" ht="16.5" hidden="1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313">
        <f>参数调整!$K$33*怪物掉落配置方案!$D4606</f>
        <v>2.8557835555893845E-2</v>
      </c>
    </row>
    <row r="3581" spans="1:4" ht="16.5" hidden="1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313">
        <f>参数调整!$K$33*怪物掉落配置方案!$D4607</f>
        <v>3.887038728441107E-2</v>
      </c>
    </row>
    <row r="3582" spans="1:4" ht="16.5" hidden="1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313">
        <f>参数调整!$K$33*怪物掉落配置方案!$D4608</f>
        <v>4.3439640973354093E-2</v>
      </c>
    </row>
    <row r="3583" spans="1:4" ht="16.5" hidden="1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313">
        <f>参数调整!$K$33*怪物掉落配置方案!$D4609</f>
        <v>5.0769485432700177E-2</v>
      </c>
    </row>
    <row r="3584" spans="1:4" ht="16.5" hidden="1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313">
        <f>参数调整!$K$33*怪物掉落配置方案!$D4610</f>
        <v>5.8670486603164131E-2</v>
      </c>
    </row>
    <row r="3585" spans="1:4" ht="16.5" hidden="1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313">
        <f>参数调整!$K$33*怪物掉落配置方案!$D4611</f>
        <v>6.7142644484745981E-2</v>
      </c>
    </row>
    <row r="3586" spans="1:4" ht="16.5" hidden="1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313">
        <f>参数调整!$K$33*怪物掉落配置方案!$D4612</f>
        <v>7.6185959077445714E-2</v>
      </c>
    </row>
    <row r="3587" spans="1:4" ht="16.5" hidden="1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313">
        <f>参数调整!$K$33*怪物掉落配置方案!$D4613</f>
        <v>8.580043038126331E-2</v>
      </c>
    </row>
    <row r="3588" spans="1:4" ht="16.5" hidden="1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313">
        <f>参数调整!$K$33*怪物掉落配置方案!$D4614</f>
        <v>9.5986058396198781E-2</v>
      </c>
    </row>
    <row r="3589" spans="1:4" ht="16.5" hidden="1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313">
        <f>参数调整!$K$33*怪物掉落配置方案!$D4615</f>
        <v>0.1067428431222521</v>
      </c>
    </row>
    <row r="3590" spans="1:4" ht="16.5" hidden="1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313">
        <f>参数调整!$K$33*怪物掉落配置方案!$D4616</f>
        <v>0.11807078455942334</v>
      </c>
    </row>
    <row r="3591" spans="1:4" ht="16.5" hidden="1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313">
        <f>参数调整!$K$33*怪物掉落配置方案!$D4617</f>
        <v>0.12996988270771248</v>
      </c>
    </row>
    <row r="3592" spans="1:4" ht="16.5" hidden="1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313">
        <f>参数调整!$K$33*怪物掉落配置方案!$D4618</f>
        <v>0.14244013756711946</v>
      </c>
    </row>
    <row r="3593" spans="1:4" ht="16.5" hidden="1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313">
        <f>参数调整!$K$33*怪物掉落配置方案!$D4619</f>
        <v>0.15548154913764431</v>
      </c>
    </row>
    <row r="3594" spans="1:4" ht="16.5" hidden="1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313">
        <f>参数调整!$K$33*怪物掉落配置方案!$D4620</f>
        <v>0.32500735241919942</v>
      </c>
    </row>
    <row r="3595" spans="1:4" ht="16.5" hidden="1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313">
        <f>参数调整!$K$33*怪物掉落配置方案!$D4621</f>
        <v>0.41133743040554938</v>
      </c>
    </row>
    <row r="3596" spans="1:4" ht="16.5" hidden="1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313">
        <f>参数调整!$K$33*怪物掉落配置方案!$D4622</f>
        <v>0.50782398815499918</v>
      </c>
    </row>
    <row r="3597" spans="1:4" ht="16.5" hidden="1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313">
        <f>参数调整!$K$33*怪物掉落配置方案!$D4623</f>
        <v>0.61446702566754907</v>
      </c>
    </row>
    <row r="3598" spans="1:4" ht="16.5" hidden="1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313">
        <f>参数调整!$K$33*怪物掉落配置方案!$D4624</f>
        <v>0.73126654294319859</v>
      </c>
    </row>
    <row r="3599" spans="1:4" ht="16.5" hidden="1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313">
        <f>参数调整!$K$33*怪物掉落配置方案!$D4625</f>
        <v>0.85822253998194875</v>
      </c>
    </row>
    <row r="3600" spans="1:4" ht="16.5" hidden="1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313">
        <f>参数调整!$K$33*怪物掉落配置方案!$D4626</f>
        <v>0.99533501678379832</v>
      </c>
    </row>
    <row r="3601" spans="1:4" ht="16.5" hidden="1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313">
        <f>参数调整!$K$33*怪物掉落配置方案!$D4627</f>
        <v>1.1426039733487481</v>
      </c>
    </row>
    <row r="3602" spans="1:4" ht="16.5" hidden="1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313">
        <f>参数调整!$K$33*怪物掉落配置方案!$D4628</f>
        <v>1.3000294096767981</v>
      </c>
    </row>
    <row r="3603" spans="1:4" ht="16.5" hidden="1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313">
        <f>参数调整!$K$33*怪物掉落配置方案!$D4629</f>
        <v>1.6453497216221975</v>
      </c>
    </row>
    <row r="3604" spans="1:4" ht="16.5" hidden="1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313">
        <f>参数调整!$K$33*怪物掉落配置方案!$D4630</f>
        <v>2.0312959526199958</v>
      </c>
    </row>
    <row r="3605" spans="1:4" ht="16.5" hidden="1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313">
        <f>参数调整!$K$33*怪物掉落配置方案!$D4631</f>
        <v>2.4578681026701963</v>
      </c>
    </row>
    <row r="3606" spans="1:4" ht="16.5" hidden="1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313">
        <f>参数调整!$K$33*怪物掉落配置方案!$D4632</f>
        <v>3.1738999259687444</v>
      </c>
    </row>
    <row r="3607" spans="1:4" ht="16.5" hidden="1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313">
        <f>参数调整!$K$33*怪物掉落配置方案!$D4633</f>
        <v>4.5704158933949914</v>
      </c>
    </row>
    <row r="3608" spans="1:4" ht="16.5" hidden="1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313">
        <f>参数调整!$K$33*怪物掉落配置方案!$D4634</f>
        <v>6.2208438548987388</v>
      </c>
    </row>
    <row r="3609" spans="1:4" ht="16.5" hidden="1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313">
        <f>参数调整!$K$33*怪物掉落配置方案!$D4635</f>
        <v>6.9521103978419392</v>
      </c>
    </row>
    <row r="3610" spans="1:4" ht="16.5" hidden="1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313">
        <f>参数调整!$K$33*怪物掉落配置方案!$D4636</f>
        <v>8.1251838104799834</v>
      </c>
    </row>
    <row r="3611" spans="1:4" ht="16.5" hidden="1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313">
        <f>参数调整!$K$33*怪物掉落配置方案!$D4637</f>
        <v>9.3896655409859324</v>
      </c>
    </row>
    <row r="3612" spans="1:4" ht="16.5" hidden="1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313">
        <f>参数调整!$K$33*怪物掉落配置方案!$D4638</f>
        <v>10.74555558935978</v>
      </c>
    </row>
    <row r="3613" spans="1:4" ht="16.5" hidden="1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313">
        <f>参数调整!$K$33*怪物掉落配置方案!$D4639</f>
        <v>12.19285395560153</v>
      </c>
    </row>
    <row r="3614" spans="1:4" ht="16.5" hidden="1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313">
        <f>参数调整!$K$33*怪物掉落配置方案!$D4640</f>
        <v>13.731560639711176</v>
      </c>
    </row>
    <row r="3615" spans="1:4" ht="16.5" hidden="1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313">
        <f>参数调整!$K$33*怪物掉落配置方案!$D4641</f>
        <v>15.361675641688723</v>
      </c>
    </row>
    <row r="3616" spans="1:4" ht="16.5" hidden="1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313">
        <f>参数调整!$K$33*怪物掉落配置方案!$D4642</f>
        <v>17.083198961534173</v>
      </c>
    </row>
    <row r="3617" spans="1:4" ht="16.5" hidden="1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313">
        <f>参数调整!$K$33*怪物掉落配置方案!$D4643</f>
        <v>18.896130599247517</v>
      </c>
    </row>
    <row r="3618" spans="1:4" ht="16.5" hidden="1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313">
        <f>参数调整!$K$33*怪物掉落配置方案!$D4644</f>
        <v>20.800470554828763</v>
      </c>
    </row>
    <row r="3619" spans="1:4" ht="16.5" hidden="1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313">
        <f>参数调整!$K$33*怪物掉落配置方案!$D4645</f>
        <v>22.796218828277908</v>
      </c>
    </row>
    <row r="3620" spans="1:4" ht="16.5" hidden="1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313">
        <f>参数调整!$K$33*怪物掉落配置方案!$D4646</f>
        <v>24.883375419594962</v>
      </c>
    </row>
    <row r="3621" spans="1:4" ht="16.5" hidden="1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313">
        <f>参数调整!$K$33*怪物掉落配置方案!$D4647</f>
        <v>1.4621611804617649E-3</v>
      </c>
    </row>
    <row r="3622" spans="1:4" ht="16.5" hidden="1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313">
        <f>参数调整!$K$33*怪物掉落配置方案!$D4648</f>
        <v>1.8505477440219217E-3</v>
      </c>
    </row>
    <row r="3623" spans="1:4" ht="16.5" hidden="1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313">
        <f>参数调整!$K$33*怪物掉落配置方案!$D4649</f>
        <v>2.2846268444715076E-3</v>
      </c>
    </row>
    <row r="3624" spans="1:4" ht="16.5" hidden="1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313">
        <f>参数调整!$K$33*怪物掉落配置方案!$D4650</f>
        <v>2.7643984818105246E-3</v>
      </c>
    </row>
    <row r="3625" spans="1:4" ht="16.5" hidden="1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313">
        <f>参数调整!$K$33*怪物掉落配置方案!$D4651</f>
        <v>3.2898626560389703E-3</v>
      </c>
    </row>
    <row r="3626" spans="1:4" ht="16.5" hidden="1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313">
        <f>参数调整!$K$33*怪物掉落配置方案!$D4652</f>
        <v>3.8610193671568477E-3</v>
      </c>
    </row>
    <row r="3627" spans="1:4" ht="16.5" hidden="1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313">
        <f>参数调整!$K$33*怪物掉落配置方案!$D4653</f>
        <v>4.4778686151641543E-3</v>
      </c>
    </row>
    <row r="3628" spans="1:4" ht="16.5" hidden="1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313">
        <f>参数调整!$K$33*怪物掉落配置方案!$D4654</f>
        <v>5.140410400060893E-3</v>
      </c>
    </row>
    <row r="3629" spans="1:4" ht="16.5" hidden="1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313">
        <f>参数调整!$K$33*怪物掉落配置方案!$D4655</f>
        <v>5.8486447218470596E-3</v>
      </c>
    </row>
    <row r="3630" spans="1:4" ht="16.5" hidden="1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313">
        <f>参数调整!$K$33*怪物掉落配置方案!$D4656</f>
        <v>7.4021909760876867E-3</v>
      </c>
    </row>
    <row r="3631" spans="1:4" ht="16.5" hidden="1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313">
        <f>参数调整!$K$33*怪物掉落配置方案!$D4657</f>
        <v>9.1385073778860303E-3</v>
      </c>
    </row>
    <row r="3632" spans="1:4" ht="16.5" hidden="1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313">
        <f>参数调整!$K$33*怪物掉落配置方案!$D4658</f>
        <v>1.1057593927242098E-2</v>
      </c>
    </row>
    <row r="3633" spans="1:4" ht="16.5" hidden="1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313">
        <f>参数调整!$K$33*怪物掉落配置方案!$D4659</f>
        <v>1.4278917777946923E-2</v>
      </c>
    </row>
    <row r="3634" spans="1:4" ht="16.5" hidden="1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313">
        <f>参数调整!$K$33*怪物掉落配置方案!$D4660</f>
        <v>2.0561641600243569E-2</v>
      </c>
    </row>
    <row r="3635" spans="1:4" ht="16.5" hidden="1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313">
        <f>参数调整!$K$33*怪物掉落配置方案!$D4661</f>
        <v>2.7986678844775965E-2</v>
      </c>
    </row>
    <row r="3636" spans="1:4" ht="16.5" hidden="1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313">
        <f>参数调整!$K$33*怪物掉落配置方案!$D4662</f>
        <v>3.1276541500814943E-2</v>
      </c>
    </row>
    <row r="3637" spans="1:4" ht="16.5" hidden="1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313">
        <f>参数调整!$K$33*怪物掉落配置方案!$D4663</f>
        <v>3.6554029511544121E-2</v>
      </c>
    </row>
    <row r="3638" spans="1:4" ht="16.5" hidden="1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313">
        <f>参数调整!$K$33*怪物掉落配置方案!$D4664</f>
        <v>4.2242750354278172E-2</v>
      </c>
    </row>
    <row r="3639" spans="1:4" ht="16.5" hidden="1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313">
        <f>参数调整!$K$33*怪物掉落配置方案!$D4665</f>
        <v>4.8342704029017095E-2</v>
      </c>
    </row>
    <row r="3640" spans="1:4" ht="16.5" hidden="1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313">
        <f>参数调整!$K$33*怪物掉落配置方案!$D4666</f>
        <v>5.485389053576091E-2</v>
      </c>
    </row>
    <row r="3641" spans="1:4" ht="16.5" hidden="1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313">
        <f>参数调整!$K$33*怪物掉落配置方案!$D4667</f>
        <v>6.1776309874509563E-2</v>
      </c>
    </row>
    <row r="3642" spans="1:4" ht="16.5" hidden="1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313">
        <f>参数调整!$K$33*怪物掉落配置方案!$D4668</f>
        <v>6.9109962045263124E-2</v>
      </c>
    </row>
    <row r="3643" spans="1:4" ht="16.5" hidden="1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313">
        <f>参数调整!$K$33*怪物掉落配置方案!$D4669</f>
        <v>7.6854847048021507E-2</v>
      </c>
    </row>
    <row r="3644" spans="1:4" ht="16.5" hidden="1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313">
        <f>参数调整!$K$33*怪物掉落配置方案!$D4670</f>
        <v>8.501096488278477E-2</v>
      </c>
    </row>
    <row r="3645" spans="1:4" ht="16.5" hidden="1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313">
        <f>参数调整!$K$33*怪物掉落配置方案!$D4671</f>
        <v>9.3578315549552954E-2</v>
      </c>
    </row>
    <row r="3646" spans="1:4" ht="16.5" hidden="1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313">
        <f>参数调整!$K$33*怪物掉落配置方案!$D4672</f>
        <v>0.10255689904832598</v>
      </c>
    </row>
    <row r="3647" spans="1:4" ht="16.5" hidden="1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313">
        <f>参数调整!$K$33*怪物掉落配置方案!$D4673</f>
        <v>0.11194671537910388</v>
      </c>
    </row>
    <row r="3648" spans="1:4" ht="16.5" hidden="1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313">
        <f>参数调整!$K$33*怪物掉落配置方案!$D4674</f>
        <v>2.2700463611960771E-2</v>
      </c>
    </row>
    <row r="3649" spans="1:4" ht="16.5" hidden="1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313">
        <f>参数调整!$K$33*怪物掉落配置方案!$D4675</f>
        <v>2.8730274258887856E-2</v>
      </c>
    </row>
    <row r="3650" spans="1:4" ht="16.5" hidden="1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313">
        <f>参数调整!$K$33*怪物掉落配置方案!$D4676</f>
        <v>3.5469474393688701E-2</v>
      </c>
    </row>
    <row r="3651" spans="1:4" ht="16.5" hidden="1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313">
        <f>参数调整!$K$33*怪物掉落配置方案!$D4677</f>
        <v>4.2918064016363326E-2</v>
      </c>
    </row>
    <row r="3652" spans="1:4" ht="16.5" hidden="1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313">
        <f>参数调整!$K$33*怪物掉落配置方案!$D4678</f>
        <v>5.1076043126911719E-2</v>
      </c>
    </row>
    <row r="3653" spans="1:4" ht="16.5" hidden="1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313">
        <f>参数调整!$K$33*怪物掉落配置方案!$D4679</f>
        <v>5.9943411725333913E-2</v>
      </c>
    </row>
    <row r="3654" spans="1:4" ht="16.5" hidden="1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313">
        <f>参数调整!$K$33*怪物掉落配置方案!$D4680</f>
        <v>6.9520169811629853E-2</v>
      </c>
    </row>
    <row r="3655" spans="1:4" ht="16.5" hidden="1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313">
        <f>参数调整!$K$33*怪物掉落配置方案!$D4681</f>
        <v>7.9806317385799588E-2</v>
      </c>
    </row>
    <row r="3656" spans="1:4" ht="16.5" hidden="1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313">
        <f>参数调整!$K$33*怪物掉落配置方案!$D4682</f>
        <v>9.0801854447843083E-2</v>
      </c>
    </row>
    <row r="3657" spans="1:4" ht="16.5" hidden="1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313">
        <f>参数调整!$K$33*怪物掉落配置方案!$D4683</f>
        <v>0.11492109703555139</v>
      </c>
    </row>
    <row r="3658" spans="1:4" ht="16.5" hidden="1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313">
        <f>参数调整!$K$33*怪物掉落配置方案!$D4684</f>
        <v>0.1418778975747548</v>
      </c>
    </row>
    <row r="3659" spans="1:4" ht="16.5" hidden="1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313">
        <f>参数调整!$K$33*怪物掉落配置方案!$D4685</f>
        <v>0.1716722560654533</v>
      </c>
    </row>
    <row r="3660" spans="1:4" ht="16.5" hidden="1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313">
        <f>参数调整!$K$33*怪物掉落配置方案!$D4686</f>
        <v>0.22168421496055438</v>
      </c>
    </row>
    <row r="3661" spans="1:4" ht="16.5" hidden="1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313">
        <f>参数调整!$K$33*怪物掉落配置方案!$D4687</f>
        <v>0.31922526954319824</v>
      </c>
    </row>
    <row r="3662" spans="1:4" ht="16.5" hidden="1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313">
        <f>参数调整!$K$33*怪物掉落配置方案!$D4688</f>
        <v>0.43450106132268657</v>
      </c>
    </row>
    <row r="3663" spans="1:4" ht="16.5" hidden="1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313">
        <f>参数调整!$K$33*怪物掉落配置方案!$D4689</f>
        <v>0.48557710444959834</v>
      </c>
    </row>
    <row r="3664" spans="1:4" ht="16.5" hidden="1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313">
        <f>参数调整!$K$33*怪物掉落配置方案!$D4690</f>
        <v>0.56751159029901921</v>
      </c>
    </row>
    <row r="3665" spans="1:4" ht="16.5" hidden="1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313">
        <f>参数调整!$K$33*怪物掉落配置方案!$D4691</f>
        <v>0.65583058153930396</v>
      </c>
    </row>
    <row r="3666" spans="1:4" ht="16.5" hidden="1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313">
        <f>参数调整!$K$33*怪物掉落配置方案!$D4692</f>
        <v>0.75053407817045281</v>
      </c>
    </row>
    <row r="3667" spans="1:4" ht="16.5" hidden="1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313">
        <f>参数调整!$K$33*怪物掉落配置方案!$D4693</f>
        <v>0.85162208019246588</v>
      </c>
    </row>
    <row r="3668" spans="1:4" ht="16.5" hidden="1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313">
        <f>参数调整!$K$33*怪物掉落配置方案!$D4694</f>
        <v>0.95909458760534227</v>
      </c>
    </row>
    <row r="3669" spans="1:4" ht="16.5" hidden="1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313">
        <f>参数调整!$K$33*怪物掉落配置方案!$D4695</f>
        <v>1.0729516004090833</v>
      </c>
    </row>
    <row r="3670" spans="1:4" ht="16.5" hidden="1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313">
        <f>参数调整!$K$33*怪物掉落配置方案!$D4696</f>
        <v>1.1931931186036877</v>
      </c>
    </row>
    <row r="3671" spans="1:4" ht="16.5" hidden="1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313">
        <f>参数调整!$K$33*怪物掉落配置方案!$D4697</f>
        <v>1.3198191421891561</v>
      </c>
    </row>
    <row r="3672" spans="1:4" ht="16.5" hidden="1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313">
        <f>参数调整!$K$33*怪物掉落配置方案!$D4698</f>
        <v>1.4528296711654893</v>
      </c>
    </row>
    <row r="3673" spans="1:4" ht="16.5" hidden="1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313">
        <f>参数调整!$K$33*怪物掉落配置方案!$D4699</f>
        <v>1.5922247055326859</v>
      </c>
    </row>
    <row r="3674" spans="1:4" ht="16.5" hidden="1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313">
        <f>参数调整!$K$33*怪物掉落配置方案!$D4700</f>
        <v>1.7380042452907463</v>
      </c>
    </row>
    <row r="3675" spans="1:4" ht="16.5" hidden="1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313">
        <f>参数调整!$K$33*怪物掉落配置方案!$D4701</f>
        <v>0.12971278139781273</v>
      </c>
    </row>
    <row r="3676" spans="1:4" ht="16.5" hidden="1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313">
        <f>参数调整!$K$33*怪物掉落配置方案!$D4702</f>
        <v>0.16416773895660675</v>
      </c>
    </row>
    <row r="3677" spans="1:4" ht="16.5" hidden="1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313">
        <f>参数调整!$K$33*怪物掉落配置方案!$D4703</f>
        <v>0.20267622093408233</v>
      </c>
    </row>
    <row r="3678" spans="1:4" ht="16.5" hidden="1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313">
        <f>参数调整!$K$33*怪物掉落配置方案!$D4704</f>
        <v>0.24523822733023967</v>
      </c>
    </row>
    <row r="3679" spans="1:4" ht="16.5" hidden="1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313">
        <f>参数调整!$K$33*怪物掉落配置方案!$D4705</f>
        <v>0.29185375814507847</v>
      </c>
    </row>
    <row r="3680" spans="1:4" ht="16.5" hidden="1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313">
        <f>参数调整!$K$33*怪物掉落配置方案!$D4706</f>
        <v>0.34252281337859919</v>
      </c>
    </row>
    <row r="3681" spans="1:4" ht="16.5" hidden="1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313">
        <f>参数调整!$K$33*怪物掉落配置方案!$D4707</f>
        <v>0.39724539303080131</v>
      </c>
    </row>
    <row r="3682" spans="1:4" ht="16.5" hidden="1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313">
        <f>参数调整!$K$33*怪物掉落配置方案!$D4708</f>
        <v>0.45602149710168521</v>
      </c>
    </row>
    <row r="3683" spans="1:4" ht="16.5" hidden="1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313">
        <f>参数调整!$K$33*怪物掉落配置方案!$D4709</f>
        <v>0.51885112559125091</v>
      </c>
    </row>
    <row r="3684" spans="1:4" ht="16.5" hidden="1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313">
        <f>参数调整!$K$33*怪物掉落配置方案!$D4710</f>
        <v>0.65667095582642687</v>
      </c>
    </row>
    <row r="3685" spans="1:4" ht="16.5" hidden="1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313">
        <f>参数调整!$K$33*怪物掉落配置方案!$D4711</f>
        <v>0.81070488373632921</v>
      </c>
    </row>
    <row r="3686" spans="1:4" ht="16.5" hidden="1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313">
        <f>参数调整!$K$33*怪物掉落配置方案!$D4712</f>
        <v>0.98095290932095869</v>
      </c>
    </row>
    <row r="3687" spans="1:4" ht="16.5" hidden="1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313">
        <f>参数调整!$K$33*怪物掉落配置方案!$D4713</f>
        <v>1.2667263808380145</v>
      </c>
    </row>
    <row r="3688" spans="1:4" ht="16.5" hidden="1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313">
        <f>参数调整!$K$33*怪物掉落配置方案!$D4714</f>
        <v>1.8240859884067409</v>
      </c>
    </row>
    <row r="3689" spans="1:4" ht="16.5" hidden="1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313">
        <f>参数调整!$K$33*怪物掉落配置方案!$D4715</f>
        <v>2.482783706442508</v>
      </c>
    </row>
    <row r="3690" spans="1:4" ht="16.5" hidden="1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313">
        <f>参数调整!$K$33*怪物掉落配置方案!$D4716</f>
        <v>2.7746374645875873</v>
      </c>
    </row>
    <row r="3691" spans="1:4" ht="16.5" hidden="1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313">
        <f>参数调整!$K$33*怪物掉落配置方案!$D4717</f>
        <v>3.2428195349453168</v>
      </c>
    </row>
    <row r="3692" spans="1:4" ht="16.5" hidden="1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313">
        <f>参数调整!$K$33*怪物掉落配置方案!$D4718</f>
        <v>3.7474833250711819</v>
      </c>
    </row>
    <row r="3693" spans="1:4" ht="16.5" hidden="1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313">
        <f>参数调整!$K$33*怪物掉落配置方案!$D4719</f>
        <v>4.2886288349651815</v>
      </c>
    </row>
    <row r="3694" spans="1:4" ht="16.5" hidden="1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313">
        <f>参数调整!$K$33*怪物掉落配置方案!$D4720</f>
        <v>4.8662560646273176</v>
      </c>
    </row>
    <row r="3695" spans="1:4" ht="16.5" hidden="1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313">
        <f>参数调整!$K$33*怪物掉落配置方案!$D4721</f>
        <v>5.4803650140575861</v>
      </c>
    </row>
    <row r="3696" spans="1:4" ht="16.5" hidden="1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313">
        <f>参数调整!$K$33*怪物掉落配置方案!$D4722</f>
        <v>6.1309556832559915</v>
      </c>
    </row>
    <row r="3697" spans="1:4" ht="16.5" hidden="1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313">
        <f>参数调整!$K$33*怪物掉落配置方案!$D4723</f>
        <v>6.8180280722225293</v>
      </c>
    </row>
    <row r="3698" spans="1:4" ht="16.5" hidden="1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313">
        <f>参数调整!$K$33*怪物掉落配置方案!$D4724</f>
        <v>7.541582180957203</v>
      </c>
    </row>
    <row r="3699" spans="1:4" ht="16.5" hidden="1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313">
        <f>参数调整!$K$33*怪物掉落配置方案!$D4725</f>
        <v>8.3016180094600127</v>
      </c>
    </row>
    <row r="3700" spans="1:4" ht="16.5" hidden="1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313">
        <f>参数调整!$K$33*怪物掉落配置方案!$D4726</f>
        <v>9.0981355577309557</v>
      </c>
    </row>
    <row r="3701" spans="1:4" ht="16.5" hidden="1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313">
        <f>参数调整!$K$33*怪物掉落配置方案!$D4727</f>
        <v>9.9311348257700338</v>
      </c>
    </row>
    <row r="3702" spans="1:4" ht="16.5" hidden="1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313">
        <f>参数调整!$K$33*怪物掉落配置方案!$D4728</f>
        <v>1.6246235338464061E-4</v>
      </c>
    </row>
    <row r="3703" spans="1:4" ht="16.5" hidden="1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313">
        <f>参数调整!$K$33*怪物掉落配置方案!$D4729</f>
        <v>2.0561641600243575E-4</v>
      </c>
    </row>
    <row r="3704" spans="1:4" ht="16.5" hidden="1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313">
        <f>参数调整!$K$33*怪物掉落配置方案!$D4730</f>
        <v>2.5384742716350088E-4</v>
      </c>
    </row>
    <row r="3705" spans="1:4" ht="16.5" hidden="1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313">
        <f>参数调整!$K$33*怪物掉落配置方案!$D4731</f>
        <v>3.0715538686783609E-4</v>
      </c>
    </row>
    <row r="3706" spans="1:4" ht="16.5" hidden="1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313">
        <f>参数调整!$K$33*怪物掉落配置方案!$D4732</f>
        <v>3.6554029511544123E-4</v>
      </c>
    </row>
    <row r="3707" spans="1:4" ht="16.5" hidden="1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313">
        <f>参数调整!$K$33*怪物掉落配置方案!$D4733</f>
        <v>4.2900215190631662E-4</v>
      </c>
    </row>
    <row r="3708" spans="1:4" ht="16.5" hidden="1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313">
        <f>参数调整!$K$33*怪物掉落配置方案!$D4734</f>
        <v>4.9754095724046168E-4</v>
      </c>
    </row>
    <row r="3709" spans="1:4" ht="16.5" hidden="1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313">
        <f>参数调整!$K$33*怪物掉落配置方案!$D4735</f>
        <v>5.71156711117877E-4</v>
      </c>
    </row>
    <row r="3710" spans="1:4" ht="16.5" hidden="1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313">
        <f>参数调整!$K$33*怪物掉落配置方案!$D4736</f>
        <v>6.4984941353856242E-4</v>
      </c>
    </row>
    <row r="3711" spans="1:4" ht="16.5" hidden="1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313">
        <f>参数调整!$K$33*怪物掉落配置方案!$D4737</f>
        <v>8.22465664009743E-4</v>
      </c>
    </row>
    <row r="3712" spans="1:4" ht="16.5" hidden="1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313">
        <f>参数调整!$K$33*怪物掉落配置方案!$D4738</f>
        <v>1.0153897086540035E-3</v>
      </c>
    </row>
    <row r="3713" spans="1:4" ht="16.5" hidden="1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313">
        <f>参数调整!$K$33*怪物掉落配置方案!$D4739</f>
        <v>1.2286215474713444E-3</v>
      </c>
    </row>
    <row r="3714" spans="1:4" ht="16.5" hidden="1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313">
        <f>参数调整!$K$33*怪物掉落配置方案!$D4740</f>
        <v>1.5865464197718805E-3</v>
      </c>
    </row>
    <row r="3715" spans="1:4" ht="16.5" hidden="1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313">
        <f>参数调整!$K$33*怪物掉落配置方案!$D4741</f>
        <v>2.2846268444715076E-3</v>
      </c>
    </row>
    <row r="3716" spans="1:4" ht="16.5" hidden="1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313">
        <f>参数调整!$K$33*怪物掉落配置方案!$D4742</f>
        <v>3.1096309827528847E-3</v>
      </c>
    </row>
    <row r="3717" spans="1:4" ht="16.5" hidden="1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313">
        <f>参数调整!$K$33*怪物掉落配置方案!$D4743</f>
        <v>3.4751712778683277E-3</v>
      </c>
    </row>
    <row r="3718" spans="1:4" ht="16.5" hidden="1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313">
        <f>参数调整!$K$33*怪物掉落配置方案!$D4744</f>
        <v>4.0615588346160142E-3</v>
      </c>
    </row>
    <row r="3719" spans="1:4" ht="16.5" hidden="1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313">
        <f>参数调整!$K$33*怪物掉落配置方案!$D4745</f>
        <v>4.6936389282531315E-3</v>
      </c>
    </row>
    <row r="3720" spans="1:4" ht="16.5" hidden="1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313">
        <f>参数调整!$K$33*怪物掉落配置方案!$D4746</f>
        <v>5.3714115587796783E-3</v>
      </c>
    </row>
    <row r="3721" spans="1:4" ht="16.5" hidden="1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313">
        <f>参数调整!$K$33*怪物掉落配置方案!$D4747</f>
        <v>6.0948767261956582E-3</v>
      </c>
    </row>
    <row r="3722" spans="1:4" ht="16.5" hidden="1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313">
        <f>参数调整!$K$33*怪物掉落配置方案!$D4748</f>
        <v>6.8640344305010642E-3</v>
      </c>
    </row>
    <row r="3723" spans="1:4" ht="16.5" hidden="1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313">
        <f>参数调整!$K$33*怪物掉落配置方案!$D4749</f>
        <v>7.6788846716959024E-3</v>
      </c>
    </row>
    <row r="3724" spans="1:4" ht="16.5" hidden="1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313">
        <f>参数调整!$K$33*怪物掉落配置方案!$D4750</f>
        <v>8.5394274497801684E-3</v>
      </c>
    </row>
    <row r="3725" spans="1:4" ht="16.5" hidden="1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313">
        <f>参数调整!$K$33*怪物掉落配置方案!$D4751</f>
        <v>9.4456627647538649E-3</v>
      </c>
    </row>
    <row r="3726" spans="1:4" ht="16.5" hidden="1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313">
        <f>参数调整!$K$33*怪物掉落配置方案!$D4752</f>
        <v>1.0397590616616999E-2</v>
      </c>
    </row>
    <row r="3727" spans="1:4" ht="16.5" hidden="1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313">
        <f>参数调整!$K$33*怪物掉落配置方案!$D4753</f>
        <v>1.1395211005369554E-2</v>
      </c>
    </row>
    <row r="3728" spans="1:4" ht="16.5" hidden="1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313">
        <f>参数调整!$K$33*怪物掉落配置方案!$D4754</f>
        <v>1.2438523931011546E-2</v>
      </c>
    </row>
    <row r="3729" spans="1:4" ht="16.5" hidden="1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313">
        <f>参数调整!$K$33*怪物掉落配置方案!$D4755</f>
        <v>2.956053644257978E-2</v>
      </c>
    </row>
    <row r="3730" spans="1:4" ht="16.5" hidden="1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313">
        <f>参数调整!$K$33*怪物掉落配置方案!$D4756</f>
        <v>3.7412553935140029E-2</v>
      </c>
    </row>
    <row r="3731" spans="1:4" ht="16.5" hidden="1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313">
        <f>参数调整!$K$33*怪物掉落配置方案!$D4757</f>
        <v>4.6188338191530898E-2</v>
      </c>
    </row>
    <row r="3732" spans="1:4" ht="16.5" hidden="1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313">
        <f>参数调整!$K$33*怪物掉落配置方案!$D4758</f>
        <v>5.588788921175239E-2</v>
      </c>
    </row>
    <row r="3733" spans="1:4" ht="16.5" hidden="1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313">
        <f>参数调整!$K$33*怪物掉落配置方案!$D4759</f>
        <v>6.6511206995804484E-2</v>
      </c>
    </row>
    <row r="3734" spans="1:4" ht="16.5" hidden="1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313">
        <f>参数调整!$K$33*怪物掉落配置方案!$D4760</f>
        <v>7.8058291543687236E-2</v>
      </c>
    </row>
    <row r="3735" spans="1:4" ht="16.5" hidden="1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313">
        <f>参数调整!$K$33*怪物掉落配置方案!$D4761</f>
        <v>9.0529142855400535E-2</v>
      </c>
    </row>
    <row r="3736" spans="1:4" ht="16.5" hidden="1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313">
        <f>参数调整!$K$33*怪物掉落配置方案!$D4762</f>
        <v>0.10392376093094453</v>
      </c>
    </row>
    <row r="3737" spans="1:4" ht="16.5" hidden="1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313">
        <f>参数调整!$K$33*怪物掉落配置方案!$D4763</f>
        <v>0.11824214577031912</v>
      </c>
    </row>
    <row r="3738" spans="1:4" ht="16.5" hidden="1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313">
        <f>参数调整!$K$33*怪物掉落配置方案!$D4764</f>
        <v>0.14965021574056012</v>
      </c>
    </row>
    <row r="3739" spans="1:4" ht="16.5" hidden="1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313">
        <f>参数调整!$K$33*怪物掉落配置方案!$D4765</f>
        <v>0.18475335276612356</v>
      </c>
    </row>
    <row r="3740" spans="1:4" ht="16.5" hidden="1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313">
        <f>参数调整!$K$33*怪物掉落配置方案!$D4766</f>
        <v>0.22355155684700956</v>
      </c>
    </row>
    <row r="3741" spans="1:4" ht="16.5" hidden="1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313">
        <f>参数调整!$K$33*怪物掉落配置方案!$D4767</f>
        <v>0.28867711369706806</v>
      </c>
    </row>
    <row r="3742" spans="1:4" ht="16.5" hidden="1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313">
        <f>参数调整!$K$33*怪物掉落配置方案!$D4768</f>
        <v>0.41569504372377802</v>
      </c>
    </row>
    <row r="3743" spans="1:4" ht="16.5" hidden="1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313">
        <f>参数调整!$K$33*怪物掉落配置方案!$D4769</f>
        <v>0.56580714284625344</v>
      </c>
    </row>
    <row r="3744" spans="1:4" ht="16.5" hidden="1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313">
        <f>参数调整!$K$33*怪物掉落配置方案!$D4770</f>
        <v>0.63231834984205804</v>
      </c>
    </row>
    <row r="3745" spans="1:4" ht="16.5" hidden="1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313">
        <f>参数调整!$K$33*怪物掉落配置方案!$D4771</f>
        <v>0.73901341106449425</v>
      </c>
    </row>
    <row r="3746" spans="1:4" ht="16.5" hidden="1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313">
        <f>参数调整!$K$33*怪物掉落配置方案!$D4772</f>
        <v>0.85402237316140606</v>
      </c>
    </row>
    <row r="3747" spans="1:4" ht="16.5" hidden="1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313">
        <f>参数调整!$K$33*怪物掉落配置方案!$D4773</f>
        <v>0.97734523613279367</v>
      </c>
    </row>
    <row r="3748" spans="1:4" ht="16.5" hidden="1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313">
        <f>参数调整!$K$33*怪物掉落配置方案!$D4774</f>
        <v>1.108981999978657</v>
      </c>
    </row>
    <row r="3749" spans="1:4" ht="16.5" hidden="1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313">
        <f>参数调整!$K$33*怪物掉落配置方案!$D4775</f>
        <v>1.2489326646989956</v>
      </c>
    </row>
    <row r="3750" spans="1:4" ht="16.5" hidden="1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313">
        <f>参数调整!$K$33*怪物掉落配置方案!$D4776</f>
        <v>1.3971972302938098</v>
      </c>
    </row>
    <row r="3751" spans="1:4" ht="16.5" hidden="1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313">
        <f>参数调整!$K$33*怪物掉落配置方案!$D4777</f>
        <v>1.5537756967630993</v>
      </c>
    </row>
    <row r="3752" spans="1:4" ht="16.5" hidden="1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313">
        <f>参数调整!$K$33*怪物掉落配置方案!$D4778</f>
        <v>1.7186680641068641</v>
      </c>
    </row>
    <row r="3753" spans="1:4" ht="16.5" hidden="1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313">
        <f>参数调整!$K$33*怪物掉落配置方案!$D4779</f>
        <v>1.8918743323251057</v>
      </c>
    </row>
    <row r="3754" spans="1:4" ht="16.5" hidden="1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313">
        <f>参数调整!$K$33*怪物掉落配置方案!$D4780</f>
        <v>2.0733945014178223</v>
      </c>
    </row>
    <row r="3755" spans="1:4" ht="16.5" hidden="1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313">
        <f>参数调整!$K$33*怪物掉落配置方案!$D4781</f>
        <v>2.2632285713850142</v>
      </c>
    </row>
    <row r="3756" spans="1:4" ht="16.5" hidden="1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313">
        <f>参数调整!$K$33*怪物掉落配置方案!$D4782</f>
        <v>2.956053644257978E-2</v>
      </c>
    </row>
    <row r="3757" spans="1:4" ht="16.5" hidden="1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313">
        <f>参数调整!$K$33*怪物掉落配置方案!$D4783</f>
        <v>3.7412553935140029E-2</v>
      </c>
    </row>
    <row r="3758" spans="1:4" ht="16.5" hidden="1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313">
        <f>参数调整!$K$33*怪物掉落配置方案!$D4784</f>
        <v>4.6188338191530898E-2</v>
      </c>
    </row>
    <row r="3759" spans="1:4" ht="16.5" hidden="1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313">
        <f>参数调整!$K$33*怪物掉落配置方案!$D4785</f>
        <v>5.588788921175239E-2</v>
      </c>
    </row>
    <row r="3760" spans="1:4" ht="16.5" hidden="1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313">
        <f>参数调整!$K$33*怪物掉落配置方案!$D4786</f>
        <v>6.6511206995804484E-2</v>
      </c>
    </row>
    <row r="3761" spans="1:4" ht="16.5" hidden="1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313">
        <f>参数调整!$K$33*怪物掉落配置方案!$D4787</f>
        <v>7.8058291543687236E-2</v>
      </c>
    </row>
    <row r="3762" spans="1:4" ht="16.5" hidden="1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313">
        <f>参数调整!$K$33*怪物掉落配置方案!$D4788</f>
        <v>9.0529142855400535E-2</v>
      </c>
    </row>
    <row r="3763" spans="1:4" ht="16.5" hidden="1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313">
        <f>参数调整!$K$33*怪物掉落配置方案!$D4789</f>
        <v>0.10392376093094453</v>
      </c>
    </row>
    <row r="3764" spans="1:4" ht="16.5" hidden="1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313">
        <f>参数调整!$K$33*怪物掉落配置方案!$D4790</f>
        <v>0.11824214577031912</v>
      </c>
    </row>
    <row r="3765" spans="1:4" ht="16.5" hidden="1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313">
        <f>参数调整!$K$33*怪物掉落配置方案!$D4791</f>
        <v>0.14965021574056012</v>
      </c>
    </row>
    <row r="3766" spans="1:4" ht="16.5" hidden="1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313">
        <f>参数调整!$K$33*怪物掉落配置方案!$D4792</f>
        <v>0.18475335276612356</v>
      </c>
    </row>
    <row r="3767" spans="1:4" ht="16.5" hidden="1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313">
        <f>参数调整!$K$33*怪物掉落配置方案!$D4793</f>
        <v>0.22355155684700956</v>
      </c>
    </row>
    <row r="3768" spans="1:4" ht="16.5" hidden="1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313">
        <f>参数调整!$K$33*怪物掉落配置方案!$D4794</f>
        <v>0.28867711369706806</v>
      </c>
    </row>
    <row r="3769" spans="1:4" ht="16.5" hidden="1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313">
        <f>参数调整!$K$33*怪物掉落配置方案!$D4795</f>
        <v>0.41569504372377802</v>
      </c>
    </row>
    <row r="3770" spans="1:4" ht="16.5" hidden="1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313">
        <f>参数调整!$K$33*怪物掉落配置方案!$D4796</f>
        <v>0.56580714284625344</v>
      </c>
    </row>
    <row r="3771" spans="1:4" ht="16.5" hidden="1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313">
        <f>参数调整!$K$33*怪物掉落配置方案!$D4797</f>
        <v>0.63231834984205804</v>
      </c>
    </row>
    <row r="3772" spans="1:4" ht="16.5" hidden="1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313">
        <f>参数调整!$K$33*怪物掉落配置方案!$D4798</f>
        <v>0.73901341106449425</v>
      </c>
    </row>
    <row r="3773" spans="1:4" ht="16.5" hidden="1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313">
        <f>参数调整!$K$33*怪物掉落配置方案!$D4799</f>
        <v>0.85402237316140606</v>
      </c>
    </row>
    <row r="3774" spans="1:4" ht="16.5" hidden="1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313">
        <f>参数调整!$K$33*怪物掉落配置方案!$D4800</f>
        <v>0.97734523613279367</v>
      </c>
    </row>
    <row r="3775" spans="1:4" ht="16.5" hidden="1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313">
        <f>参数调整!$K$33*怪物掉落配置方案!$D4801</f>
        <v>1.108981999978657</v>
      </c>
    </row>
    <row r="3776" spans="1:4" ht="16.5" hidden="1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313">
        <f>参数调整!$K$33*怪物掉落配置方案!$D4802</f>
        <v>1.2489326646989956</v>
      </c>
    </row>
    <row r="3777" spans="1:4" ht="16.5" hidden="1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313">
        <f>参数调整!$K$33*怪物掉落配置方案!$D4803</f>
        <v>1.3971972302938098</v>
      </c>
    </row>
    <row r="3778" spans="1:4" ht="16.5" hidden="1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313">
        <f>参数调整!$K$33*怪物掉落配置方案!$D4804</f>
        <v>1.5537756967630993</v>
      </c>
    </row>
    <row r="3779" spans="1:4" ht="16.5" hidden="1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313">
        <f>参数调整!$K$33*怪物掉落配置方案!$D4805</f>
        <v>1.7186680641068641</v>
      </c>
    </row>
    <row r="3780" spans="1:4" ht="16.5" hidden="1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313">
        <f>参数调整!$K$33*怪物掉落配置方案!$D4806</f>
        <v>1.8918743323251057</v>
      </c>
    </row>
    <row r="3781" spans="1:4" ht="16.5" hidden="1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313">
        <f>参数调整!$K$33*怪物掉落配置方案!$D4807</f>
        <v>2.0733945014178223</v>
      </c>
    </row>
    <row r="3782" spans="1:4" ht="16.5" hidden="1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313">
        <f>参数调整!$K$33*怪物掉落配置方案!$D4808</f>
        <v>2.2632285713850142</v>
      </c>
    </row>
    <row r="3783" spans="1:4" ht="16.5" hidden="1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313">
        <f>参数调整!$K$33*怪物掉落配置方案!$D4809</f>
        <v>0.75775553459693534</v>
      </c>
    </row>
    <row r="3784" spans="1:4" ht="16.5" hidden="1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313">
        <f>参数调整!$K$33*怪物掉落配置方案!$D4810</f>
        <v>0.9590343484742464</v>
      </c>
    </row>
    <row r="3785" spans="1:4" ht="16.5" hidden="1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313">
        <f>参数调整!$K$33*怪物掉落配置方案!$D4811</f>
        <v>1.1839930228077116</v>
      </c>
    </row>
    <row r="3786" spans="1:4" ht="16.5" hidden="1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313">
        <f>参数调整!$K$33*怪物掉落配置方案!$D4812</f>
        <v>1.432631557597331</v>
      </c>
    </row>
    <row r="3787" spans="1:4" ht="16.5" hidden="1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313">
        <f>参数调整!$K$33*怪物掉落配置方案!$D4813</f>
        <v>1.704949952843104</v>
      </c>
    </row>
    <row r="3788" spans="1:4" ht="16.5" hidden="1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313">
        <f>参数调整!$K$33*怪物掉落配置方案!$D4814</f>
        <v>2.0009482085450321</v>
      </c>
    </row>
    <row r="3789" spans="1:4" ht="16.5" hidden="1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313">
        <f>参数调整!$K$33*怪物掉落配置方案!$D4815</f>
        <v>2.320626324703114</v>
      </c>
    </row>
    <row r="3790" spans="1:4" ht="16.5" hidden="1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313">
        <f>参数调整!$K$33*怪物掉落配置方案!$D4816</f>
        <v>2.6639843013173508</v>
      </c>
    </row>
    <row r="3791" spans="1:4" ht="16.5" hidden="1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313">
        <f>参数调整!$K$33*怪物掉落配置方案!$D4817</f>
        <v>3.0310221383877418</v>
      </c>
    </row>
    <row r="3792" spans="1:4" ht="16.5" hidden="1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313">
        <f>参数调整!$K$33*怪物掉落配置方案!$D4818</f>
        <v>3.8361373938969856</v>
      </c>
    </row>
    <row r="3793" spans="1:4" ht="16.5" hidden="1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313">
        <f>参数调整!$K$33*怪物掉落配置方案!$D4819</f>
        <v>4.7359720912308454</v>
      </c>
    </row>
    <row r="3794" spans="1:4" ht="16.5" hidden="1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313">
        <f>参数调整!$K$33*怪物掉落配置方案!$D4820</f>
        <v>5.7305262303893238</v>
      </c>
    </row>
    <row r="3795" spans="1:4" ht="16.5" hidden="1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313">
        <f>参数调整!$K$33*怪物掉落配置方案!$D4821</f>
        <v>7.3999563925481961</v>
      </c>
    </row>
    <row r="3796" spans="1:4" ht="16.5" hidden="1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313">
        <f>参数调整!$K$33*怪物掉落配置方案!$D4822</f>
        <v>10.655937205269399</v>
      </c>
    </row>
    <row r="3797" spans="1:4" ht="16.5" hidden="1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313">
        <f>参数调整!$K$33*怪物掉落配置方案!$D4823</f>
        <v>14.503914529394462</v>
      </c>
    </row>
    <row r="3798" spans="1:4" ht="16.5" hidden="1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313">
        <f>参数调整!$K$33*怪物掉落配置方案!$D4824</f>
        <v>16.208864482237569</v>
      </c>
    </row>
    <row r="3799" spans="1:4" ht="16.5" hidden="1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313">
        <f>参数调整!$K$33*怪物掉落配置方案!$D4825</f>
        <v>18.943888364923382</v>
      </c>
    </row>
    <row r="3800" spans="1:4" ht="16.5" hidden="1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313">
        <f>参数调整!$K$33*怪物掉落配置方案!$D4826</f>
        <v>21.892030991714577</v>
      </c>
    </row>
    <row r="3801" spans="1:4" ht="16.5" hidden="1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313">
        <f>参数调整!$K$33*怪物掉落配置方案!$D4827</f>
        <v>25.053292362611167</v>
      </c>
    </row>
    <row r="3802" spans="1:4" ht="16.5" hidden="1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313">
        <f>参数调整!$K$33*怪物掉落配置方案!$D4828</f>
        <v>28.427672477613154</v>
      </c>
    </row>
    <row r="3803" spans="1:4" ht="16.5" hidden="1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313">
        <f>参数调整!$K$33*怪物掉落配置方案!$D4829</f>
        <v>32.015171336720513</v>
      </c>
    </row>
    <row r="3804" spans="1:4" ht="16.5" hidden="1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313">
        <f>参数调整!$K$33*怪物掉落配置方案!$D4830</f>
        <v>35.815788939933277</v>
      </c>
    </row>
    <row r="3805" spans="1:4" ht="16.5" hidden="1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313">
        <f>参数调整!$K$33*怪物掉落配置方案!$D4831</f>
        <v>39.829525287251414</v>
      </c>
    </row>
    <row r="3806" spans="1:4" ht="16.5" hidden="1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313">
        <f>参数调整!$K$33*怪物掉落配置方案!$D4832</f>
        <v>44.056380378674938</v>
      </c>
    </row>
    <row r="3807" spans="1:4" ht="16.5" hidden="1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313">
        <f>参数调整!$K$33*怪物掉落配置方案!$D4833</f>
        <v>48.496354214203862</v>
      </c>
    </row>
    <row r="3808" spans="1:4" ht="16.5" hidden="1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313">
        <f>参数调整!$K$33*怪物掉落配置方案!$D4834</f>
        <v>53.149446793838173</v>
      </c>
    </row>
    <row r="3809" spans="1:4" ht="16.5" hidden="1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313">
        <f>参数调整!$K$33*怪物掉落配置方案!$D4835</f>
        <v>58.015658117577864</v>
      </c>
    </row>
    <row r="3810" spans="1:4" ht="16.5" hidden="1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313">
        <f>参数调整!$K$33*怪物掉落配置方案!$D4836</f>
        <v>4.4677147180776158E-3</v>
      </c>
    </row>
    <row r="3811" spans="1:4" ht="16.5" hidden="1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313">
        <f>参数调整!$K$33*怪物掉落配置方案!$D4837</f>
        <v>5.6544514400669842E-3</v>
      </c>
    </row>
    <row r="3812" spans="1:4" ht="16.5" hidden="1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313">
        <f>参数调整!$K$33*怪物掉落配置方案!$D4838</f>
        <v>6.9808042469962743E-3</v>
      </c>
    </row>
    <row r="3813" spans="1:4" ht="16.5" hidden="1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313">
        <f>参数调整!$K$33*怪物掉落配置方案!$D4839</f>
        <v>8.4467731388654932E-3</v>
      </c>
    </row>
    <row r="3814" spans="1:4" ht="16.5" hidden="1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313">
        <f>参数调整!$K$33*怪物掉落配置方案!$D4840</f>
        <v>1.0052358115674632E-2</v>
      </c>
    </row>
    <row r="3815" spans="1:4" ht="16.5" hidden="1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313">
        <f>参数调整!$K$33*怪物掉落配置方案!$D4841</f>
        <v>1.1797559177423705E-2</v>
      </c>
    </row>
    <row r="3816" spans="1:4" ht="16.5" hidden="1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313">
        <f>参数调整!$K$33*怪物掉落配置方案!$D4842</f>
        <v>1.3682376324112696E-2</v>
      </c>
    </row>
    <row r="3817" spans="1:4" ht="16.5" hidden="1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313">
        <f>参数调整!$K$33*怪物掉落配置方案!$D4843</f>
        <v>1.5706809555741618E-2</v>
      </c>
    </row>
    <row r="3818" spans="1:4" ht="16.5" hidden="1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313">
        <f>参数调整!$K$33*怪物掉落配置方案!$D4844</f>
        <v>1.7870858872310463E-2</v>
      </c>
    </row>
    <row r="3819" spans="1:4" ht="16.5" hidden="1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313">
        <f>参数调整!$K$33*怪物掉落配置方案!$D4845</f>
        <v>2.261780576026793E-2</v>
      </c>
    </row>
    <row r="3820" spans="1:4" ht="16.5" hidden="1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313">
        <f>参数调整!$K$33*怪物掉落配置方案!$D4846</f>
        <v>2.7923216987985094E-2</v>
      </c>
    </row>
    <row r="3821" spans="1:4" ht="16.5" hidden="1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313">
        <f>参数调整!$K$33*怪物掉落配置方案!$D4847</f>
        <v>3.3787092555461966E-2</v>
      </c>
    </row>
    <row r="3822" spans="1:4" ht="16.5" hidden="1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313">
        <f>参数调整!$K$33*怪物掉落配置方案!$D4848</f>
        <v>4.3630026543726712E-2</v>
      </c>
    </row>
    <row r="3823" spans="1:4" ht="16.5" hidden="1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313">
        <f>参数调整!$K$33*怪物掉落配置方案!$D4849</f>
        <v>6.2827238222966458E-2</v>
      </c>
    </row>
    <row r="3824" spans="1:4" ht="16.5" hidden="1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313">
        <f>参数调整!$K$33*怪物掉落配置方案!$D4850</f>
        <v>8.5514852025704344E-2</v>
      </c>
    </row>
    <row r="3825" spans="1:4" ht="16.5" hidden="1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313">
        <f>参数调整!$K$33*怪物掉落配置方案!$D4851</f>
        <v>9.5567210141379005E-2</v>
      </c>
    </row>
    <row r="3826" spans="1:4" ht="16.5" hidden="1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313">
        <f>参数调整!$K$33*怪物掉落配置方案!$D4852</f>
        <v>0.11169286795194037</v>
      </c>
    </row>
    <row r="3827" spans="1:4" ht="16.5" hidden="1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313">
        <f>参数调整!$K$33*怪物掉落配置方案!$D4853</f>
        <v>0.1290750705269611</v>
      </c>
    </row>
    <row r="3828" spans="1:4" ht="16.5" hidden="1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313">
        <f>参数调整!$K$33*怪物掉落配置方案!$D4854</f>
        <v>0.14771381786644117</v>
      </c>
    </row>
    <row r="3829" spans="1:4" ht="16.5" hidden="1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313">
        <f>参数调整!$K$33*怪物掉落配置方案!$D4855</f>
        <v>0.16760910997038059</v>
      </c>
    </row>
    <row r="3830" spans="1:4" ht="16.5" hidden="1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313">
        <f>参数调整!$K$33*怪物掉落配置方案!$D4856</f>
        <v>0.18876094683877925</v>
      </c>
    </row>
    <row r="3831" spans="1:4" ht="16.5" hidden="1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313">
        <f>参数调整!$K$33*怪物掉落配置方案!$D4857</f>
        <v>0.21116932847163727</v>
      </c>
    </row>
    <row r="3832" spans="1:4" ht="16.5" hidden="1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313">
        <f>参数调整!$K$33*怪物掉落配置方案!$D4858</f>
        <v>0.23483425486895462</v>
      </c>
    </row>
    <row r="3833" spans="1:4" ht="16.5" hidden="1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313">
        <f>参数调整!$K$33*怪物掉落配置方案!$D4859</f>
        <v>0.25975572603073127</v>
      </c>
    </row>
    <row r="3834" spans="1:4" ht="16.5" hidden="1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313">
        <f>参数调整!$K$33*怪物掉落配置方案!$D4860</f>
        <v>0.28593374195696741</v>
      </c>
    </row>
    <row r="3835" spans="1:4" ht="16.5" hidden="1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313">
        <f>参数调整!$K$33*怪物掉落配置方案!$D4861</f>
        <v>0.31336830264766274</v>
      </c>
    </row>
    <row r="3836" spans="1:4" ht="16.5" hidden="1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313">
        <f>参数调整!$K$33*怪物掉落配置方案!$D4862</f>
        <v>0.34205940810281743</v>
      </c>
    </row>
    <row r="3837" spans="1:4" ht="16.5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313">
        <f>参数调整!$K$33*怪物掉落配置方案!$D4863</f>
        <v>83350</v>
      </c>
    </row>
    <row r="3838" spans="1:4" ht="16.5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313">
        <f>参数调整!$K$33*怪物掉落配置方案!$D4864</f>
        <v>133100</v>
      </c>
    </row>
    <row r="3839" spans="1:4" ht="16.5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313">
        <f>参数调整!$K$33*怪物掉落配置方案!$D4865</f>
        <v>216650</v>
      </c>
    </row>
    <row r="3840" spans="1:4" ht="16.5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313">
        <f>参数调整!$K$33*怪物掉落配置方案!$D4866</f>
        <v>270850</v>
      </c>
    </row>
    <row r="3841" spans="1:4" ht="16.5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313">
        <f>参数调整!$K$33*怪物掉落配置方案!$D4867</f>
        <v>272200</v>
      </c>
    </row>
    <row r="3842" spans="1:4" ht="16.5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313">
        <f>参数调整!$K$33*怪物掉落配置方案!$D4868</f>
        <v>278700</v>
      </c>
    </row>
    <row r="3843" spans="1:4" ht="16.5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313">
        <f>参数调整!$K$33*怪物掉落配置方案!$D4869</f>
        <v>314550</v>
      </c>
    </row>
    <row r="3844" spans="1:4" ht="16.5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313">
        <f>参数调整!$K$33*怪物掉落配置方案!$D4870</f>
        <v>504050</v>
      </c>
    </row>
    <row r="3845" spans="1:4" ht="16.5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313">
        <f>参数调整!$K$33*怪物掉落配置方案!$D4871</f>
        <v>866750</v>
      </c>
    </row>
    <row r="3846" spans="1:4" ht="16.5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313">
        <f>参数调整!$K$33*怪物掉落配置方案!$D4872</f>
        <v>1019850</v>
      </c>
    </row>
    <row r="3847" spans="1:4" ht="16.5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313">
        <f>参数调整!$K$33*怪物掉落配置方案!$D4873</f>
        <v>1575000</v>
      </c>
    </row>
    <row r="3848" spans="1:4" ht="16.5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313">
        <f>参数调整!$K$33*怪物掉落配置方案!$D4874</f>
        <v>1627800</v>
      </c>
    </row>
    <row r="3849" spans="1:4" ht="16.5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313">
        <f>参数调整!$K$33*怪物掉落配置方案!$D4875</f>
        <v>6490700</v>
      </c>
    </row>
    <row r="3850" spans="1:4" ht="16.5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313">
        <f>参数调整!$K$33*怪物掉落配置方案!$D4876</f>
        <v>22220850</v>
      </c>
    </row>
    <row r="3851" spans="1:4" ht="16.5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313">
        <f>参数调整!$K$33*怪物掉落配置方案!$D4877</f>
        <v>268419450</v>
      </c>
    </row>
    <row r="3852" spans="1:4" ht="16.5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313">
        <f>参数调整!$K$33*怪物掉落配置方案!$D4878</f>
        <v>244073350</v>
      </c>
    </row>
    <row r="3853" spans="1:4" ht="16.5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313">
        <f>参数调整!$K$33*怪物掉落配置方案!$D4879</f>
        <v>291666650</v>
      </c>
    </row>
    <row r="3854" spans="1:4" ht="16.5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313">
        <f>参数调整!$K$33*怪物掉落配置方案!$D4880</f>
        <v>58333350</v>
      </c>
    </row>
    <row r="3855" spans="1:4" ht="16.5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313">
        <f>参数调整!$K$33*怪物掉落配置方案!$D4881</f>
        <v>58333350</v>
      </c>
    </row>
    <row r="3856" spans="1:4" ht="16.5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313">
        <f>参数调整!$K$33*怪物掉落配置方案!$D4882</f>
        <v>58333350</v>
      </c>
    </row>
    <row r="3857" spans="1:4" ht="16.5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313">
        <f>参数调整!$K$33*怪物掉落配置方案!$D4883</f>
        <v>58333350</v>
      </c>
    </row>
    <row r="3858" spans="1:4" ht="16.5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313">
        <f>参数调整!$K$33*怪物掉落配置方案!$D4884</f>
        <v>58333350</v>
      </c>
    </row>
    <row r="3859" spans="1:4" ht="16.5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313">
        <f>参数调整!$K$33*怪物掉落配置方案!$D4885</f>
        <v>29166650</v>
      </c>
    </row>
    <row r="3860" spans="1:4" ht="16.5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313">
        <f>参数调整!$K$33*怪物掉落配置方案!$D4886</f>
        <v>29166650</v>
      </c>
    </row>
    <row r="3861" spans="1:4" ht="16.5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313">
        <f>参数调整!$K$33*怪物掉落配置方案!$D4887</f>
        <v>29166650</v>
      </c>
    </row>
    <row r="3862" spans="1:4" ht="16.5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313">
        <f>参数调整!$K$33*怪物掉落配置方案!$D4888</f>
        <v>29166650</v>
      </c>
    </row>
    <row r="3863" spans="1:4" ht="16.5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313">
        <f>参数调整!$K$33*怪物掉落配置方案!$D4889</f>
        <v>29166650</v>
      </c>
    </row>
    <row r="3864" spans="1:4" ht="16.5" hidden="1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313">
        <f>参数调整!$K$33*怪物掉落配置方案!$D4890</f>
        <v>2.5942556279562538E-2</v>
      </c>
    </row>
    <row r="3865" spans="1:4" ht="16.5" hidden="1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313">
        <f>参数调整!$K$33*怪物掉落配置方案!$D4891</f>
        <v>3.2833547791321346E-2</v>
      </c>
    </row>
    <row r="3866" spans="1:4" ht="16.5" hidden="1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313">
        <f>参数调整!$K$33*怪物掉落配置方案!$D4892</f>
        <v>4.0535244186816463E-2</v>
      </c>
    </row>
    <row r="3867" spans="1:4" ht="16.5" hidden="1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313">
        <f>参数调整!$K$33*怪物掉落配置方案!$D4893</f>
        <v>4.904764546604793E-2</v>
      </c>
    </row>
    <row r="3868" spans="1:4" ht="16.5" hidden="1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313">
        <f>参数调整!$K$33*怪物掉落配置方案!$D4894</f>
        <v>5.8370751629015706E-2</v>
      </c>
    </row>
    <row r="3869" spans="1:4" ht="16.5" hidden="1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313">
        <f>参数调整!$K$33*怪物掉落配置方案!$D4895</f>
        <v>6.8504562675719846E-2</v>
      </c>
    </row>
    <row r="3870" spans="1:4" ht="16.5" hidden="1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313">
        <f>参数调整!$K$33*怪物掉落配置方案!$D4896</f>
        <v>7.9449078606160267E-2</v>
      </c>
    </row>
    <row r="3871" spans="1:4" ht="16.5" hidden="1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313">
        <f>参数调整!$K$33*怪物掉落配置方案!$D4897</f>
        <v>9.1204299420337046E-2</v>
      </c>
    </row>
    <row r="3872" spans="1:4" ht="16.5" hidden="1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313">
        <f>参数调整!$K$33*怪物掉落配置方案!$D4898</f>
        <v>0.10377022511825018</v>
      </c>
    </row>
    <row r="3873" spans="1:4" ht="16.5" hidden="1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313">
        <f>参数调整!$K$33*怪物掉落配置方案!$D4899</f>
        <v>0.13133419116528536</v>
      </c>
    </row>
    <row r="3874" spans="1:4" ht="16.5" hidden="1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313">
        <f>参数调整!$K$33*怪物掉落配置方案!$D4900</f>
        <v>0.16214097674726585</v>
      </c>
    </row>
    <row r="3875" spans="1:4" ht="16.5" hidden="1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313">
        <f>参数调整!$K$33*怪物掉落配置方案!$D4901</f>
        <v>0.19619058186419172</v>
      </c>
    </row>
    <row r="3876" spans="1:4" ht="16.5" hidden="1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313">
        <f>参数调整!$K$33*怪物掉落配置方案!$D4902</f>
        <v>0.25334527616760294</v>
      </c>
    </row>
    <row r="3877" spans="1:4" ht="16.5" hidden="1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313">
        <f>参数调整!$K$33*怪物掉落配置方案!$D4903</f>
        <v>0.36481719768134813</v>
      </c>
    </row>
    <row r="3878" spans="1:4" ht="16.5" hidden="1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313">
        <f>参数调整!$K$33*怪物掉落配置方案!$D4904</f>
        <v>0.49655674128850169</v>
      </c>
    </row>
    <row r="3879" spans="1:4" ht="16.5" hidden="1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313">
        <f>参数调整!$K$33*怪物掉落配置方案!$D4905</f>
        <v>0.55492749291751753</v>
      </c>
    </row>
    <row r="3880" spans="1:4" ht="16.5" hidden="1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313">
        <f>参数调整!$K$33*怪物掉落配置方案!$D4906</f>
        <v>0.64856390698906341</v>
      </c>
    </row>
    <row r="3881" spans="1:4" ht="16.5" hidden="1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313">
        <f>参数调整!$K$33*怪物掉落配置方案!$D4907</f>
        <v>0.7494966650142364</v>
      </c>
    </row>
    <row r="3882" spans="1:4" ht="16.5" hidden="1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313">
        <f>参数调整!$K$33*怪物掉落配置方案!$D4908</f>
        <v>0.85772576699303638</v>
      </c>
    </row>
    <row r="3883" spans="1:4" ht="16.5" hidden="1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313">
        <f>参数调整!$K$33*怪物掉落配置方案!$D4909</f>
        <v>0.97325121292546368</v>
      </c>
    </row>
    <row r="3884" spans="1:4" ht="16.5" hidden="1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313">
        <f>参数调整!$K$33*怪物掉落配置方案!$D4910</f>
        <v>1.0960730028115171</v>
      </c>
    </row>
    <row r="3885" spans="1:4" ht="16.5" hidden="1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313">
        <f>参数调整!$K$33*怪物掉落配置方案!$D4911</f>
        <v>1.2261911366511982</v>
      </c>
    </row>
    <row r="3886" spans="1:4" ht="16.5" hidden="1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313">
        <f>参数调整!$K$33*怪物掉落配置方案!$D4912</f>
        <v>1.3636056144445059</v>
      </c>
    </row>
    <row r="3887" spans="1:4" ht="16.5" hidden="1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313">
        <f>参数调整!$K$33*怪物掉落配置方案!$D4913</f>
        <v>1.5083164361914405</v>
      </c>
    </row>
    <row r="3888" spans="1:4" ht="16.5" hidden="1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313">
        <f>参数调整!$K$33*怪物掉落配置方案!$D4914</f>
        <v>1.6603236018920025</v>
      </c>
    </row>
    <row r="3889" spans="1:4" ht="16.5" hidden="1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313">
        <f>参数调整!$K$33*怪物掉落配置方案!$D4915</f>
        <v>1.8196271115461911</v>
      </c>
    </row>
    <row r="3890" spans="1:4" ht="16.5" hidden="1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313">
        <f>参数调整!$K$33*怪物掉落配置方案!$D4916</f>
        <v>1.986226965154007</v>
      </c>
    </row>
    <row r="3891" spans="1:4" ht="16.5" hidden="1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313">
        <f>参数调整!$K$33*怪物掉落配置方案!$D4917</f>
        <v>0</v>
      </c>
    </row>
    <row r="3892" spans="1:4" ht="16.5" hidden="1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313">
        <f>参数调整!$K$33*怪物掉落配置方案!$D4918</f>
        <v>0</v>
      </c>
    </row>
    <row r="3893" spans="1:4" ht="16.5" hidden="1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313">
        <f>参数调整!$K$33*怪物掉落配置方案!$D4919</f>
        <v>0</v>
      </c>
    </row>
    <row r="3894" spans="1:4" ht="16.5" hidden="1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313">
        <f>参数调整!$K$33*怪物掉落配置方案!$D4920</f>
        <v>0</v>
      </c>
    </row>
    <row r="3895" spans="1:4" ht="16.5" hidden="1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313">
        <f>参数调整!$K$33*怪物掉落配置方案!$D4921</f>
        <v>0</v>
      </c>
    </row>
    <row r="3896" spans="1:4" ht="16.5" hidden="1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313">
        <f>参数调整!$K$33*怪物掉落配置方案!$D4922</f>
        <v>0</v>
      </c>
    </row>
    <row r="3897" spans="1:4" ht="16.5" hidden="1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313">
        <f>参数调整!$K$33*怪物掉落配置方案!$D4923</f>
        <v>0</v>
      </c>
    </row>
    <row r="3898" spans="1:4" ht="16.5" hidden="1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313">
        <f>参数调整!$K$33*怪物掉落配置方案!$D4924</f>
        <v>0</v>
      </c>
    </row>
    <row r="3899" spans="1:4" ht="16.5" hidden="1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313">
        <f>参数调整!$K$33*怪物掉落配置方案!$D4925</f>
        <v>0</v>
      </c>
    </row>
    <row r="3900" spans="1:4" ht="16.5" hidden="1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313">
        <f>参数调整!$K$33*怪物掉落配置方案!$D4926</f>
        <v>0</v>
      </c>
    </row>
    <row r="3901" spans="1:4" ht="16.5" hidden="1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313">
        <f>参数调整!$K$33*怪物掉落配置方案!$D4927</f>
        <v>0</v>
      </c>
    </row>
    <row r="3902" spans="1:4" ht="16.5" hidden="1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313">
        <f>参数调整!$K$33*怪物掉落配置方案!$D4928</f>
        <v>0</v>
      </c>
    </row>
    <row r="3903" spans="1:4" ht="16.5" hidden="1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313">
        <f>参数调整!$K$33*怪物掉落配置方案!$D4929</f>
        <v>0</v>
      </c>
    </row>
    <row r="3904" spans="1:4" ht="16.5" hidden="1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313">
        <f>参数调整!$K$33*怪物掉落配置方案!$D4930</f>
        <v>0</v>
      </c>
    </row>
    <row r="3905" spans="1:4" ht="16.5" hidden="1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313">
        <f>参数调整!$K$33*怪物掉落配置方案!$D4931</f>
        <v>0</v>
      </c>
    </row>
    <row r="3906" spans="1:4" ht="16.5" hidden="1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313">
        <f>参数调整!$K$33*怪物掉落配置方案!$D4932</f>
        <v>0</v>
      </c>
    </row>
    <row r="3907" spans="1:4" ht="16.5" hidden="1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313">
        <f>参数调整!$K$33*怪物掉落配置方案!$D4933</f>
        <v>0</v>
      </c>
    </row>
    <row r="3908" spans="1:4" ht="16.5" hidden="1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313">
        <f>参数调整!$K$33*怪物掉落配置方案!$D4934</f>
        <v>0</v>
      </c>
    </row>
    <row r="3909" spans="1:4" ht="16.5" hidden="1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313">
        <f>参数调整!$K$33*怪物掉落配置方案!$D4935</f>
        <v>0</v>
      </c>
    </row>
    <row r="3910" spans="1:4" ht="16.5" hidden="1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313">
        <f>参数调整!$K$33*怪物掉落配置方案!$D4936</f>
        <v>0</v>
      </c>
    </row>
    <row r="3911" spans="1:4" ht="16.5" hidden="1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313">
        <f>参数调整!$K$33*怪物掉落配置方案!$D4937</f>
        <v>0</v>
      </c>
    </row>
    <row r="3912" spans="1:4" ht="16.5" hidden="1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313">
        <f>参数调整!$K$33*怪物掉落配置方案!$D4938</f>
        <v>0</v>
      </c>
    </row>
    <row r="3913" spans="1:4" ht="16.5" hidden="1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313">
        <f>参数调整!$K$33*怪物掉落配置方案!$D4939</f>
        <v>0</v>
      </c>
    </row>
    <row r="3914" spans="1:4" ht="16.5" hidden="1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313">
        <f>参数调整!$K$33*怪物掉落配置方案!$D4940</f>
        <v>0</v>
      </c>
    </row>
    <row r="3915" spans="1:4" ht="16.5" hidden="1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313">
        <f>参数调整!$K$33*怪物掉落配置方案!$D4941</f>
        <v>0</v>
      </c>
    </row>
    <row r="3916" spans="1:4" ht="16.5" hidden="1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313">
        <f>参数调整!$K$33*怪物掉落配置方案!$D4942</f>
        <v>0</v>
      </c>
    </row>
    <row r="3917" spans="1:4" ht="16.5" hidden="1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313">
        <f>参数调整!$K$33*怪物掉落配置方案!$D4943</f>
        <v>0</v>
      </c>
    </row>
    <row r="3918" spans="1:4" ht="16.5" hidden="1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313">
        <f>参数调整!$K$33*怪物掉落配置方案!$D4944</f>
        <v>1.2308146987200357E-2</v>
      </c>
    </row>
    <row r="3919" spans="1:4" ht="16.5" hidden="1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313">
        <f>参数调整!$K$33*怪物掉落配置方案!$D4945</f>
        <v>1.5577498530675455E-2</v>
      </c>
    </row>
    <row r="3920" spans="1:4" ht="16.5" hidden="1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313">
        <f>参数调整!$K$33*怪物掉落配置方案!$D4946</f>
        <v>1.9231479667500554E-2</v>
      </c>
    </row>
    <row r="3921" spans="1:4" ht="16.5" hidden="1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313">
        <f>参数调整!$K$33*怪物掉落配置方案!$D4947</f>
        <v>2.3270090397675674E-2</v>
      </c>
    </row>
    <row r="3922" spans="1:4" ht="16.5" hidden="1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313">
        <f>参数调整!$K$33*怪物掉落配置方案!$D4948</f>
        <v>2.7693330721200799E-2</v>
      </c>
    </row>
    <row r="3923" spans="1:4" ht="16.5" hidden="1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313">
        <f>参数调整!$K$33*怪物掉落配置方案!$D4949</f>
        <v>3.250120063807594E-2</v>
      </c>
    </row>
    <row r="3924" spans="1:4" ht="16.5" hidden="1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313">
        <f>参数调整!$K$33*怪物掉落配置方案!$D4950</f>
        <v>3.7693700148301083E-2</v>
      </c>
    </row>
    <row r="3925" spans="1:4" ht="16.5" hidden="1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313">
        <f>参数调整!$K$33*怪物掉落配置方案!$D4951</f>
        <v>4.3270829251876246E-2</v>
      </c>
    </row>
    <row r="3926" spans="1:4" ht="16.5" hidden="1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313">
        <f>参数调整!$K$33*怪物掉落配置方案!$D4952</f>
        <v>4.9232587948801435E-2</v>
      </c>
    </row>
    <row r="3927" spans="1:4" ht="16.5" hidden="1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313">
        <f>参数调整!$K$33*怪物掉落配置方案!$D4953</f>
        <v>6.2309994122701801E-2</v>
      </c>
    </row>
    <row r="3928" spans="1:4" ht="16.5" hidden="1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313">
        <f>参数调整!$K$33*怪物掉落配置方案!$D4954</f>
        <v>7.6925918670002216E-2</v>
      </c>
    </row>
    <row r="3929" spans="1:4" ht="16.5" hidden="1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313">
        <f>参数调整!$K$33*怪物掉落配置方案!$D4955</f>
        <v>9.3080361590702695E-2</v>
      </c>
    </row>
    <row r="3930" spans="1:4" ht="16.5" hidden="1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313">
        <f>参数调整!$K$33*怪物掉落配置方案!$D4956</f>
        <v>0.12019674792187847</v>
      </c>
    </row>
    <row r="3931" spans="1:4" ht="16.5" hidden="1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313">
        <f>参数调整!$K$33*怪物掉落配置方案!$D4957</f>
        <v>0.17308331700750498</v>
      </c>
    </row>
    <row r="3932" spans="1:4" ht="16.5" hidden="1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313">
        <f>参数调整!$K$33*怪物掉落配置方案!$D4958</f>
        <v>0.23558562592688176</v>
      </c>
    </row>
    <row r="3933" spans="1:4" ht="16.5" hidden="1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313">
        <f>参数调整!$K$33*怪物掉落配置方案!$D4959</f>
        <v>0.2632789566480826</v>
      </c>
    </row>
    <row r="3934" spans="1:4" ht="16.5" hidden="1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313">
        <f>参数调整!$K$33*怪物掉落配置方案!$D4960</f>
        <v>0.30770367468000887</v>
      </c>
    </row>
    <row r="3935" spans="1:4" ht="16.5" hidden="1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313">
        <f>参数调整!$K$33*怪物掉落配置方案!$D4961</f>
        <v>0.35559005905208524</v>
      </c>
    </row>
    <row r="3936" spans="1:4" ht="16.5" hidden="1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313">
        <f>参数调整!$K$33*怪物掉落配置方案!$D4962</f>
        <v>0.40693810976431172</v>
      </c>
    </row>
    <row r="3937" spans="1:4" ht="16.5" hidden="1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313">
        <f>参数调整!$K$33*怪物掉落配置方案!$D4963</f>
        <v>0.46174782681668841</v>
      </c>
    </row>
    <row r="3938" spans="1:4" ht="16.5" hidden="1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313">
        <f>参数调整!$K$33*怪物掉落配置方案!$D4964</f>
        <v>0.52001921020921504</v>
      </c>
    </row>
    <row r="3939" spans="1:4" ht="16.5" hidden="1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313">
        <f>参数调整!$K$33*怪物掉落配置方案!$D4965</f>
        <v>0.58175225994189184</v>
      </c>
    </row>
    <row r="3940" spans="1:4" ht="16.5" hidden="1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313">
        <f>参数调整!$K$33*怪物掉落配置方案!$D4966</f>
        <v>0.64694697601471862</v>
      </c>
    </row>
    <row r="3941" spans="1:4" ht="16.5" hidden="1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313">
        <f>参数调整!$K$33*怪物掉落配置方案!$D4967</f>
        <v>0.71560335842769551</v>
      </c>
    </row>
    <row r="3942" spans="1:4" ht="16.5" hidden="1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313">
        <f>参数调整!$K$33*怪物掉落配置方案!$D4968</f>
        <v>0.78772140718082284</v>
      </c>
    </row>
    <row r="3943" spans="1:4" ht="16.5" hidden="1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313">
        <f>参数调整!$K$33*怪物掉落配置方案!$D4969</f>
        <v>0.86330112227410005</v>
      </c>
    </row>
    <row r="3944" spans="1:4" ht="16.5" hidden="1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313">
        <f>参数调整!$K$33*怪物掉落配置方案!$D4970</f>
        <v>0.94234250370752726</v>
      </c>
    </row>
    <row r="3945" spans="1:4" ht="16.5" hidden="1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313">
        <f>参数调整!$K$33*怪物掉落配置方案!$D4971</f>
        <v>0.32500735241919942</v>
      </c>
    </row>
    <row r="3946" spans="1:4" ht="16.5" hidden="1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313">
        <f>参数调整!$K$33*怪物掉落配置方案!$D4972</f>
        <v>0.41133743040554938</v>
      </c>
    </row>
    <row r="3947" spans="1:4" ht="16.5" hidden="1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313">
        <f>参数调整!$K$33*怪物掉落配置方案!$D4973</f>
        <v>0.50782398815499918</v>
      </c>
    </row>
    <row r="3948" spans="1:4" ht="16.5" hidden="1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313">
        <f>参数调整!$K$33*怪物掉落配置方案!$D4974</f>
        <v>0.61446702566754907</v>
      </c>
    </row>
    <row r="3949" spans="1:4" ht="16.5" hidden="1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313">
        <f>参数调整!$K$33*怪物掉落配置方案!$D4975</f>
        <v>0.73126654294319859</v>
      </c>
    </row>
    <row r="3950" spans="1:4" ht="16.5" hidden="1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313">
        <f>参数调整!$K$33*怪物掉落配置方案!$D4976</f>
        <v>0.85822253998194875</v>
      </c>
    </row>
    <row r="3951" spans="1:4" ht="16.5" hidden="1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313">
        <f>参数调整!$K$33*怪物掉落配置方案!$D4977</f>
        <v>0.99533501678379832</v>
      </c>
    </row>
    <row r="3952" spans="1:4" ht="16.5" hidden="1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313">
        <f>参数调整!$K$33*怪物掉落配置方案!$D4978</f>
        <v>1.1426039733487481</v>
      </c>
    </row>
    <row r="3953" spans="1:4" ht="16.5" hidden="1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313">
        <f>参数调整!$K$33*怪物掉落配置方案!$D4979</f>
        <v>1.3000294096767981</v>
      </c>
    </row>
    <row r="3954" spans="1:4" ht="16.5" hidden="1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313">
        <f>参数调整!$K$33*怪物掉落配置方案!$D4980</f>
        <v>1.6453497216221975</v>
      </c>
    </row>
    <row r="3955" spans="1:4" ht="16.5" hidden="1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313">
        <f>参数调整!$K$33*怪物掉落配置方案!$D4981</f>
        <v>2.0312959526199958</v>
      </c>
    </row>
    <row r="3956" spans="1:4" ht="16.5" hidden="1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313">
        <f>参数调整!$K$33*怪物掉落配置方案!$D4982</f>
        <v>2.4578681026701963</v>
      </c>
    </row>
    <row r="3957" spans="1:4" ht="16.5" hidden="1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313">
        <f>参数调整!$K$33*怪物掉落配置方案!$D4983</f>
        <v>3.1738999259687444</v>
      </c>
    </row>
    <row r="3958" spans="1:4" ht="16.5" hidden="1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313">
        <f>参数调整!$K$33*怪物掉落配置方案!$D4984</f>
        <v>4.5704158933949914</v>
      </c>
    </row>
    <row r="3959" spans="1:4" ht="16.5" hidden="1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313">
        <f>参数调整!$K$33*怪物掉落配置方案!$D4985</f>
        <v>6.2208438548987388</v>
      </c>
    </row>
    <row r="3960" spans="1:4" ht="16.5" hidden="1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313">
        <f>参数调整!$K$33*怪物掉落配置方案!$D4986</f>
        <v>6.9521103978419392</v>
      </c>
    </row>
    <row r="3961" spans="1:4" ht="16.5" hidden="1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313">
        <f>参数调整!$K$33*怪物掉落配置方案!$D4987</f>
        <v>8.1251838104799834</v>
      </c>
    </row>
    <row r="3962" spans="1:4" ht="16.5" hidden="1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313">
        <f>参数调整!$K$33*怪物掉落配置方案!$D4988</f>
        <v>9.3896655409859324</v>
      </c>
    </row>
    <row r="3963" spans="1:4" ht="16.5" hidden="1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313">
        <f>参数调整!$K$33*怪物掉落配置方案!$D4989</f>
        <v>10.74555558935978</v>
      </c>
    </row>
    <row r="3964" spans="1:4" ht="16.5" hidden="1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313">
        <f>参数调整!$K$33*怪物掉落配置方案!$D4990</f>
        <v>12.19285395560153</v>
      </c>
    </row>
    <row r="3965" spans="1:4" ht="16.5" hidden="1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313">
        <f>参数调整!$K$33*怪物掉落配置方案!$D4991</f>
        <v>13.731560639711176</v>
      </c>
    </row>
    <row r="3966" spans="1:4" ht="16.5" hidden="1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313">
        <f>参数调整!$K$33*怪物掉落配置方案!$D4992</f>
        <v>15.361675641688723</v>
      </c>
    </row>
    <row r="3967" spans="1:4" ht="16.5" hidden="1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313">
        <f>参数调整!$K$33*怪物掉落配置方案!$D4993</f>
        <v>17.083198961534173</v>
      </c>
    </row>
    <row r="3968" spans="1:4" ht="16.5" hidden="1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313">
        <f>参数调整!$K$33*怪物掉落配置方案!$D4994</f>
        <v>18.896130599247517</v>
      </c>
    </row>
    <row r="3969" spans="1:4" ht="16.5" hidden="1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313">
        <f>参数调整!$K$33*怪物掉落配置方案!$D4995</f>
        <v>20.800470554828763</v>
      </c>
    </row>
    <row r="3970" spans="1:4" ht="16.5" hidden="1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313">
        <f>参数调整!$K$33*怪物掉落配置方案!$D4996</f>
        <v>22.796218828277908</v>
      </c>
    </row>
    <row r="3971" spans="1:4" ht="16.5" hidden="1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313">
        <f>参数调整!$K$33*怪物掉落配置方案!$D4997</f>
        <v>24.883375419594962</v>
      </c>
    </row>
    <row r="3972" spans="1:4" ht="16.5" hidden="1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313">
        <f>参数调整!$K$33*怪物掉落配置方案!$D4998</f>
        <v>1.6246235338464061E-4</v>
      </c>
    </row>
    <row r="3973" spans="1:4" ht="16.5" hidden="1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313">
        <f>参数调整!$K$33*怪物掉落配置方案!$D4999</f>
        <v>2.0561641600243575E-4</v>
      </c>
    </row>
    <row r="3974" spans="1:4" ht="16.5" hidden="1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313">
        <f>参数调整!$K$33*怪物掉落配置方案!$D5000</f>
        <v>2.5384742716350088E-4</v>
      </c>
    </row>
    <row r="3975" spans="1:4" ht="16.5" hidden="1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313">
        <f>参数调整!$K$33*怪物掉落配置方案!$D5001</f>
        <v>3.0715538686783609E-4</v>
      </c>
    </row>
    <row r="3976" spans="1:4" ht="16.5" hidden="1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313">
        <f>参数调整!$K$33*怪物掉落配置方案!$D5002</f>
        <v>3.6554029511544123E-4</v>
      </c>
    </row>
    <row r="3977" spans="1:4" ht="16.5" hidden="1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313">
        <f>参数调整!$K$33*怪物掉落配置方案!$D5003</f>
        <v>4.2900215190631662E-4</v>
      </c>
    </row>
    <row r="3978" spans="1:4" ht="16.5" hidden="1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313">
        <f>参数调整!$K$33*怪物掉落配置方案!$D5004</f>
        <v>4.9754095724046168E-4</v>
      </c>
    </row>
    <row r="3979" spans="1:4" ht="16.5" hidden="1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313">
        <f>参数调整!$K$33*怪物掉落配置方案!$D5005</f>
        <v>5.71156711117877E-4</v>
      </c>
    </row>
    <row r="3980" spans="1:4" ht="16.5" hidden="1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313">
        <f>参数调整!$K$33*怪物掉落配置方案!$D5006</f>
        <v>6.4984941353856242E-4</v>
      </c>
    </row>
    <row r="3981" spans="1:4" ht="16.5" hidden="1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313">
        <f>参数调整!$K$33*怪物掉落配置方案!$D5007</f>
        <v>8.22465664009743E-4</v>
      </c>
    </row>
    <row r="3982" spans="1:4" ht="16.5" hidden="1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313">
        <f>参数调整!$K$33*怪物掉落配置方案!$D5008</f>
        <v>1.0153897086540035E-3</v>
      </c>
    </row>
    <row r="3983" spans="1:4" ht="16.5" hidden="1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313">
        <f>参数调整!$K$33*怪物掉落配置方案!$D5009</f>
        <v>1.2286215474713444E-3</v>
      </c>
    </row>
    <row r="3984" spans="1:4" ht="16.5" hidden="1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313">
        <f>参数调整!$K$33*怪物掉落配置方案!$D5010</f>
        <v>1.5865464197718805E-3</v>
      </c>
    </row>
    <row r="3985" spans="1:4" ht="16.5" hidden="1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313">
        <f>参数调整!$K$33*怪物掉落配置方案!$D5011</f>
        <v>2.2846268444715076E-3</v>
      </c>
    </row>
    <row r="3986" spans="1:4" ht="16.5" hidden="1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313">
        <f>参数调整!$K$33*怪物掉落配置方案!$D5012</f>
        <v>3.1096309827528847E-3</v>
      </c>
    </row>
    <row r="3987" spans="1:4" ht="16.5" hidden="1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313">
        <f>参数调整!$K$33*怪物掉落配置方案!$D5013</f>
        <v>3.4751712778683277E-3</v>
      </c>
    </row>
    <row r="3988" spans="1:4" ht="16.5" hidden="1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313">
        <f>参数调整!$K$33*怪物掉落配置方案!$D5014</f>
        <v>4.0615588346160142E-3</v>
      </c>
    </row>
    <row r="3989" spans="1:4" ht="16.5" hidden="1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313">
        <f>参数调整!$K$33*怪物掉落配置方案!$D5015</f>
        <v>4.6936389282531315E-3</v>
      </c>
    </row>
    <row r="3990" spans="1:4" ht="16.5" hidden="1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313">
        <f>参数调整!$K$33*怪物掉落配置方案!$D5016</f>
        <v>5.3714115587796783E-3</v>
      </c>
    </row>
    <row r="3991" spans="1:4" ht="16.5" hidden="1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313">
        <f>参数调整!$K$33*怪物掉落配置方案!$D5017</f>
        <v>6.0948767261956582E-3</v>
      </c>
    </row>
    <row r="3992" spans="1:4" ht="16.5" hidden="1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313">
        <f>参数调整!$K$33*怪物掉落配置方案!$D5018</f>
        <v>6.8640344305010642E-3</v>
      </c>
    </row>
    <row r="3993" spans="1:4" ht="16.5" hidden="1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313">
        <f>参数调整!$K$33*怪物掉落配置方案!$D5019</f>
        <v>7.6788846716959024E-3</v>
      </c>
    </row>
    <row r="3994" spans="1:4" ht="16.5" hidden="1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313">
        <f>参数调整!$K$33*怪物掉落配置方案!$D5020</f>
        <v>8.5394274497801684E-3</v>
      </c>
    </row>
    <row r="3995" spans="1:4" ht="16.5" hidden="1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313">
        <f>参数调整!$K$33*怪物掉落配置方案!$D5021</f>
        <v>9.4456627647538649E-3</v>
      </c>
    </row>
    <row r="3996" spans="1:4" ht="16.5" hidden="1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313">
        <f>参数调整!$K$33*怪物掉落配置方案!$D5022</f>
        <v>1.0397590616616999E-2</v>
      </c>
    </row>
    <row r="3997" spans="1:4" ht="16.5" hidden="1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313">
        <f>参数调整!$K$33*怪物掉落配置方案!$D5023</f>
        <v>1.1395211005369554E-2</v>
      </c>
    </row>
    <row r="3998" spans="1:4" ht="16.5" hidden="1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313">
        <f>参数调整!$K$33*怪物掉落配置方案!$D5024</f>
        <v>1.2438523931011546E-2</v>
      </c>
    </row>
    <row r="3999" spans="1:4" ht="16.5" hidden="1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313">
        <f>参数调整!$K$33*怪物掉落配置方案!$D5025</f>
        <v>4.4677147180776158E-2</v>
      </c>
    </row>
    <row r="4000" spans="1:4" ht="16.5" hidden="1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313">
        <f>参数调整!$K$33*怪物掉落配置方案!$D5026</f>
        <v>5.6544514400669828E-2</v>
      </c>
    </row>
    <row r="4001" spans="1:4" ht="16.5" hidden="1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313">
        <f>参数调整!$K$33*怪物掉落配置方案!$D5027</f>
        <v>6.9808042469962736E-2</v>
      </c>
    </row>
    <row r="4002" spans="1:4" ht="16.5" hidden="1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313">
        <f>参数调整!$K$33*怪物掉落配置方案!$D5028</f>
        <v>8.4467731388654918E-2</v>
      </c>
    </row>
    <row r="4003" spans="1:4" ht="16.5" hidden="1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313">
        <f>参数调整!$K$33*怪物掉落配置方案!$D5029</f>
        <v>0.10052358115674634</v>
      </c>
    </row>
    <row r="4004" spans="1:4" ht="16.5" hidden="1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313">
        <f>参数调整!$K$33*怪物掉落配置方案!$D5030</f>
        <v>0.11797559177423704</v>
      </c>
    </row>
    <row r="4005" spans="1:4" ht="16.5" hidden="1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313">
        <f>参数调整!$K$33*怪物掉落配置方案!$D5031</f>
        <v>0.13682376324112694</v>
      </c>
    </row>
    <row r="4006" spans="1:4" ht="16.5" hidden="1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313">
        <f>参数调整!$K$33*怪物掉落配置方案!$D5032</f>
        <v>0.15706809555741619</v>
      </c>
    </row>
    <row r="4007" spans="1:4" ht="16.5" hidden="1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313">
        <f>参数调整!$K$33*怪物掉落配置方案!$D5033</f>
        <v>0.17870858872310463</v>
      </c>
    </row>
    <row r="4008" spans="1:4" ht="16.5" hidden="1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313">
        <f>参数调整!$K$33*怪物掉落配置方案!$D5034</f>
        <v>0.22617805760267931</v>
      </c>
    </row>
    <row r="4009" spans="1:4" ht="16.5" hidden="1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313">
        <f>参数调整!$K$33*怪物掉落配置方案!$D5035</f>
        <v>0.27923216987985094</v>
      </c>
    </row>
    <row r="4010" spans="1:4" ht="16.5" hidden="1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313">
        <f>参数调整!$K$33*怪物掉落配置方案!$D5036</f>
        <v>0.33787092555461973</v>
      </c>
    </row>
    <row r="4011" spans="1:4" ht="16.5" hidden="1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313">
        <f>参数调整!$K$33*怪物掉落配置方案!$D5037</f>
        <v>0.43630026543726719</v>
      </c>
    </row>
    <row r="4012" spans="1:4" ht="16.5" hidden="1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313">
        <f>参数调整!$K$33*怪物掉落配置方案!$D5038</f>
        <v>0.62827238222966453</v>
      </c>
    </row>
    <row r="4013" spans="1:4" ht="16.5" hidden="1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313">
        <f>参数调整!$K$33*怪物掉落配置方案!$D5039</f>
        <v>0.85514852025704358</v>
      </c>
    </row>
    <row r="4014" spans="1:4" ht="16.5" hidden="1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313">
        <f>参数调整!$K$33*怪物掉落配置方案!$D5040</f>
        <v>0.95567210141379</v>
      </c>
    </row>
    <row r="4015" spans="1:4" ht="16.5" hidden="1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313">
        <f>参数调整!$K$33*怪物掉落配置方案!$D5041</f>
        <v>1.1169286795194038</v>
      </c>
    </row>
    <row r="4016" spans="1:4" ht="16.5" hidden="1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313">
        <f>参数调整!$K$33*怪物掉落配置方案!$D5042</f>
        <v>1.2907507052696108</v>
      </c>
    </row>
    <row r="4017" spans="1:4" ht="16.5" hidden="1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313">
        <f>参数调整!$K$33*怪物掉落配置方案!$D5043</f>
        <v>1.4771381786644113</v>
      </c>
    </row>
    <row r="4018" spans="1:4" ht="16.5" hidden="1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313">
        <f>参数调整!$K$33*怪物掉落配置方案!$D5044</f>
        <v>1.6760910997038052</v>
      </c>
    </row>
    <row r="4019" spans="1:4" ht="16.5" hidden="1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313">
        <f>参数调整!$K$33*怪物掉落配置方案!$D5045</f>
        <v>1.8876094683877926</v>
      </c>
    </row>
    <row r="4020" spans="1:4" ht="16.5" hidden="1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313">
        <f>参数调整!$K$33*怪物掉落配置方案!$D5046</f>
        <v>2.111693284716373</v>
      </c>
    </row>
    <row r="4021" spans="1:4" ht="16.5" hidden="1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313">
        <f>参数调整!$K$33*怪物掉落配置方案!$D5047</f>
        <v>2.3483425486895459</v>
      </c>
    </row>
    <row r="4022" spans="1:4" ht="16.5" hidden="1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313">
        <f>参数调整!$K$33*怪物掉落配置方案!$D5048</f>
        <v>2.5975572603073132</v>
      </c>
    </row>
    <row r="4023" spans="1:4" ht="16.5" hidden="1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313">
        <f>参数调整!$K$33*怪物掉落配置方案!$D5049</f>
        <v>2.8593374195696741</v>
      </c>
    </row>
    <row r="4024" spans="1:4" ht="16.5" hidden="1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313">
        <f>参数调整!$K$33*怪物掉落配置方案!$D5050</f>
        <v>3.1336830264766276</v>
      </c>
    </row>
    <row r="4025" spans="1:4" ht="16.5" hidden="1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313">
        <f>参数调整!$K$33*怪物掉落配置方案!$D5051</f>
        <v>3.4205940810281743</v>
      </c>
    </row>
    <row r="4026" spans="1:4" ht="16.5" hidden="1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313">
        <f>参数调整!$K$33*怪物掉落配置方案!$D5052</f>
        <v>1.6246235338464058E-3</v>
      </c>
    </row>
    <row r="4027" spans="1:4" ht="16.5" hidden="1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313">
        <f>参数调整!$K$33*怪物掉落配置方案!$D5053</f>
        <v>2.0561641600243576E-3</v>
      </c>
    </row>
    <row r="4028" spans="1:4" ht="16.5" hidden="1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313">
        <f>参数调整!$K$33*怪物掉落配置方案!$D5054</f>
        <v>2.538474271635009E-3</v>
      </c>
    </row>
    <row r="4029" spans="1:4" ht="16.5" hidden="1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313">
        <f>参数调整!$K$33*怪物掉落配置方案!$D5055</f>
        <v>3.0715538686783609E-3</v>
      </c>
    </row>
    <row r="4030" spans="1:4" ht="16.5" hidden="1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313">
        <f>参数调整!$K$33*怪物掉落配置方案!$D5056</f>
        <v>3.6554029511544125E-3</v>
      </c>
    </row>
    <row r="4031" spans="1:4" ht="16.5" hidden="1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313">
        <f>参数调整!$K$33*怪物掉落配置方案!$D5057</f>
        <v>4.2900215190631646E-3</v>
      </c>
    </row>
    <row r="4032" spans="1:4" ht="16.5" hidden="1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313">
        <f>参数调整!$K$33*怪物掉落配置方案!$D5058</f>
        <v>4.9754095724046168E-3</v>
      </c>
    </row>
    <row r="4033" spans="1:4" ht="16.5" hidden="1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313">
        <f>参数调整!$K$33*怪物掉落配置方案!$D5059</f>
        <v>5.7115671111787692E-3</v>
      </c>
    </row>
    <row r="4034" spans="1:4" ht="16.5" hidden="1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313">
        <f>参数调整!$K$33*怪物掉落配置方案!$D5060</f>
        <v>6.4984941353856251E-3</v>
      </c>
    </row>
    <row r="4035" spans="1:4" ht="16.5" hidden="1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313">
        <f>参数调整!$K$33*怪物掉落配置方案!$D5061</f>
        <v>8.2246566400974285E-3</v>
      </c>
    </row>
    <row r="4036" spans="1:4" ht="16.5" hidden="1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313">
        <f>参数调整!$K$33*怪物掉落配置方案!$D5062</f>
        <v>1.0153897086540034E-2</v>
      </c>
    </row>
    <row r="4037" spans="1:4" ht="16.5" hidden="1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313">
        <f>参数调整!$K$33*怪物掉落配置方案!$D5063</f>
        <v>1.2286215474713444E-2</v>
      </c>
    </row>
    <row r="4038" spans="1:4" ht="16.5" hidden="1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313">
        <f>参数调整!$K$33*怪物掉落配置方案!$D5064</f>
        <v>1.5865464197718806E-2</v>
      </c>
    </row>
    <row r="4039" spans="1:4" ht="16.5" hidden="1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313">
        <f>参数调整!$K$33*怪物掉落配置方案!$D5065</f>
        <v>2.2846268444715073E-2</v>
      </c>
    </row>
    <row r="4040" spans="1:4" ht="16.5" hidden="1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313">
        <f>参数调整!$K$33*怪物掉落配置方案!$D5066</f>
        <v>3.1096309827528854E-2</v>
      </c>
    </row>
    <row r="4041" spans="1:4" ht="16.5" hidden="1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313">
        <f>参数调整!$K$33*怪物掉落配置方案!$D5067</f>
        <v>3.4751712778683275E-2</v>
      </c>
    </row>
    <row r="4042" spans="1:4" ht="16.5" hidden="1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313">
        <f>参数调整!$K$33*怪物掉落配置方案!$D5068</f>
        <v>4.0615588346160136E-2</v>
      </c>
    </row>
    <row r="4043" spans="1:4" ht="16.5" hidden="1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313">
        <f>参数调整!$K$33*怪物掉落配置方案!$D5069</f>
        <v>4.6936389282531299E-2</v>
      </c>
    </row>
    <row r="4044" spans="1:4" ht="16.5" hidden="1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313">
        <f>参数调整!$K$33*怪物掉落配置方案!$D5070</f>
        <v>5.3714115587796783E-2</v>
      </c>
    </row>
    <row r="4045" spans="1:4" ht="16.5" hidden="1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313">
        <f>参数调整!$K$33*怪物掉落配置方案!$D5071</f>
        <v>6.0948767261956575E-2</v>
      </c>
    </row>
    <row r="4046" spans="1:4" ht="16.5" hidden="1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313">
        <f>参数调整!$K$33*怪物掉落配置方案!$D5072</f>
        <v>6.8640344305010634E-2</v>
      </c>
    </row>
    <row r="4047" spans="1:4" ht="16.5" hidden="1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313">
        <f>参数调整!$K$33*怪物掉落配置方案!$D5073</f>
        <v>7.6788846716959028E-2</v>
      </c>
    </row>
    <row r="4048" spans="1:4" ht="16.5" hidden="1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313">
        <f>参数调整!$K$33*怪物掉落配置方案!$D5074</f>
        <v>8.5394274497801681E-2</v>
      </c>
    </row>
    <row r="4049" spans="1:4" ht="16.5" hidden="1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313">
        <f>参数调整!$K$33*怪物掉落配置方案!$D5075</f>
        <v>9.4456627647538663E-2</v>
      </c>
    </row>
    <row r="4050" spans="1:4" ht="16.5" hidden="1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313">
        <f>参数调整!$K$33*怪物掉落配置方案!$D5076</f>
        <v>0.10397590616616997</v>
      </c>
    </row>
    <row r="4051" spans="1:4" ht="16.5" hidden="1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313">
        <f>参数调整!$K$33*怪物掉落配置方案!$D5077</f>
        <v>0.11395211005369554</v>
      </c>
    </row>
    <row r="4052" spans="1:4" ht="16.5" hidden="1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313">
        <f>参数调整!$K$33*怪物掉落配置方案!$D5078</f>
        <v>0.12438523931011544</v>
      </c>
    </row>
    <row r="4053" spans="1:4" ht="16.5" hidden="1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313">
        <f>参数调整!$K$33*怪物掉落配置方案!$D5079</f>
        <v>0.22700463611960769</v>
      </c>
    </row>
    <row r="4054" spans="1:4" ht="16.5" hidden="1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313">
        <f>参数调整!$K$33*怪物掉落配置方案!$D5080</f>
        <v>0.2873027425888785</v>
      </c>
    </row>
    <row r="4055" spans="1:4" ht="16.5" hidden="1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313">
        <f>参数调整!$K$33*怪物掉落配置方案!$D5081</f>
        <v>0.35469474393688699</v>
      </c>
    </row>
    <row r="4056" spans="1:4" ht="16.5" hidden="1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313">
        <f>参数调整!$K$33*怪物掉落配置方案!$D5082</f>
        <v>0.42918064016363333</v>
      </c>
    </row>
    <row r="4057" spans="1:4" ht="16.5" hidden="1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313">
        <f>参数调整!$K$33*怪物掉落配置方案!$D5083</f>
        <v>0.51076043126911719</v>
      </c>
    </row>
    <row r="4058" spans="1:4" ht="16.5" hidden="1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313">
        <f>参数调整!$K$33*怪物掉落配置方案!$D5084</f>
        <v>0.59943411725333906</v>
      </c>
    </row>
    <row r="4059" spans="1:4" ht="16.5" hidden="1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313">
        <f>参数调整!$K$33*怪物掉落配置方案!$D5085</f>
        <v>0.69520169811629839</v>
      </c>
    </row>
    <row r="4060" spans="1:4" ht="16.5" hidden="1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313">
        <f>参数调整!$K$33*怪物掉落配置方案!$D5086</f>
        <v>0.79806317385799574</v>
      </c>
    </row>
    <row r="4061" spans="1:4" ht="16.5" hidden="1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313">
        <f>参数调整!$K$33*怪物掉落配置方案!$D5087</f>
        <v>0.90801854447843089</v>
      </c>
    </row>
    <row r="4062" spans="1:4" ht="16.5" hidden="1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313">
        <f>参数调整!$K$33*怪物掉落配置方案!$D5088</f>
        <v>1.1492109703555142</v>
      </c>
    </row>
    <row r="4063" spans="1:4" ht="16.5" hidden="1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313">
        <f>参数调整!$K$33*怪物掉落配置方案!$D5089</f>
        <v>1.418778975747548</v>
      </c>
    </row>
    <row r="4064" spans="1:4" ht="16.5" hidden="1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313">
        <f>参数调整!$K$33*怪物掉落配置方案!$D5090</f>
        <v>1.7167225606545333</v>
      </c>
    </row>
    <row r="4065" spans="1:4" ht="16.5" hidden="1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313">
        <f>参数调整!$K$33*怪物掉落配置方案!$D5091</f>
        <v>2.2168421496055437</v>
      </c>
    </row>
    <row r="4066" spans="1:4" ht="16.5" hidden="1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313">
        <f>参数调整!$K$33*怪物掉落配置方案!$D5092</f>
        <v>3.1922526954319825</v>
      </c>
    </row>
    <row r="4067" spans="1:4" ht="16.5" hidden="1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313">
        <f>参数调整!$K$33*怪物掉落配置方案!$D5093</f>
        <v>4.3450106132268651</v>
      </c>
    </row>
    <row r="4068" spans="1:4" ht="16.5" hidden="1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313">
        <f>参数调整!$K$33*怪物掉落配置方案!$D5094</f>
        <v>4.8557710444959836</v>
      </c>
    </row>
    <row r="4069" spans="1:4" ht="16.5" hidden="1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313">
        <f>参数调整!$K$33*怪物掉落配置方案!$D5095</f>
        <v>5.6751159029901919</v>
      </c>
    </row>
    <row r="4070" spans="1:4" ht="16.5" hidden="1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313">
        <f>参数调整!$K$33*怪物掉落配置方案!$D5096</f>
        <v>6.5583058153930391</v>
      </c>
    </row>
    <row r="4071" spans="1:4" ht="16.5" hidden="1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313">
        <f>参数调整!$K$33*怪物掉落配置方案!$D5097</f>
        <v>7.5053407817045281</v>
      </c>
    </row>
    <row r="4072" spans="1:4" ht="16.5" hidden="1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313">
        <f>参数调整!$K$33*怪物掉落配置方案!$D5098</f>
        <v>8.5162208019246588</v>
      </c>
    </row>
    <row r="4073" spans="1:4" ht="16.5" hidden="1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313">
        <f>参数调整!$K$33*怪物掉落配置方案!$D5099</f>
        <v>9.5909458760534232</v>
      </c>
    </row>
    <row r="4074" spans="1:4" ht="16.5" hidden="1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313">
        <f>参数调整!$K$33*怪物掉落配置方案!$D5100</f>
        <v>10.729516004090831</v>
      </c>
    </row>
    <row r="4075" spans="1:4" ht="16.5" hidden="1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313">
        <f>参数调整!$K$33*怪物掉落配置方案!$D5101</f>
        <v>11.931931186036879</v>
      </c>
    </row>
    <row r="4076" spans="1:4" ht="16.5" hidden="1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313">
        <f>参数调整!$K$33*怪物掉落配置方案!$D5102</f>
        <v>13.198191421891561</v>
      </c>
    </row>
    <row r="4077" spans="1:4" ht="16.5" hidden="1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313">
        <f>参数调整!$K$33*怪物掉落配置方案!$D5103</f>
        <v>14.528296711654894</v>
      </c>
    </row>
    <row r="4078" spans="1:4" ht="16.5" hidden="1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313">
        <f>参数调整!$K$33*怪物掉落配置方案!$D5104</f>
        <v>15.922247055326858</v>
      </c>
    </row>
    <row r="4079" spans="1:4" ht="16.5" hidden="1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313">
        <f>参数调整!$K$33*怪物掉落配置方案!$D5105</f>
        <v>17.380042452907464</v>
      </c>
    </row>
    <row r="4080" spans="1:4" ht="16.5" hidden="1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313">
        <f>参数调整!$K$33*怪物掉落配置方案!$D5106</f>
        <v>2.956053644257978E-2</v>
      </c>
    </row>
    <row r="4081" spans="1:4" ht="16.5" hidden="1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313">
        <f>参数调整!$K$33*怪物掉落配置方案!$D5107</f>
        <v>3.7412553935140029E-2</v>
      </c>
    </row>
    <row r="4082" spans="1:4" ht="16.5" hidden="1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313">
        <f>参数调整!$K$33*怪物掉落配置方案!$D5108</f>
        <v>4.6188338191530898E-2</v>
      </c>
    </row>
    <row r="4083" spans="1:4" ht="16.5" hidden="1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313">
        <f>参数调整!$K$33*怪物掉落配置方案!$D5109</f>
        <v>5.588788921175239E-2</v>
      </c>
    </row>
    <row r="4084" spans="1:4" ht="16.5" hidden="1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313">
        <f>参数调整!$K$33*怪物掉落配置方案!$D5110</f>
        <v>6.6511206995804484E-2</v>
      </c>
    </row>
    <row r="4085" spans="1:4" ht="16.5" hidden="1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313">
        <f>参数调整!$K$33*怪物掉落配置方案!$D5111</f>
        <v>7.8058291543687236E-2</v>
      </c>
    </row>
    <row r="4086" spans="1:4" ht="16.5" hidden="1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313">
        <f>参数调整!$K$33*怪物掉落配置方案!$D5112</f>
        <v>9.0529142855400535E-2</v>
      </c>
    </row>
    <row r="4087" spans="1:4" ht="16.5" hidden="1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313">
        <f>参数调整!$K$33*怪物掉落配置方案!$D5113</f>
        <v>0.10392376093094453</v>
      </c>
    </row>
    <row r="4088" spans="1:4" ht="16.5" hidden="1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313">
        <f>参数调整!$K$33*怪物掉落配置方案!$D5114</f>
        <v>0.11824214577031912</v>
      </c>
    </row>
    <row r="4089" spans="1:4" ht="16.5" hidden="1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313">
        <f>参数调整!$K$33*怪物掉落配置方案!$D5115</f>
        <v>0.14965021574056012</v>
      </c>
    </row>
    <row r="4090" spans="1:4" ht="16.5" hidden="1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313">
        <f>参数调整!$K$33*怪物掉落配置方案!$D5116</f>
        <v>0.18475335276612356</v>
      </c>
    </row>
    <row r="4091" spans="1:4" ht="16.5" hidden="1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313">
        <f>参数调整!$K$33*怪物掉落配置方案!$D5117</f>
        <v>0.22355155684700956</v>
      </c>
    </row>
    <row r="4092" spans="1:4" ht="16.5" hidden="1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313">
        <f>参数调整!$K$33*怪物掉落配置方案!$D5118</f>
        <v>0.28867711369706806</v>
      </c>
    </row>
    <row r="4093" spans="1:4" ht="16.5" hidden="1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313">
        <f>参数调整!$K$33*怪物掉落配置方案!$D5119</f>
        <v>0.41569504372377802</v>
      </c>
    </row>
    <row r="4094" spans="1:4" ht="16.5" hidden="1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313">
        <f>参数调整!$K$33*怪物掉落配置方案!$D5120</f>
        <v>0.56580714284625344</v>
      </c>
    </row>
    <row r="4095" spans="1:4" ht="16.5" hidden="1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313">
        <f>参数调整!$K$33*怪物掉落配置方案!$D5121</f>
        <v>0.63231834984205804</v>
      </c>
    </row>
    <row r="4096" spans="1:4" ht="16.5" hidden="1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313">
        <f>参数调整!$K$33*怪物掉落配置方案!$D5122</f>
        <v>0.73901341106449425</v>
      </c>
    </row>
    <row r="4097" spans="1:4" ht="16.5" hidden="1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313">
        <f>参数调整!$K$33*怪物掉落配置方案!$D5123</f>
        <v>0.85402237316140606</v>
      </c>
    </row>
    <row r="4098" spans="1:4" ht="16.5" hidden="1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313">
        <f>参数调整!$K$33*怪物掉落配置方案!$D5124</f>
        <v>0.97734523613279367</v>
      </c>
    </row>
    <row r="4099" spans="1:4" ht="16.5" hidden="1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313">
        <f>参数调整!$K$33*怪物掉落配置方案!$D5125</f>
        <v>1.108981999978657</v>
      </c>
    </row>
    <row r="4100" spans="1:4" ht="16.5" hidden="1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313">
        <f>参数调整!$K$33*怪物掉落配置方案!$D5126</f>
        <v>1.2489326646989956</v>
      </c>
    </row>
    <row r="4101" spans="1:4" ht="16.5" hidden="1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313">
        <f>参数调整!$K$33*怪物掉落配置方案!$D5127</f>
        <v>1.3971972302938098</v>
      </c>
    </row>
    <row r="4102" spans="1:4" ht="16.5" hidden="1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313">
        <f>参数调整!$K$33*怪物掉落配置方案!$D5128</f>
        <v>1.5537756967630993</v>
      </c>
    </row>
    <row r="4103" spans="1:4" ht="16.5" hidden="1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313">
        <f>参数调整!$K$33*怪物掉落配置方案!$D5129</f>
        <v>1.7186680641068641</v>
      </c>
    </row>
    <row r="4104" spans="1:4" ht="16.5" hidden="1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313">
        <f>参数调整!$K$33*怪物掉落配置方案!$D5130</f>
        <v>1.8918743323251057</v>
      </c>
    </row>
    <row r="4105" spans="1:4" ht="16.5" hidden="1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313">
        <f>参数调整!$K$33*怪物掉落配置方案!$D5131</f>
        <v>2.0733945014178223</v>
      </c>
    </row>
    <row r="4106" spans="1:4" ht="16.5" hidden="1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313">
        <f>参数调整!$K$33*怪物掉落配置方案!$D5132</f>
        <v>2.2632285713850142</v>
      </c>
    </row>
    <row r="4107" spans="1:4" ht="16.5" hidden="1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313">
        <f>材料产出!$R$4/(基本属性!$A$4/(基本属性!$AS$4*1/3600))*材料产出!$D$4</f>
        <v>3.9591509730546516E-4</v>
      </c>
    </row>
    <row r="4108" spans="1:4" ht="16.5" hidden="1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313">
        <f>材料产出!$R$5/(基本属性!$A$5/(基本属性!$AS$5*1/3600))*材料产出!$D$5</f>
        <v>5.0108004502722944E-4</v>
      </c>
    </row>
    <row r="4109" spans="1:4" ht="16.5" hidden="1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313">
        <f>材料产出!$R$6/(基本属性!$A$6/(基本属性!$AS$6*1/3600))*材料产出!$D$6</f>
        <v>6.1861733953978931E-4</v>
      </c>
    </row>
    <row r="4110" spans="1:4" ht="16.5" hidden="1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313">
        <f>材料产出!$R$7/(基本属性!$A$7/(基本属性!$AS$7*1/3600))*材料产出!$D$7</f>
        <v>7.485269808431451E-4</v>
      </c>
    </row>
    <row r="4111" spans="1:4" ht="16.5" hidden="1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313">
        <f>材料产出!$R$8/(基本属性!$A$8/(基本属性!$AS$8*1/3600))*材料产出!$D$8</f>
        <v>8.9080896893729638E-4</v>
      </c>
    </row>
    <row r="4112" spans="1:4" ht="16.5" hidden="1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313">
        <f>材料产出!$R$9/(基本属性!$A$9/(基本属性!$AS$9*1/3600))*材料产出!$D$9</f>
        <v>1.0454633038222438E-3</v>
      </c>
    </row>
    <row r="4113" spans="1:4" ht="16.5" hidden="1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313">
        <f>材料产出!$R$10/(基本属性!$A$10/(基本属性!$AS$10*1/3600))*材料产出!$D$10</f>
        <v>1.2124899854979868E-3</v>
      </c>
    </row>
    <row r="4114" spans="1:4" ht="16.5" hidden="1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313">
        <f>材料产出!$R$11/(基本属性!$A$11/(基本属性!$AS$11*1/3600))*材料产出!$D$11</f>
        <v>1.3918890139645258E-3</v>
      </c>
    </row>
    <row r="4115" spans="1:4" ht="16.5" hidden="1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313">
        <f>材料产出!$R$12/(基本属性!$A$12/(基本属性!$AS$12*1/3600))*材料产出!$D$12</f>
        <v>1.5836603892218607E-3</v>
      </c>
    </row>
    <row r="4116" spans="1:4" ht="16.5" hidden="1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313">
        <f>材料产出!$R$13/(基本属性!$A$13/(基本属性!$AS$13*1/3600))*材料产出!$D$13</f>
        <v>2.0043201801089173E-3</v>
      </c>
    </row>
    <row r="4117" spans="1:4" ht="16.5" hidden="1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313">
        <f>材料产出!$R$14/(基本属性!$A$14/(基本属性!$AS$14*1/3600))*材料产出!$D$14</f>
        <v>2.4744693581591568E-3</v>
      </c>
    </row>
    <row r="4118" spans="1:4" ht="16.5" hidden="1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313">
        <f>材料产出!$R$15/(基本属性!$A$15/(基本属性!$AS$15*1/3600))*材料产出!$D$15</f>
        <v>2.9941079233725804E-3</v>
      </c>
    </row>
    <row r="4119" spans="1:4" ht="16.5" hidden="1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313">
        <f>材料产出!$R$16/(基本属性!$A$16/(基本属性!$AS$16*1/3600))*材料产出!$D$16</f>
        <v>3.8663583721236824E-3</v>
      </c>
    </row>
    <row r="4120" spans="1:4" ht="16.5" hidden="1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313">
        <f>材料产出!$R$17/(基本属性!$A$17/(基本属性!$AS$17*1/3600))*材料产出!$D$17</f>
        <v>5.5675560558581024E-3</v>
      </c>
    </row>
    <row r="4121" spans="1:4" ht="16.5" hidden="1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313">
        <f>材料产出!$R$18/(基本属性!$A$18/(基本属性!$AS$18*1/3600))*材料产出!$D$18</f>
        <v>7.5780624093624172E-3</v>
      </c>
    </row>
    <row r="4122" spans="1:4" ht="16.5" hidden="1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313">
        <f>材料产出!$R$19/(基本属性!$A$19/(基本属性!$AS$19*1/3600))*材料产出!$D$19</f>
        <v>8.4688713782997155E-3</v>
      </c>
    </row>
    <row r="4123" spans="1:4" ht="16.5" hidden="1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313">
        <f>材料产出!$R$20/(基本属性!$A$20/(基本属性!$AS$20*1/3600))*材料产出!$D$20</f>
        <v>9.8978774326366273E-3</v>
      </c>
    </row>
    <row r="4124" spans="1:4" ht="16.5" hidden="1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313">
        <f>材料产出!$R$21/(基本属性!$A$21/(基本属性!$AS$21*1/3600))*材料产出!$D$21</f>
        <v>1.1438234608090701E-2</v>
      </c>
    </row>
    <row r="4125" spans="1:4" ht="16.5" hidden="1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313">
        <f>材料产出!$R$22/(基本属性!$A$22/(基本属性!$AS$22*1/3600))*材料产出!$D$22</f>
        <v>1.3089942904661938E-2</v>
      </c>
    </row>
    <row r="4126" spans="1:4" ht="16.5" hidden="1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313">
        <f>材料产出!$R$23/(基本属性!$A$23/(基本属性!$AS$23*1/3600))*材料产出!$D$23</f>
        <v>1.4853002322350341E-2</v>
      </c>
    </row>
    <row r="4127" spans="1:4" ht="16.5" hidden="1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313">
        <f>材料产出!$R$24/(基本属性!$A$24/(基本属性!$AS$24*1/3600))*材料产出!$D$24</f>
        <v>1.6727412861155901E-2</v>
      </c>
    </row>
    <row r="4128" spans="1:4" ht="16.5" hidden="1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313">
        <f>材料产出!$R$25/(基本属性!$A$25/(基本属性!$AS$25*1/3600))*材料产出!$D$25</f>
        <v>1.8713174521078624E-2</v>
      </c>
    </row>
    <row r="4129" spans="1:4" ht="16.5" hidden="1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313">
        <f>材料产出!$R$26/(基本属性!$A$26/(基本属性!$AS$26*1/3600))*材料产出!$D$26</f>
        <v>2.0810287302118508E-2</v>
      </c>
    </row>
    <row r="4130" spans="1:4" ht="16.5" hidden="1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313">
        <f>材料产出!$R$27/(基本属性!$A$27/(基本属性!$AS$27*1/3600))*材料产出!$D$27</f>
        <v>2.3018751204275552E-2</v>
      </c>
    </row>
    <row r="4131" spans="1:4" ht="16.5" hidden="1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313">
        <f>材料产出!$R$28/(基本属性!$A$28/(基本属性!$AS$28*1/3600))*材料产出!$D$28</f>
        <v>2.5338566227549771E-2</v>
      </c>
    </row>
    <row r="4132" spans="1:4" ht="16.5" hidden="1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313">
        <f>材料产出!$R$29/(基本属性!$A$29/(基本属性!$AS$29*1/3600))*材料产出!$D$29</f>
        <v>2.7769732371941139E-2</v>
      </c>
    </row>
    <row r="4133" spans="1:4" ht="16.5" hidden="1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313">
        <f>材料产出!$R$30/(基本属性!$A$30/(基本属性!$AS$30*1/3600))*材料产出!$D$30</f>
        <v>3.0312249637449676E-2</v>
      </c>
    </row>
    <row r="4134" spans="1:4" ht="16.5" hidden="1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313">
        <f>材料产出!$AJ$4/(基本属性!$A$4/(基本属性!$AS$4*1/3600))*材料产出!$D$4</f>
        <v>5.1885112559125089E-3</v>
      </c>
    </row>
    <row r="4135" spans="1:4" ht="16.5" hidden="1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313">
        <f>材料产出!$AJ$5/(基本属性!$A$5/(基本属性!$AS$5*1/3600))*材料产出!$D$5</f>
        <v>6.5667095582642694E-3</v>
      </c>
    </row>
    <row r="4136" spans="1:4" ht="16.5" hidden="1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313">
        <f>材料产出!$AJ$6/(基本属性!$A$6/(基本属性!$AS$6*1/3600))*材料产出!$D$6</f>
        <v>8.1070488373632937E-3</v>
      </c>
    </row>
    <row r="4137" spans="1:4" ht="16.5" hidden="1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313">
        <f>材料产出!$AJ$7/(基本属性!$A$7/(基本属性!$AS$7*1/3600))*材料产出!$D$7</f>
        <v>9.8095290932095867E-3</v>
      </c>
    </row>
    <row r="4138" spans="1:4" ht="16.5" hidden="1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313">
        <f>材料产出!$AJ$8/(基本属性!$A$8/(基本属性!$AS$8*1/3600))*材料产出!$D$8</f>
        <v>1.1674150325803139E-2</v>
      </c>
    </row>
    <row r="4139" spans="1:4" ht="16.5" hidden="1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313">
        <f>材料产出!$AJ$9/(基本属性!$A$9/(基本属性!$AS$9*1/3600))*材料产出!$D$9</f>
        <v>1.3700912535143968E-2</v>
      </c>
    </row>
    <row r="4140" spans="1:4" ht="16.5" hidden="1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313">
        <f>材料产出!$AJ$10/(基本属性!$A$10/(基本属性!$AS$10*1/3600))*材料产出!$D$10</f>
        <v>1.5889815721232051E-2</v>
      </c>
    </row>
    <row r="4141" spans="1:4" ht="16.5" hidden="1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313">
        <f>材料产出!$AJ$11/(基本属性!$A$11/(基本属性!$AS$11*1/3600))*材料产出!$D$11</f>
        <v>1.8240859884067408E-2</v>
      </c>
    </row>
    <row r="4142" spans="1:4" ht="16.5" hidden="1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313">
        <f>材料产出!$AJ$12/(基本属性!$A$12/(基本属性!$AS$12*1/3600))*材料产出!$D$12</f>
        <v>2.0754045023650036E-2</v>
      </c>
    </row>
    <row r="4143" spans="1:4" ht="16.5" hidden="1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313">
        <f>材料产出!$AJ$13/(基本属性!$A$13/(基本属性!$AS$13*1/3600))*材料产出!$D$13</f>
        <v>2.6266838233057074E-2</v>
      </c>
    </row>
    <row r="4144" spans="1:4" ht="16.5" hidden="1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313">
        <f>材料产出!$AJ$14/(基本属性!$A$14/(基本属性!$AS$14*1/3600))*材料产出!$D$14</f>
        <v>3.2428195349453168E-2</v>
      </c>
    </row>
    <row r="4145" spans="1:4" ht="16.5" hidden="1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313">
        <f>材料产出!$AJ$15/(基本属性!$A$15/(基本属性!$AS$15*1/3600))*材料产出!$D$15</f>
        <v>3.9238116372838347E-2</v>
      </c>
    </row>
    <row r="4146" spans="1:4" ht="16.5" hidden="1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313">
        <f>材料产出!$AJ$16/(基本属性!$A$16/(基本属性!$AS$16*1/3600))*材料产出!$D$16</f>
        <v>5.0669055233520582E-2</v>
      </c>
    </row>
    <row r="4147" spans="1:4" ht="16.5" hidden="1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313">
        <f>材料产出!$AJ$17/(基本属性!$A$17/(基本属性!$AS$17*1/3600))*材料产出!$D$17</f>
        <v>7.2963439536269631E-2</v>
      </c>
    </row>
    <row r="4148" spans="1:4" ht="16.5" hidden="1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313">
        <f>材料产出!$AJ$18/(基本属性!$A$18/(基本属性!$AS$18*1/3600))*材料产出!$D$18</f>
        <v>9.9311348257700327E-2</v>
      </c>
    </row>
    <row r="4149" spans="1:4" ht="16.5" hidden="1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313">
        <f>材料产出!$AJ$19/(基本属性!$A$19/(基本属性!$AS$19*1/3600))*材料产出!$D$19</f>
        <v>0.1109854985835035</v>
      </c>
    </row>
    <row r="4150" spans="1:4" ht="16.5" hidden="1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313">
        <f>材料产出!$AJ$20/(基本属性!$A$20/(基本属性!$AS$20*1/3600))*材料产出!$D$20</f>
        <v>0.12971278139781267</v>
      </c>
    </row>
    <row r="4151" spans="1:4" ht="16.5" hidden="1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313">
        <f>材料产出!$AJ$21/(基本属性!$A$21/(基本属性!$AS$21*1/3600))*材料产出!$D$21</f>
        <v>0.14989933300284727</v>
      </c>
    </row>
    <row r="4152" spans="1:4" ht="16.5" hidden="1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313">
        <f>材料产出!$AJ$22/(基本属性!$A$22/(基本属性!$AS$22*1/3600))*材料产出!$D$22</f>
        <v>0.17154515339860726</v>
      </c>
    </row>
    <row r="4153" spans="1:4" ht="16.5" hidden="1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313">
        <f>材料产出!$AJ$23/(基本属性!$A$23/(基本属性!$AS$23*1/3600))*材料产出!$D$23</f>
        <v>0.1946502425850927</v>
      </c>
    </row>
    <row r="4154" spans="1:4" ht="16.5" hidden="1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313">
        <f>材料产出!$AJ$24/(基本属性!$A$24/(基本属性!$AS$24*1/3600))*材料产出!$D$24</f>
        <v>0.21921460056230344</v>
      </c>
    </row>
    <row r="4155" spans="1:4" ht="16.5" hidden="1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313">
        <f>材料产出!$AJ$25/(基本属性!$A$25/(基本属性!$AS$25*1/3600))*材料产出!$D$25</f>
        <v>0.24523822733023964</v>
      </c>
    </row>
    <row r="4156" spans="1:4" ht="16.5" hidden="1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313">
        <f>材料产出!$AJ$26/(基本属性!$A$26/(基本属性!$AS$26*1/3600))*材料产出!$D$26</f>
        <v>0.27272112288890116</v>
      </c>
    </row>
    <row r="4157" spans="1:4" ht="16.5" hidden="1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313">
        <f>材料产出!$AJ$27/(基本属性!$A$27/(基本属性!$AS$27*1/3600))*材料产出!$D$27</f>
        <v>0.30166328723828811</v>
      </c>
    </row>
    <row r="4158" spans="1:4" ht="16.5" hidden="1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313">
        <f>材料产出!$AJ$28/(基本属性!$A$28/(基本属性!$AS$28*1/3600))*材料产出!$D$28</f>
        <v>0.33206472037840051</v>
      </c>
    </row>
    <row r="4159" spans="1:4" ht="16.5" hidden="1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313">
        <f>材料产出!$AJ$29/(基本属性!$A$29/(基本属性!$AS$29*1/3600))*材料产出!$D$29</f>
        <v>0.36392542230923824</v>
      </c>
    </row>
    <row r="4160" spans="1:4" ht="16.5" hidden="1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313">
        <f>材料产出!$AJ$30/(基本属性!$A$30/(基本属性!$AS$30*1/3600))*材料产出!$D$30</f>
        <v>0.39724539303080136</v>
      </c>
    </row>
    <row r="4161" spans="1:4" ht="16.5" hidden="1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314">
        <f>ROUND(材料产出!$J$4/(基本属性!$A$4/(基本属性!$AS$4*1/3600))*材料产出!$D$4,0)</f>
        <v>67</v>
      </c>
    </row>
    <row r="4162" spans="1:4" ht="16.5" hidden="1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314">
        <f>ROUND(材料产出!$J$5/(基本属性!$A$5/(基本属性!$AS$5*1/3600))*材料产出!$D$5,0)</f>
        <v>85</v>
      </c>
    </row>
    <row r="4163" spans="1:4" ht="16.5" hidden="1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314">
        <f>ROUND(材料产出!$J$6/(基本属性!$A$6/(基本属性!$AS$6*1/3600))*材料产出!$D$6,0)</f>
        <v>105</v>
      </c>
    </row>
    <row r="4164" spans="1:4" ht="16.5" hidden="1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314">
        <f>ROUND(材料产出!$J$7/(基本属性!$A$7/(基本属性!$AS$7*1/3600))*材料产出!$D$7,0)</f>
        <v>127</v>
      </c>
    </row>
    <row r="4165" spans="1:4" ht="16.5" hidden="1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314">
        <f>ROUND(材料产出!$J$8/(基本属性!$A$8/(基本属性!$AS$8*1/3600))*材料产出!$D$8,0)</f>
        <v>151</v>
      </c>
    </row>
    <row r="4166" spans="1:4" ht="16.5" hidden="1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314">
        <f>ROUND(材料产出!$J$9/(基本属性!$A$9/(基本属性!$AS$9*1/3600))*材料产出!$D$9,0)</f>
        <v>177</v>
      </c>
    </row>
    <row r="4167" spans="1:4" ht="16.5" hidden="1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314">
        <f>ROUND(材料产出!$J$10/(基本属性!$A$10/(基本属性!$AS$10*1/3600))*材料产出!$D$10,0)</f>
        <v>206</v>
      </c>
    </row>
    <row r="4168" spans="1:4" ht="16.5" hidden="1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314">
        <f>ROUND(材料产出!$J$11/(基本属性!$A$11/(基本属性!$AS$11*1/3600))*材料产出!$D$11,0)</f>
        <v>236</v>
      </c>
    </row>
    <row r="4169" spans="1:4" ht="16.5" hidden="1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314">
        <f>ROUND(材料产出!$J$12/(基本属性!$A$12/(基本属性!$AS$12*1/3600))*材料产出!$D$12,0)</f>
        <v>268</v>
      </c>
    </row>
    <row r="4170" spans="1:4" ht="16.5" hidden="1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314">
        <f>ROUND(材料产出!$J$13/(基本属性!$A$13/(基本属性!$AS$13*1/3600))*材料产出!$D$13,0)</f>
        <v>340</v>
      </c>
    </row>
    <row r="4171" spans="1:4" ht="16.5" hidden="1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314">
        <f>ROUND(材料产出!$J$14/(基本属性!$A$14/(基本属性!$AS$14*1/3600))*材料产出!$D$14,0)</f>
        <v>419</v>
      </c>
    </row>
    <row r="4172" spans="1:4" ht="16.5" hidden="1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314">
        <f>ROUND(材料产出!$J$15/(基本属性!$A$15/(基本属性!$AS$15*1/3600))*材料产出!$D$15,0)</f>
        <v>508</v>
      </c>
    </row>
    <row r="4173" spans="1:4" ht="16.5" hidden="1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314">
        <f>ROUND(材料产出!$J$16/(基本属性!$A$16/(基本属性!$AS$16*1/3600))*材料产出!$D$16,0)</f>
        <v>655</v>
      </c>
    </row>
    <row r="4174" spans="1:4" ht="16.5" hidden="1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314">
        <f>ROUND(材料产出!$J$17/(基本属性!$A$17/(基本属性!$AS$17*1/3600))*材料产出!$D$17,0)</f>
        <v>944</v>
      </c>
    </row>
    <row r="4175" spans="1:4" ht="16.5" hidden="1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314">
        <f>ROUND(材料产出!$J$18/(基本属性!$A$18/(基本属性!$AS$18*1/3600))*材料产出!$D$18,0)</f>
        <v>1285</v>
      </c>
    </row>
    <row r="4176" spans="1:4" ht="16.5" hidden="1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314">
        <f>ROUND(材料产出!$J$19/(基本属性!$A$19/(基本属性!$AS$19*1/3600))*材料产出!$D$19,0)</f>
        <v>1436</v>
      </c>
    </row>
    <row r="4177" spans="1:4" ht="16.5" hidden="1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314">
        <f>ROUND(材料产出!$J$20/(基本属性!$A$20/(基本属性!$AS$20*1/3600))*材料产出!$D$20,0)</f>
        <v>1678</v>
      </c>
    </row>
    <row r="4178" spans="1:4" ht="16.5" hidden="1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314">
        <f>ROUND(材料产出!$J$21/(基本属性!$A$21/(基本属性!$AS$21*1/3600))*材料产出!$D$21,0)</f>
        <v>1939</v>
      </c>
    </row>
    <row r="4179" spans="1:4" ht="16.5" hidden="1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314">
        <f>ROUND(材料产出!$J$22/(基本属性!$A$22/(基本属性!$AS$22*1/3600))*材料产出!$D$22,0)</f>
        <v>2219</v>
      </c>
    </row>
    <row r="4180" spans="1:4" ht="16.5" hidden="1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314">
        <f>ROUND(材料产出!$J$23/(基本属性!$A$23/(基本属性!$AS$23*1/3600))*材料产出!$D$23,0)</f>
        <v>2518</v>
      </c>
    </row>
    <row r="4181" spans="1:4" ht="16.5" hidden="1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314">
        <f>ROUND(材料产出!$J$24/(基本属性!$A$24/(基本属性!$AS$24*1/3600))*材料产出!$D$24,0)</f>
        <v>2836</v>
      </c>
    </row>
    <row r="4182" spans="1:4" ht="16.5" hidden="1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314">
        <f>ROUND(材料产出!$J$25/(基本属性!$A$25/(基本属性!$AS$25*1/3600))*材料产出!$D$25,0)</f>
        <v>3172</v>
      </c>
    </row>
    <row r="4183" spans="1:4" ht="16.5" hidden="1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314">
        <f>ROUND(材料产出!$J$26/(基本属性!$A$26/(基本属性!$AS$26*1/3600))*材料产出!$D$26,0)</f>
        <v>3528</v>
      </c>
    </row>
    <row r="4184" spans="1:4" ht="16.5" hidden="1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314">
        <f>ROUND(材料产出!$J$27/(基本属性!$A$27/(基本属性!$AS$27*1/3600))*材料产出!$D$27,0)</f>
        <v>3902</v>
      </c>
    </row>
    <row r="4185" spans="1:4" ht="16.5" hidden="1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314">
        <f>ROUND(材料产出!$J$28/(基本属性!$A$28/(基本属性!$AS$28*1/3600))*材料产出!$D$28,0)</f>
        <v>4295</v>
      </c>
    </row>
    <row r="4186" spans="1:4" ht="16.5" hidden="1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314">
        <f>ROUND(材料产出!$J$29/(基本属性!$A$29/(基本属性!$AS$29*1/3600))*材料产出!$D$29,0)</f>
        <v>4707</v>
      </c>
    </row>
    <row r="4187" spans="1:4" ht="16.5" hidden="1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314">
        <f>ROUND(材料产出!$J$30/(基本属性!$A$30/(基本属性!$AS$30*1/3600))*材料产出!$D$30,0)</f>
        <v>5138</v>
      </c>
    </row>
    <row r="4188" spans="1:4" ht="16.5" hidden="1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313">
        <f>材料产出!$BB$4/(基本属性!$A$4/(基本属性!$AS$4*1/3600))*材料产出!$D$4</f>
        <v>8.1231176692320292E-6</v>
      </c>
    </row>
    <row r="4189" spans="1:4" ht="16.5" hidden="1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313">
        <f>材料产出!$BB$5/(基本属性!$A$5/(基本属性!$AS$5*1/3600))*材料产出!$D$5</f>
        <v>1.0280820800121789E-5</v>
      </c>
    </row>
    <row r="4190" spans="1:4" ht="16.5" hidden="1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313">
        <f>材料产出!$BB$6/(基本属性!$A$6/(基本属性!$AS$6*1/3600))*材料产出!$D$6</f>
        <v>1.2692371358175044E-5</v>
      </c>
    </row>
    <row r="4191" spans="1:4" ht="16.5" hidden="1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313">
        <f>材料产出!$BB$7/(基本属性!$A$7/(基本属性!$AS$7*1/3600))*材料产出!$D$7</f>
        <v>1.5357769343391804E-5</v>
      </c>
    </row>
    <row r="4192" spans="1:4" ht="16.5" hidden="1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313">
        <f>材料产出!$BB$8/(基本属性!$A$8/(基本属性!$AS$8*1/3600))*材料产出!$D$8</f>
        <v>1.8277014755772062E-5</v>
      </c>
    </row>
    <row r="4193" spans="1:4" ht="16.5" hidden="1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313">
        <f>材料产出!$BB$9/(基本属性!$A$9/(基本属性!$AS$9*1/3600))*材料产出!$D$9</f>
        <v>2.1450107595315825E-5</v>
      </c>
    </row>
    <row r="4194" spans="1:4" ht="16.5" hidden="1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313">
        <f>材料产出!$BB$10/(基本属性!$A$10/(基本属性!$AS$10*1/3600))*材料产出!$D$10</f>
        <v>2.4877047862023084E-5</v>
      </c>
    </row>
    <row r="4195" spans="1:4" ht="16.5" hidden="1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313">
        <f>材料产出!$BB$11/(基本属性!$A$11/(基本属性!$AS$11*1/3600))*材料产出!$D$11</f>
        <v>2.8557835555893848E-5</v>
      </c>
    </row>
    <row r="4196" spans="1:4" ht="16.5" hidden="1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313">
        <f>材料产出!$BB$12/(基本属性!$A$12/(基本属性!$AS$12*1/3600))*材料产出!$D$12</f>
        <v>3.2492470676928124E-5</v>
      </c>
    </row>
    <row r="4197" spans="1:4" ht="16.5" hidden="1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313">
        <f>材料产出!$BB$13/(基本属性!$A$13/(基本属性!$AS$13*1/3600))*材料产出!$D$13</f>
        <v>4.1123283200487142E-5</v>
      </c>
    </row>
    <row r="4198" spans="1:4" ht="16.5" hidden="1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313">
        <f>材料产出!$BB$14/(基本属性!$A$14/(基本属性!$AS$14*1/3600))*材料产出!$D$14</f>
        <v>5.0769485432700169E-5</v>
      </c>
    </row>
    <row r="4199" spans="1:4" ht="16.5" hidden="1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313">
        <f>材料产出!$BB$15/(基本属性!$A$15/(基本属性!$AS$15*1/3600))*材料产出!$D$15</f>
        <v>6.1431077373567218E-5</v>
      </c>
    </row>
    <row r="4200" spans="1:4" ht="16.5" hidden="1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313">
        <f>材料产出!$BB$16/(基本属性!$A$16/(基本属性!$AS$16*1/3600))*材料产出!$D$16</f>
        <v>7.932732098859403E-5</v>
      </c>
    </row>
    <row r="4201" spans="1:4" ht="16.5" hidden="1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313">
        <f>材料产出!$BB$17/(基本属性!$A$17/(基本属性!$AS$17*1/3600))*材料产出!$D$17</f>
        <v>1.1423134222357536E-4</v>
      </c>
    </row>
    <row r="4202" spans="1:4" ht="16.5" hidden="1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313">
        <f>材料产出!$BB$18/(基本属性!$A$18/(基本属性!$AS$18*1/3600))*材料产出!$D$18</f>
        <v>1.5548154913764428E-4</v>
      </c>
    </row>
    <row r="4203" spans="1:4" ht="16.5" hidden="1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313">
        <f>材料产出!$BB$19/(基本属性!$A$19/(基本属性!$AS$19*1/3600))*材料产出!$D$19</f>
        <v>1.7375856389341638E-4</v>
      </c>
    </row>
    <row r="4204" spans="1:4" ht="16.5" hidden="1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313">
        <f>材料产出!$BB$20/(基本属性!$A$20/(基本属性!$AS$20*1/3600))*材料产出!$D$20</f>
        <v>2.0307794173080068E-4</v>
      </c>
    </row>
    <row r="4205" spans="1:4" ht="16.5" hidden="1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313">
        <f>材料产出!$BB$21/(基本属性!$A$21/(基本属性!$AS$21*1/3600))*材料产出!$D$21</f>
        <v>2.3468194641265651E-4</v>
      </c>
    </row>
    <row r="4206" spans="1:4" ht="16.5" hidden="1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313">
        <f>材料产出!$BB$22/(基本属性!$A$22/(基本属性!$AS$22*1/3600))*材料产出!$D$22</f>
        <v>2.6857057793898393E-4</v>
      </c>
    </row>
    <row r="4207" spans="1:4" ht="16.5" hidden="1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313">
        <f>材料产出!$BB$23/(基本属性!$A$23/(基本属性!$AS$23*1/3600))*材料产出!$D$23</f>
        <v>3.0474383630978288E-4</v>
      </c>
    </row>
    <row r="4208" spans="1:4" ht="16.5" hidden="1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313">
        <f>材料产出!$BB$24/(基本属性!$A$24/(基本属性!$AS$24*1/3600))*材料产出!$D$24</f>
        <v>3.432017215250532E-4</v>
      </c>
    </row>
    <row r="4209" spans="1:4" ht="16.5" hidden="1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313">
        <f>材料产出!$BB$25/(基本属性!$A$25/(基本属性!$AS$25*1/3600))*材料产出!$D$25</f>
        <v>3.8394423358479511E-4</v>
      </c>
    </row>
    <row r="4210" spans="1:4" ht="16.5" hidden="1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313">
        <f>材料产出!$BB$26/(基本属性!$A$26/(基本属性!$AS$26*1/3600))*材料产出!$D$26</f>
        <v>4.2697137248900839E-4</v>
      </c>
    </row>
    <row r="4211" spans="1:4" ht="16.5" hidden="1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313">
        <f>材料产出!$BB$27/(基本属性!$A$27/(基本属性!$AS$27*1/3600))*材料产出!$D$27</f>
        <v>4.7228313823769331E-4</v>
      </c>
    </row>
    <row r="4212" spans="1:4" ht="16.5" hidden="1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313">
        <f>材料产出!$BB$28/(基本属性!$A$28/(基本属性!$AS$28*1/3600))*材料产出!$D$28</f>
        <v>5.1987953083084987E-4</v>
      </c>
    </row>
    <row r="4213" spans="1:4" ht="16.5" hidden="1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313">
        <f>材料产出!$BB$29/(基本属性!$A$29/(基本属性!$AS$29*1/3600))*材料产出!$D$29</f>
        <v>5.697605502684777E-4</v>
      </c>
    </row>
    <row r="4214" spans="1:4" ht="16.5" hidden="1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313">
        <f>材料产出!$BB$30/(基本属性!$A$30/(基本属性!$AS$30*1/3600))*材料产出!$D$30</f>
        <v>6.2192619655057721E-4</v>
      </c>
    </row>
    <row r="4215" spans="1:4" ht="16.5" hidden="1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314"/>
    </row>
    <row r="4216" spans="1:4" ht="16.5" hidden="1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314"/>
    </row>
    <row r="4217" spans="1:4" ht="16.5" hidden="1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314"/>
    </row>
    <row r="4218" spans="1:4" ht="16.5" hidden="1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314"/>
    </row>
    <row r="4219" spans="1:4" ht="16.5" hidden="1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314"/>
    </row>
    <row r="4220" spans="1:4" ht="16.5" hidden="1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314"/>
    </row>
    <row r="4221" spans="1:4" ht="16.5" hidden="1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314"/>
    </row>
    <row r="4222" spans="1:4" ht="16.5" hidden="1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314"/>
    </row>
    <row r="4223" spans="1:4" ht="16.5" hidden="1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314"/>
    </row>
    <row r="4224" spans="1:4" ht="16.5" hidden="1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314"/>
    </row>
    <row r="4225" spans="1:4" ht="16.5" hidden="1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314"/>
    </row>
    <row r="4226" spans="1:4" ht="16.5" hidden="1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314"/>
    </row>
    <row r="4227" spans="1:4" ht="16.5" hidden="1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314"/>
    </row>
    <row r="4228" spans="1:4" ht="16.5" hidden="1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314"/>
    </row>
    <row r="4229" spans="1:4" ht="16.5" hidden="1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314"/>
    </row>
    <row r="4230" spans="1:4" ht="16.5" hidden="1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314"/>
    </row>
    <row r="4231" spans="1:4" ht="16.5" hidden="1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314"/>
    </row>
    <row r="4232" spans="1:4" ht="16.5" hidden="1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314"/>
    </row>
    <row r="4233" spans="1:4" ht="16.5" hidden="1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314"/>
    </row>
    <row r="4234" spans="1:4" ht="16.5" hidden="1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314"/>
    </row>
    <row r="4235" spans="1:4" ht="16.5" hidden="1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314"/>
    </row>
    <row r="4236" spans="1:4" ht="16.5" hidden="1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314"/>
    </row>
    <row r="4237" spans="1:4" ht="16.5" hidden="1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314"/>
    </row>
    <row r="4238" spans="1:4" ht="16.5" hidden="1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314"/>
    </row>
    <row r="4239" spans="1:4" ht="16.5" hidden="1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314"/>
    </row>
    <row r="4240" spans="1:4" ht="16.5" hidden="1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314"/>
    </row>
    <row r="4241" spans="1:4" ht="16.5" hidden="1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314"/>
    </row>
    <row r="4242" spans="1:4" ht="16.5" hidden="1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314">
        <f>材料产出!$BX4/(基本属性!$A4/(基本属性!$AS4*1/3600))*材料产出!$D4</f>
        <v>0</v>
      </c>
    </row>
    <row r="4243" spans="1:4" ht="16.5" hidden="1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314">
        <f>材料产出!$BX5/(基本属性!$A5/(基本属性!$AS5*1/3600))*材料产出!$D5</f>
        <v>0</v>
      </c>
    </row>
    <row r="4244" spans="1:4" ht="16.5" hidden="1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314">
        <f>材料产出!$BX6/(基本属性!$A6/(基本属性!$AS6*1/3600))*材料产出!$D6</f>
        <v>0</v>
      </c>
    </row>
    <row r="4245" spans="1:4" ht="16.5" hidden="1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314">
        <f>材料产出!$BX7/(基本属性!$A7/(基本属性!$AS7*1/3600))*材料产出!$D7</f>
        <v>0</v>
      </c>
    </row>
    <row r="4246" spans="1:4" ht="16.5" hidden="1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314">
        <f>材料产出!$BX8/(基本属性!$A8/(基本属性!$AS8*1/3600))*材料产出!$D8</f>
        <v>0</v>
      </c>
    </row>
    <row r="4247" spans="1:4" ht="16.5" hidden="1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314">
        <f>材料产出!$BX9/(基本属性!$A9/(基本属性!$AS9*1/3600))*材料产出!$D9</f>
        <v>0</v>
      </c>
    </row>
    <row r="4248" spans="1:4" ht="16.5" hidden="1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314">
        <f>材料产出!$BX10/(基本属性!$A10/(基本属性!$AS10*1/3600))*材料产出!$D10</f>
        <v>0</v>
      </c>
    </row>
    <row r="4249" spans="1:4" ht="16.5" hidden="1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314">
        <f>材料产出!$BX11/(基本属性!$A11/(基本属性!$AS11*1/3600))*材料产出!$D11</f>
        <v>0</v>
      </c>
    </row>
    <row r="4250" spans="1:4" ht="16.5" hidden="1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314">
        <f>材料产出!$BX12/(基本属性!$A12/(基本属性!$AS12*1/3600))*材料产出!$D12</f>
        <v>0</v>
      </c>
    </row>
    <row r="4251" spans="1:4" ht="16.5" hidden="1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314">
        <f>材料产出!$BX13/(基本属性!$A13/(基本属性!$AS13*1/3600))*材料产出!$D13</f>
        <v>0</v>
      </c>
    </row>
    <row r="4252" spans="1:4" ht="16.5" hidden="1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314">
        <f>材料产出!$BX14/(基本属性!$A14/(基本属性!$AS14*1/3600))*材料产出!$D14</f>
        <v>0</v>
      </c>
    </row>
    <row r="4253" spans="1:4" ht="16.5" hidden="1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314">
        <f>材料产出!$BX15/(基本属性!$A15/(基本属性!$AS15*1/3600))*材料产出!$D15</f>
        <v>0</v>
      </c>
    </row>
    <row r="4254" spans="1:4" ht="16.5" hidden="1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314">
        <f>材料产出!$BX16/(基本属性!$A16/(基本属性!$AS16*1/3600))*材料产出!$D16</f>
        <v>0</v>
      </c>
    </row>
    <row r="4255" spans="1:4" ht="16.5" hidden="1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314">
        <f>材料产出!$BX17/(基本属性!$A17/(基本属性!$AS17*1/3600))*材料产出!$D17</f>
        <v>0</v>
      </c>
    </row>
    <row r="4256" spans="1:4" ht="16.5" hidden="1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314">
        <f>材料产出!$BX18/(基本属性!$A18/(基本属性!$AS18*1/3600))*材料产出!$D18</f>
        <v>0</v>
      </c>
    </row>
    <row r="4257" spans="1:4" ht="16.5" hidden="1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314">
        <f>材料产出!$BX19/(基本属性!$A19/(基本属性!$AS19*1/3600))*材料产出!$D19</f>
        <v>0</v>
      </c>
    </row>
    <row r="4258" spans="1:4" ht="16.5" hidden="1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314">
        <f>材料产出!$BX20/(基本属性!$A20/(基本属性!$AS20*1/3600))*材料产出!$D20</f>
        <v>0</v>
      </c>
    </row>
    <row r="4259" spans="1:4" ht="16.5" hidden="1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314">
        <f>材料产出!$BX21/(基本属性!$A21/(基本属性!$AS21*1/3600))*材料产出!$D21</f>
        <v>0</v>
      </c>
    </row>
    <row r="4260" spans="1:4" ht="16.5" hidden="1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314">
        <f>材料产出!$BX22/(基本属性!$A22/(基本属性!$AS22*1/3600))*材料产出!$D22</f>
        <v>0</v>
      </c>
    </row>
    <row r="4261" spans="1:4" ht="16.5" hidden="1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314">
        <f>材料产出!$BX23/(基本属性!$A23/(基本属性!$AS23*1/3600))*材料产出!$D23</f>
        <v>0</v>
      </c>
    </row>
    <row r="4262" spans="1:4" ht="16.5" hidden="1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314">
        <f>材料产出!$BX24/(基本属性!$A24/(基本属性!$AS24*1/3600))*材料产出!$D24</f>
        <v>0</v>
      </c>
    </row>
    <row r="4263" spans="1:4" ht="16.5" hidden="1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314">
        <f>材料产出!$BX25/(基本属性!$A25/(基本属性!$AS25*1/3600))*材料产出!$D25</f>
        <v>0</v>
      </c>
    </row>
    <row r="4264" spans="1:4" ht="16.5" hidden="1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314">
        <f>材料产出!$BX26/(基本属性!$A26/(基本属性!$AS26*1/3600))*材料产出!$D26</f>
        <v>0</v>
      </c>
    </row>
    <row r="4265" spans="1:4" ht="16.5" hidden="1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314">
        <f>材料产出!$BX27/(基本属性!$A27/(基本属性!$AS27*1/3600))*材料产出!$D27</f>
        <v>0</v>
      </c>
    </row>
    <row r="4266" spans="1:4" ht="16.5" hidden="1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314">
        <f>材料产出!$BX28/(基本属性!$A28/(基本属性!$AS28*1/3600))*材料产出!$D28</f>
        <v>0</v>
      </c>
    </row>
    <row r="4267" spans="1:4" ht="16.5" hidden="1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314">
        <f>材料产出!$BX29/(基本属性!$A29/(基本属性!$AS29*1/3600))*材料产出!$D29</f>
        <v>0</v>
      </c>
    </row>
    <row r="4268" spans="1:4" ht="16.5" hidden="1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314">
        <f>材料产出!$BX30/(基本属性!$A30/(基本属性!$AS30*1/3600))*材料产出!$D30</f>
        <v>0</v>
      </c>
    </row>
    <row r="4269" spans="1:4" ht="16.5" hidden="1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314">
        <f>材料产出!$BV4/(基本属性!$A4/(基本属性!$AS4*1/3600))*材料产出!$D4</f>
        <v>0</v>
      </c>
    </row>
    <row r="4270" spans="1:4" ht="16.5" hidden="1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314">
        <f>材料产出!$BV5/(基本属性!$A5/(基本属性!$AS5*1/3600))*材料产出!$D5</f>
        <v>0</v>
      </c>
    </row>
    <row r="4271" spans="1:4" ht="16.5" hidden="1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314">
        <f>材料产出!$BV6/(基本属性!$A6/(基本属性!$AS6*1/3600))*材料产出!$D6</f>
        <v>0</v>
      </c>
    </row>
    <row r="4272" spans="1:4" ht="16.5" hidden="1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314">
        <f>材料产出!$BV7/(基本属性!$A7/(基本属性!$AS7*1/3600))*材料产出!$D7</f>
        <v>0</v>
      </c>
    </row>
    <row r="4273" spans="1:4" ht="16.5" hidden="1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314">
        <f>材料产出!$BV8/(基本属性!$A8/(基本属性!$AS8*1/3600))*材料产出!$D8</f>
        <v>0</v>
      </c>
    </row>
    <row r="4274" spans="1:4" ht="16.5" hidden="1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314">
        <f>材料产出!$BV9/(基本属性!$A9/(基本属性!$AS9*1/3600))*材料产出!$D9</f>
        <v>0</v>
      </c>
    </row>
    <row r="4275" spans="1:4" ht="16.5" hidden="1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314">
        <f>材料产出!$BV10/(基本属性!$A10/(基本属性!$AS10*1/3600))*材料产出!$D10</f>
        <v>0</v>
      </c>
    </row>
    <row r="4276" spans="1:4" ht="16.5" hidden="1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314">
        <f>材料产出!$BV11/(基本属性!$A11/(基本属性!$AS11*1/3600))*材料产出!$D11</f>
        <v>0</v>
      </c>
    </row>
    <row r="4277" spans="1:4" ht="16.5" hidden="1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314">
        <f>材料产出!$BV12/(基本属性!$A12/(基本属性!$AS12*1/3600))*材料产出!$D12</f>
        <v>0</v>
      </c>
    </row>
    <row r="4278" spans="1:4" ht="16.5" hidden="1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314">
        <f>材料产出!$BV13/(基本属性!$A13/(基本属性!$AS13*1/3600))*材料产出!$D13</f>
        <v>0</v>
      </c>
    </row>
    <row r="4279" spans="1:4" ht="16.5" hidden="1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314">
        <f>材料产出!$BV14/(基本属性!$A14/(基本属性!$AS14*1/3600))*材料产出!$D14</f>
        <v>0</v>
      </c>
    </row>
    <row r="4280" spans="1:4" ht="16.5" hidden="1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314">
        <f>材料产出!$BV15/(基本属性!$A15/(基本属性!$AS15*1/3600))*材料产出!$D15</f>
        <v>0</v>
      </c>
    </row>
    <row r="4281" spans="1:4" ht="16.5" hidden="1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314">
        <f>材料产出!$BV16/(基本属性!$A16/(基本属性!$AS16*1/3600))*材料产出!$D16</f>
        <v>0</v>
      </c>
    </row>
    <row r="4282" spans="1:4" ht="16.5" hidden="1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314">
        <f>材料产出!$BV17/(基本属性!$A17/(基本属性!$AS17*1/3600))*材料产出!$D17</f>
        <v>0</v>
      </c>
    </row>
    <row r="4283" spans="1:4" ht="16.5" hidden="1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314">
        <f>材料产出!$BV18/(基本属性!$A18/(基本属性!$AS18*1/3600))*材料产出!$D18</f>
        <v>0</v>
      </c>
    </row>
    <row r="4284" spans="1:4" ht="16.5" hidden="1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314">
        <f>材料产出!$BV19/(基本属性!$A19/(基本属性!$AS19*1/3600))*材料产出!$D19</f>
        <v>0</v>
      </c>
    </row>
    <row r="4285" spans="1:4" ht="16.5" hidden="1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314">
        <f>材料产出!$BV20/(基本属性!$A20/(基本属性!$AS20*1/3600))*材料产出!$D20</f>
        <v>0</v>
      </c>
    </row>
    <row r="4286" spans="1:4" ht="16.5" hidden="1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314">
        <f>材料产出!$BV21/(基本属性!$A21/(基本属性!$AS21*1/3600))*材料产出!$D21</f>
        <v>0</v>
      </c>
    </row>
    <row r="4287" spans="1:4" ht="16.5" hidden="1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314">
        <f>材料产出!$BV22/(基本属性!$A22/(基本属性!$AS22*1/3600))*材料产出!$D22</f>
        <v>0</v>
      </c>
    </row>
    <row r="4288" spans="1:4" ht="16.5" hidden="1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314">
        <f>材料产出!$BV23/(基本属性!$A23/(基本属性!$AS23*1/3600))*材料产出!$D23</f>
        <v>0</v>
      </c>
    </row>
    <row r="4289" spans="1:4" ht="16.5" hidden="1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314">
        <f>材料产出!$BV24/(基本属性!$A24/(基本属性!$AS24*1/3600))*材料产出!$D24</f>
        <v>0</v>
      </c>
    </row>
    <row r="4290" spans="1:4" ht="16.5" hidden="1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314">
        <f>材料产出!$BV25/(基本属性!$A25/(基本属性!$AS25*1/3600))*材料产出!$D25</f>
        <v>0</v>
      </c>
    </row>
    <row r="4291" spans="1:4" ht="16.5" hidden="1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314">
        <f>材料产出!$BV26/(基本属性!$A26/(基本属性!$AS26*1/3600))*材料产出!$D26</f>
        <v>0</v>
      </c>
    </row>
    <row r="4292" spans="1:4" ht="16.5" hidden="1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314">
        <f>材料产出!$BV27/(基本属性!$A27/(基本属性!$AS27*1/3600))*材料产出!$D27</f>
        <v>0</v>
      </c>
    </row>
    <row r="4293" spans="1:4" ht="16.5" hidden="1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314">
        <f>材料产出!$BV28/(基本属性!$A28/(基本属性!$AS28*1/3600))*材料产出!$D28</f>
        <v>0</v>
      </c>
    </row>
    <row r="4294" spans="1:4" ht="16.5" hidden="1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314">
        <f>材料产出!$BV29/(基本属性!$A29/(基本属性!$AS29*1/3600))*材料产出!$D29</f>
        <v>0</v>
      </c>
    </row>
    <row r="4295" spans="1:4" ht="16.5" hidden="1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314">
        <f>材料产出!$BV30/(基本属性!$A30/(基本属性!$AS30*1/3600))*材料产出!$D30</f>
        <v>0</v>
      </c>
    </row>
    <row r="4296" spans="1:4" ht="16.5" hidden="1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314">
        <f>材料产出!$BT4/(基本属性!$A4/(基本属性!$AS4*1/3600))*材料产出!$D4</f>
        <v>0</v>
      </c>
    </row>
    <row r="4297" spans="1:4" ht="16.5" hidden="1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314">
        <f>材料产出!$BT5/(基本属性!$A5/(基本属性!$AS5*1/3600))*材料产出!$D5</f>
        <v>0</v>
      </c>
    </row>
    <row r="4298" spans="1:4" ht="16.5" hidden="1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314">
        <f>材料产出!$BT6/(基本属性!$A6/(基本属性!$AS6*1/3600))*材料产出!$D6</f>
        <v>0</v>
      </c>
    </row>
    <row r="4299" spans="1:4" ht="16.5" hidden="1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314">
        <f>材料产出!$BT7/(基本属性!$A7/(基本属性!$AS7*1/3600))*材料产出!$D7</f>
        <v>0</v>
      </c>
    </row>
    <row r="4300" spans="1:4" ht="16.5" hidden="1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314">
        <f>材料产出!$BT8/(基本属性!$A8/(基本属性!$AS8*1/3600))*材料产出!$D8</f>
        <v>0</v>
      </c>
    </row>
    <row r="4301" spans="1:4" ht="16.5" hidden="1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314">
        <f>材料产出!$BT9/(基本属性!$A9/(基本属性!$AS9*1/3600))*材料产出!$D9</f>
        <v>0</v>
      </c>
    </row>
    <row r="4302" spans="1:4" ht="16.5" hidden="1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314">
        <f>材料产出!$BT10/(基本属性!$A10/(基本属性!$AS10*1/3600))*材料产出!$D10</f>
        <v>0</v>
      </c>
    </row>
    <row r="4303" spans="1:4" ht="16.5" hidden="1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314">
        <f>材料产出!$BT11/(基本属性!$A11/(基本属性!$AS11*1/3600))*材料产出!$D11</f>
        <v>0</v>
      </c>
    </row>
    <row r="4304" spans="1:4" ht="16.5" hidden="1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314">
        <f>材料产出!$BT12/(基本属性!$A12/(基本属性!$AS12*1/3600))*材料产出!$D12</f>
        <v>0</v>
      </c>
    </row>
    <row r="4305" spans="1:4" ht="16.5" hidden="1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314">
        <f>材料产出!$BT13/(基本属性!$A13/(基本属性!$AS13*1/3600))*材料产出!$D13</f>
        <v>0</v>
      </c>
    </row>
    <row r="4306" spans="1:4" ht="16.5" hidden="1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314">
        <f>材料产出!$BT14/(基本属性!$A14/(基本属性!$AS14*1/3600))*材料产出!$D14</f>
        <v>0</v>
      </c>
    </row>
    <row r="4307" spans="1:4" ht="16.5" hidden="1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314">
        <f>材料产出!$BT15/(基本属性!$A15/(基本属性!$AS15*1/3600))*材料产出!$D15</f>
        <v>0</v>
      </c>
    </row>
    <row r="4308" spans="1:4" ht="16.5" hidden="1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314">
        <f>材料产出!$BT16/(基本属性!$A16/(基本属性!$AS16*1/3600))*材料产出!$D16</f>
        <v>0</v>
      </c>
    </row>
    <row r="4309" spans="1:4" ht="16.5" hidden="1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314">
        <f>材料产出!$BT17/(基本属性!$A17/(基本属性!$AS17*1/3600))*材料产出!$D17</f>
        <v>0</v>
      </c>
    </row>
    <row r="4310" spans="1:4" ht="16.5" hidden="1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314">
        <f>材料产出!$BT18/(基本属性!$A18/(基本属性!$AS18*1/3600))*材料产出!$D18</f>
        <v>0</v>
      </c>
    </row>
    <row r="4311" spans="1:4" ht="16.5" hidden="1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314">
        <f>材料产出!$BT19/(基本属性!$A19/(基本属性!$AS19*1/3600))*材料产出!$D19</f>
        <v>0</v>
      </c>
    </row>
    <row r="4312" spans="1:4" ht="16.5" hidden="1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314">
        <f>材料产出!$BT20/(基本属性!$A20/(基本属性!$AS20*1/3600))*材料产出!$D20</f>
        <v>0</v>
      </c>
    </row>
    <row r="4313" spans="1:4" ht="16.5" hidden="1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314">
        <f>材料产出!$BT21/(基本属性!$A21/(基本属性!$AS21*1/3600))*材料产出!$D21</f>
        <v>0</v>
      </c>
    </row>
    <row r="4314" spans="1:4" ht="16.5" hidden="1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314">
        <f>材料产出!$BT22/(基本属性!$A22/(基本属性!$AS22*1/3600))*材料产出!$D22</f>
        <v>0</v>
      </c>
    </row>
    <row r="4315" spans="1:4" ht="16.5" hidden="1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314">
        <f>材料产出!$BT23/(基本属性!$A23/(基本属性!$AS23*1/3600))*材料产出!$D23</f>
        <v>0</v>
      </c>
    </row>
    <row r="4316" spans="1:4" ht="16.5" hidden="1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314">
        <f>材料产出!$BT24/(基本属性!$A24/(基本属性!$AS24*1/3600))*材料产出!$D24</f>
        <v>0</v>
      </c>
    </row>
    <row r="4317" spans="1:4" ht="16.5" hidden="1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314">
        <f>材料产出!$BT25/(基本属性!$A25/(基本属性!$AS25*1/3600))*材料产出!$D25</f>
        <v>0</v>
      </c>
    </row>
    <row r="4318" spans="1:4" ht="16.5" hidden="1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314">
        <f>材料产出!$BT26/(基本属性!$A26/(基本属性!$AS26*1/3600))*材料产出!$D26</f>
        <v>0</v>
      </c>
    </row>
    <row r="4319" spans="1:4" ht="16.5" hidden="1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314">
        <f>材料产出!$BT27/(基本属性!$A27/(基本属性!$AS27*1/3600))*材料产出!$D27</f>
        <v>0</v>
      </c>
    </row>
    <row r="4320" spans="1:4" ht="16.5" hidden="1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314">
        <f>材料产出!$BT28/(基本属性!$A28/(基本属性!$AS28*1/3600))*材料产出!$D28</f>
        <v>0</v>
      </c>
    </row>
    <row r="4321" spans="1:4" ht="16.5" hidden="1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314">
        <f>材料产出!$BT29/(基本属性!$A29/(基本属性!$AS29*1/3600))*材料产出!$D29</f>
        <v>0</v>
      </c>
    </row>
    <row r="4322" spans="1:4" ht="16.5" hidden="1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314">
        <f>材料产出!$BT30/(基本属性!$A30/(基本属性!$AS30*1/3600))*材料产出!$D30</f>
        <v>0</v>
      </c>
    </row>
    <row r="4323" spans="1:4" ht="16.5" hidden="1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314">
        <f>材料产出!$BR4/(基本属性!$A4/(基本属性!$AS4*1/3600))*材料产出!$D4</f>
        <v>0</v>
      </c>
    </row>
    <row r="4324" spans="1:4" ht="16.5" hidden="1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314">
        <f>材料产出!$BR5/(基本属性!$A5/(基本属性!$AS5*1/3600))*材料产出!$D5</f>
        <v>0</v>
      </c>
    </row>
    <row r="4325" spans="1:4" ht="16.5" hidden="1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314">
        <f>材料产出!$BR6/(基本属性!$A6/(基本属性!$AS6*1/3600))*材料产出!$D6</f>
        <v>0</v>
      </c>
    </row>
    <row r="4326" spans="1:4" ht="16.5" hidden="1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314">
        <f>材料产出!$BR7/(基本属性!$A7/(基本属性!$AS7*1/3600))*材料产出!$D7</f>
        <v>0</v>
      </c>
    </row>
    <row r="4327" spans="1:4" ht="16.5" hidden="1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314">
        <f>材料产出!$BR8/(基本属性!$A8/(基本属性!$AS8*1/3600))*材料产出!$D8</f>
        <v>0</v>
      </c>
    </row>
    <row r="4328" spans="1:4" ht="16.5" hidden="1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314">
        <f>材料产出!$BR9/(基本属性!$A9/(基本属性!$AS9*1/3600))*材料产出!$D9</f>
        <v>0</v>
      </c>
    </row>
    <row r="4329" spans="1:4" ht="16.5" hidden="1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314">
        <f>材料产出!$BR10/(基本属性!$A10/(基本属性!$AS10*1/3600))*材料产出!$D10</f>
        <v>0</v>
      </c>
    </row>
    <row r="4330" spans="1:4" ht="16.5" hidden="1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314">
        <f>材料产出!$BR11/(基本属性!$A11/(基本属性!$AS11*1/3600))*材料产出!$D11</f>
        <v>0</v>
      </c>
    </row>
    <row r="4331" spans="1:4" ht="16.5" hidden="1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314">
        <f>材料产出!$BR12/(基本属性!$A12/(基本属性!$AS12*1/3600))*材料产出!$D12</f>
        <v>0</v>
      </c>
    </row>
    <row r="4332" spans="1:4" ht="16.5" hidden="1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314">
        <f>材料产出!$BR13/(基本属性!$A13/(基本属性!$AS13*1/3600))*材料产出!$D13</f>
        <v>0</v>
      </c>
    </row>
    <row r="4333" spans="1:4" ht="16.5" hidden="1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314">
        <f>材料产出!$BR14/(基本属性!$A14/(基本属性!$AS14*1/3600))*材料产出!$D14</f>
        <v>0</v>
      </c>
    </row>
    <row r="4334" spans="1:4" ht="16.5" hidden="1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314">
        <f>材料产出!$BR15/(基本属性!$A15/(基本属性!$AS15*1/3600))*材料产出!$D15</f>
        <v>0</v>
      </c>
    </row>
    <row r="4335" spans="1:4" ht="16.5" hidden="1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314">
        <f>材料产出!$BR16/(基本属性!$A16/(基本属性!$AS16*1/3600))*材料产出!$D16</f>
        <v>0</v>
      </c>
    </row>
    <row r="4336" spans="1:4" ht="16.5" hidden="1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314">
        <f>材料产出!$BR17/(基本属性!$A17/(基本属性!$AS17*1/3600))*材料产出!$D17</f>
        <v>0</v>
      </c>
    </row>
    <row r="4337" spans="1:4" ht="16.5" hidden="1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314">
        <f>材料产出!$BR18/(基本属性!$A18/(基本属性!$AS18*1/3600))*材料产出!$D18</f>
        <v>0</v>
      </c>
    </row>
    <row r="4338" spans="1:4" ht="16.5" hidden="1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314">
        <f>材料产出!$BR19/(基本属性!$A19/(基本属性!$AS19*1/3600))*材料产出!$D19</f>
        <v>0</v>
      </c>
    </row>
    <row r="4339" spans="1:4" ht="16.5" hidden="1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314">
        <f>材料产出!$BR20/(基本属性!$A20/(基本属性!$AS20*1/3600))*材料产出!$D20</f>
        <v>0</v>
      </c>
    </row>
    <row r="4340" spans="1:4" ht="16.5" hidden="1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314">
        <f>材料产出!$BR21/(基本属性!$A21/(基本属性!$AS21*1/3600))*材料产出!$D21</f>
        <v>0</v>
      </c>
    </row>
    <row r="4341" spans="1:4" ht="16.5" hidden="1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314">
        <f>材料产出!$BR22/(基本属性!$A22/(基本属性!$AS22*1/3600))*材料产出!$D22</f>
        <v>0</v>
      </c>
    </row>
    <row r="4342" spans="1:4" ht="16.5" hidden="1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314">
        <f>材料产出!$BR23/(基本属性!$A23/(基本属性!$AS23*1/3600))*材料产出!$D23</f>
        <v>0</v>
      </c>
    </row>
    <row r="4343" spans="1:4" ht="16.5" hidden="1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314">
        <f>材料产出!$BR24/(基本属性!$A24/(基本属性!$AS24*1/3600))*材料产出!$D24</f>
        <v>0</v>
      </c>
    </row>
    <row r="4344" spans="1:4" ht="16.5" hidden="1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314">
        <f>材料产出!$BR25/(基本属性!$A25/(基本属性!$AS25*1/3600))*材料产出!$D25</f>
        <v>0</v>
      </c>
    </row>
    <row r="4345" spans="1:4" ht="16.5" hidden="1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314">
        <f>材料产出!$BR26/(基本属性!$A26/(基本属性!$AS26*1/3600))*材料产出!$D26</f>
        <v>0</v>
      </c>
    </row>
    <row r="4346" spans="1:4" ht="16.5" hidden="1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314">
        <f>材料产出!$BR27/(基本属性!$A27/(基本属性!$AS27*1/3600))*材料产出!$D27</f>
        <v>0</v>
      </c>
    </row>
    <row r="4347" spans="1:4" ht="16.5" hidden="1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314">
        <f>材料产出!$BR28/(基本属性!$A28/(基本属性!$AS28*1/3600))*材料产出!$D28</f>
        <v>0</v>
      </c>
    </row>
    <row r="4348" spans="1:4" ht="16.5" hidden="1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314">
        <f>材料产出!$BR29/(基本属性!$A29/(基本属性!$AS29*1/3600))*材料产出!$D29</f>
        <v>0</v>
      </c>
    </row>
    <row r="4349" spans="1:4" ht="16.5" hidden="1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314">
        <f>材料产出!$BR30/(基本属性!$A30/(基本属性!$AS30*1/3600))*材料产出!$D30</f>
        <v>0</v>
      </c>
    </row>
    <row r="4350" spans="1:4" ht="16.5" hidden="1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314">
        <f>材料产出!$BP4/(基本属性!$A4/(基本属性!$AS4*1/3600))*材料产出!$D4</f>
        <v>0</v>
      </c>
    </row>
    <row r="4351" spans="1:4" ht="16.5" hidden="1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314">
        <f>材料产出!$BP5/(基本属性!$A5/(基本属性!$AS5*1/3600))*材料产出!$D5</f>
        <v>0</v>
      </c>
    </row>
    <row r="4352" spans="1:4" ht="16.5" hidden="1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314">
        <f>材料产出!$BP6/(基本属性!$A6/(基本属性!$AS6*1/3600))*材料产出!$D6</f>
        <v>0</v>
      </c>
    </row>
    <row r="4353" spans="1:4" ht="16.5" hidden="1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314">
        <f>材料产出!$BP7/(基本属性!$A7/(基本属性!$AS7*1/3600))*材料产出!$D7</f>
        <v>0</v>
      </c>
    </row>
    <row r="4354" spans="1:4" ht="16.5" hidden="1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314">
        <f>材料产出!$BP8/(基本属性!$A8/(基本属性!$AS8*1/3600))*材料产出!$D8</f>
        <v>0</v>
      </c>
    </row>
    <row r="4355" spans="1:4" ht="16.5" hidden="1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314">
        <f>材料产出!$BP9/(基本属性!$A9/(基本属性!$AS9*1/3600))*材料产出!$D9</f>
        <v>0</v>
      </c>
    </row>
    <row r="4356" spans="1:4" ht="16.5" hidden="1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314">
        <f>材料产出!$BP10/(基本属性!$A10/(基本属性!$AS10*1/3600))*材料产出!$D10</f>
        <v>0</v>
      </c>
    </row>
    <row r="4357" spans="1:4" ht="16.5" hidden="1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314">
        <f>材料产出!$BP11/(基本属性!$A11/(基本属性!$AS11*1/3600))*材料产出!$D11</f>
        <v>0</v>
      </c>
    </row>
    <row r="4358" spans="1:4" ht="16.5" hidden="1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314">
        <f>材料产出!$BP12/(基本属性!$A12/(基本属性!$AS12*1/3600))*材料产出!$D12</f>
        <v>0</v>
      </c>
    </row>
    <row r="4359" spans="1:4" ht="16.5" hidden="1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314">
        <f>材料产出!$BP13/(基本属性!$A13/(基本属性!$AS13*1/3600))*材料产出!$D13</f>
        <v>0</v>
      </c>
    </row>
    <row r="4360" spans="1:4" ht="16.5" hidden="1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314">
        <f>材料产出!$BP14/(基本属性!$A14/(基本属性!$AS14*1/3600))*材料产出!$D14</f>
        <v>0</v>
      </c>
    </row>
    <row r="4361" spans="1:4" ht="16.5" hidden="1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314">
        <f>材料产出!$BP15/(基本属性!$A15/(基本属性!$AS15*1/3600))*材料产出!$D15</f>
        <v>0</v>
      </c>
    </row>
    <row r="4362" spans="1:4" ht="16.5" hidden="1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314">
        <f>材料产出!$BP16/(基本属性!$A16/(基本属性!$AS16*1/3600))*材料产出!$D16</f>
        <v>0</v>
      </c>
    </row>
    <row r="4363" spans="1:4" ht="16.5" hidden="1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314">
        <f>材料产出!$BP17/(基本属性!$A17/(基本属性!$AS17*1/3600))*材料产出!$D17</f>
        <v>0</v>
      </c>
    </row>
    <row r="4364" spans="1:4" ht="16.5" hidden="1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314">
        <f>材料产出!$BP18/(基本属性!$A18/(基本属性!$AS18*1/3600))*材料产出!$D18</f>
        <v>0</v>
      </c>
    </row>
    <row r="4365" spans="1:4" ht="16.5" hidden="1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314">
        <f>材料产出!$BP19/(基本属性!$A19/(基本属性!$AS19*1/3600))*材料产出!$D19</f>
        <v>0</v>
      </c>
    </row>
    <row r="4366" spans="1:4" ht="16.5" hidden="1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314">
        <f>材料产出!$BP20/(基本属性!$A20/(基本属性!$AS20*1/3600))*材料产出!$D20</f>
        <v>0</v>
      </c>
    </row>
    <row r="4367" spans="1:4" ht="16.5" hidden="1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314">
        <f>材料产出!$BP21/(基本属性!$A21/(基本属性!$AS21*1/3600))*材料产出!$D21</f>
        <v>0</v>
      </c>
    </row>
    <row r="4368" spans="1:4" ht="16.5" hidden="1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314">
        <f>材料产出!$BP22/(基本属性!$A22/(基本属性!$AS22*1/3600))*材料产出!$D22</f>
        <v>0</v>
      </c>
    </row>
    <row r="4369" spans="1:4" ht="16.5" hidden="1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314">
        <f>材料产出!$BP23/(基本属性!$A23/(基本属性!$AS23*1/3600))*材料产出!$D23</f>
        <v>0</v>
      </c>
    </row>
    <row r="4370" spans="1:4" ht="16.5" hidden="1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314">
        <f>材料产出!$BP24/(基本属性!$A24/(基本属性!$AS24*1/3600))*材料产出!$D24</f>
        <v>0</v>
      </c>
    </row>
    <row r="4371" spans="1:4" ht="16.5" hidden="1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314">
        <f>材料产出!$BP25/(基本属性!$A25/(基本属性!$AS25*1/3600))*材料产出!$D25</f>
        <v>0</v>
      </c>
    </row>
    <row r="4372" spans="1:4" ht="16.5" hidden="1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314">
        <f>材料产出!$BP26/(基本属性!$A26/(基本属性!$AS26*1/3600))*材料产出!$D26</f>
        <v>0</v>
      </c>
    </row>
    <row r="4373" spans="1:4" ht="16.5" hidden="1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314">
        <f>材料产出!$BP27/(基本属性!$A27/(基本属性!$AS27*1/3600))*材料产出!$D27</f>
        <v>0</v>
      </c>
    </row>
    <row r="4374" spans="1:4" ht="16.5" hidden="1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314">
        <f>材料产出!$BP28/(基本属性!$A28/(基本属性!$AS28*1/3600))*材料产出!$D28</f>
        <v>0</v>
      </c>
    </row>
    <row r="4375" spans="1:4" ht="16.5" hidden="1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314">
        <f>材料产出!$BP29/(基本属性!$A29/(基本属性!$AS29*1/3600))*材料产出!$D29</f>
        <v>0</v>
      </c>
    </row>
    <row r="4376" spans="1:4" ht="16.5" hidden="1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314">
        <f>材料产出!$BP30/(基本属性!$A30/(基本属性!$AS30*1/3600))*材料产出!$D30</f>
        <v>0</v>
      </c>
    </row>
    <row r="4377" spans="1:4" ht="16.5" hidden="1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314">
        <f>材料产出!$BN4/(基本属性!$A4/(基本属性!$AS4*1/3600))*材料产出!$D4</f>
        <v>0</v>
      </c>
    </row>
    <row r="4378" spans="1:4" ht="16.5" hidden="1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314">
        <f>材料产出!$BN5/(基本属性!$A5/(基本属性!$AS5*1/3600))*材料产出!$D5</f>
        <v>0</v>
      </c>
    </row>
    <row r="4379" spans="1:4" ht="16.5" hidden="1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314">
        <f>材料产出!$BN6/(基本属性!$A6/(基本属性!$AS6*1/3600))*材料产出!$D6</f>
        <v>0</v>
      </c>
    </row>
    <row r="4380" spans="1:4" ht="16.5" hidden="1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314">
        <f>材料产出!$BN7/(基本属性!$A7/(基本属性!$AS7*1/3600))*材料产出!$D7</f>
        <v>0</v>
      </c>
    </row>
    <row r="4381" spans="1:4" ht="16.5" hidden="1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314">
        <f>材料产出!$BN8/(基本属性!$A8/(基本属性!$AS8*1/3600))*材料产出!$D8</f>
        <v>0</v>
      </c>
    </row>
    <row r="4382" spans="1:4" ht="16.5" hidden="1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314">
        <f>材料产出!$BN9/(基本属性!$A9/(基本属性!$AS9*1/3600))*材料产出!$D9</f>
        <v>0</v>
      </c>
    </row>
    <row r="4383" spans="1:4" ht="16.5" hidden="1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314">
        <f>材料产出!$BN10/(基本属性!$A10/(基本属性!$AS10*1/3600))*材料产出!$D10</f>
        <v>0</v>
      </c>
    </row>
    <row r="4384" spans="1:4" ht="16.5" hidden="1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314">
        <f>材料产出!$BN11/(基本属性!$A11/(基本属性!$AS11*1/3600))*材料产出!$D11</f>
        <v>0</v>
      </c>
    </row>
    <row r="4385" spans="1:4" ht="16.5" hidden="1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314">
        <f>材料产出!$BN12/(基本属性!$A12/(基本属性!$AS12*1/3600))*材料产出!$D12</f>
        <v>0</v>
      </c>
    </row>
    <row r="4386" spans="1:4" ht="16.5" hidden="1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314">
        <f>材料产出!$BN13/(基本属性!$A13/(基本属性!$AS13*1/3600))*材料产出!$D13</f>
        <v>0</v>
      </c>
    </row>
    <row r="4387" spans="1:4" ht="16.5" hidden="1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314">
        <f>材料产出!$BN14/(基本属性!$A14/(基本属性!$AS14*1/3600))*材料产出!$D14</f>
        <v>0</v>
      </c>
    </row>
    <row r="4388" spans="1:4" ht="16.5" hidden="1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314">
        <f>材料产出!$BN15/(基本属性!$A15/(基本属性!$AS15*1/3600))*材料产出!$D15</f>
        <v>0</v>
      </c>
    </row>
    <row r="4389" spans="1:4" ht="16.5" hidden="1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314">
        <f>材料产出!$BN16/(基本属性!$A16/(基本属性!$AS16*1/3600))*材料产出!$D16</f>
        <v>0</v>
      </c>
    </row>
    <row r="4390" spans="1:4" ht="16.5" hidden="1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314">
        <f>材料产出!$BN17/(基本属性!$A17/(基本属性!$AS17*1/3600))*材料产出!$D17</f>
        <v>0</v>
      </c>
    </row>
    <row r="4391" spans="1:4" ht="16.5" hidden="1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314">
        <f>材料产出!$BN18/(基本属性!$A18/(基本属性!$AS18*1/3600))*材料产出!$D18</f>
        <v>0</v>
      </c>
    </row>
    <row r="4392" spans="1:4" ht="16.5" hidden="1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314">
        <f>材料产出!$BN19/(基本属性!$A19/(基本属性!$AS19*1/3600))*材料产出!$D19</f>
        <v>0</v>
      </c>
    </row>
    <row r="4393" spans="1:4" ht="16.5" hidden="1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314">
        <f>材料产出!$BN20/(基本属性!$A20/(基本属性!$AS20*1/3600))*材料产出!$D20</f>
        <v>0</v>
      </c>
    </row>
    <row r="4394" spans="1:4" ht="16.5" hidden="1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314">
        <f>材料产出!$BN21/(基本属性!$A21/(基本属性!$AS21*1/3600))*材料产出!$D21</f>
        <v>0</v>
      </c>
    </row>
    <row r="4395" spans="1:4" ht="16.5" hidden="1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314">
        <f>材料产出!$BN22/(基本属性!$A22/(基本属性!$AS22*1/3600))*材料产出!$D22</f>
        <v>0</v>
      </c>
    </row>
    <row r="4396" spans="1:4" ht="16.5" hidden="1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314">
        <f>材料产出!$BN23/(基本属性!$A23/(基本属性!$AS23*1/3600))*材料产出!$D23</f>
        <v>0</v>
      </c>
    </row>
    <row r="4397" spans="1:4" ht="16.5" hidden="1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314">
        <f>材料产出!$BN24/(基本属性!$A24/(基本属性!$AS24*1/3600))*材料产出!$D24</f>
        <v>0</v>
      </c>
    </row>
    <row r="4398" spans="1:4" ht="16.5" hidden="1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314">
        <f>材料产出!$BN25/(基本属性!$A25/(基本属性!$AS25*1/3600))*材料产出!$D25</f>
        <v>0</v>
      </c>
    </row>
    <row r="4399" spans="1:4" ht="16.5" hidden="1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314">
        <f>材料产出!$BN26/(基本属性!$A26/(基本属性!$AS26*1/3600))*材料产出!$D26</f>
        <v>0</v>
      </c>
    </row>
    <row r="4400" spans="1:4" ht="16.5" hidden="1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314">
        <f>材料产出!$BN27/(基本属性!$A27/(基本属性!$AS27*1/3600))*材料产出!$D27</f>
        <v>0</v>
      </c>
    </row>
    <row r="4401" spans="1:4" ht="16.5" hidden="1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314">
        <f>材料产出!$BN28/(基本属性!$A28/(基本属性!$AS28*1/3600))*材料产出!$D28</f>
        <v>0</v>
      </c>
    </row>
    <row r="4402" spans="1:4" ht="16.5" hidden="1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314">
        <f>材料产出!$BN29/(基本属性!$A29/(基本属性!$AS29*1/3600))*材料产出!$D29</f>
        <v>0</v>
      </c>
    </row>
    <row r="4403" spans="1:4" ht="16.5" hidden="1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314">
        <f>材料产出!$BN30/(基本属性!$A30/(基本属性!$AS30*1/3600))*材料产出!$D30</f>
        <v>0</v>
      </c>
    </row>
    <row r="4404" spans="1:4" ht="16.5" hidden="1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314">
        <f>材料产出!$BL4/(基本属性!$A4/(基本属性!$AS4*1/3600))*材料产出!$D4</f>
        <v>0</v>
      </c>
    </row>
    <row r="4405" spans="1:4" ht="16.5" hidden="1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314">
        <f>材料产出!$BL5/(基本属性!$A5/(基本属性!$AS5*1/3600))*材料产出!$D5</f>
        <v>0</v>
      </c>
    </row>
    <row r="4406" spans="1:4" ht="16.5" hidden="1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314">
        <f>材料产出!$BL6/(基本属性!$A6/(基本属性!$AS6*1/3600))*材料产出!$D6</f>
        <v>0</v>
      </c>
    </row>
    <row r="4407" spans="1:4" ht="16.5" hidden="1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314">
        <f>材料产出!$BL7/(基本属性!$A7/(基本属性!$AS7*1/3600))*材料产出!$D7</f>
        <v>0</v>
      </c>
    </row>
    <row r="4408" spans="1:4" ht="16.5" hidden="1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314">
        <f>材料产出!$BL8/(基本属性!$A8/(基本属性!$AS8*1/3600))*材料产出!$D8</f>
        <v>0</v>
      </c>
    </row>
    <row r="4409" spans="1:4" ht="16.5" hidden="1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314">
        <f>材料产出!$BL9/(基本属性!$A9/(基本属性!$AS9*1/3600))*材料产出!$D9</f>
        <v>0</v>
      </c>
    </row>
    <row r="4410" spans="1:4" ht="16.5" hidden="1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314">
        <f>材料产出!$BL10/(基本属性!$A10/(基本属性!$AS10*1/3600))*材料产出!$D10</f>
        <v>0</v>
      </c>
    </row>
    <row r="4411" spans="1:4" ht="16.5" hidden="1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314">
        <f>材料产出!$BL11/(基本属性!$A11/(基本属性!$AS11*1/3600))*材料产出!$D11</f>
        <v>0</v>
      </c>
    </row>
    <row r="4412" spans="1:4" ht="16.5" hidden="1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314">
        <f>材料产出!$BL12/(基本属性!$A12/(基本属性!$AS12*1/3600))*材料产出!$D12</f>
        <v>0</v>
      </c>
    </row>
    <row r="4413" spans="1:4" ht="16.5" hidden="1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314">
        <f>材料产出!$BL13/(基本属性!$A13/(基本属性!$AS13*1/3600))*材料产出!$D13</f>
        <v>0</v>
      </c>
    </row>
    <row r="4414" spans="1:4" ht="16.5" hidden="1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314">
        <f>材料产出!$BL14/(基本属性!$A14/(基本属性!$AS14*1/3600))*材料产出!$D14</f>
        <v>0</v>
      </c>
    </row>
    <row r="4415" spans="1:4" ht="16.5" hidden="1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314">
        <f>材料产出!$BL15/(基本属性!$A15/(基本属性!$AS15*1/3600))*材料产出!$D15</f>
        <v>0</v>
      </c>
    </row>
    <row r="4416" spans="1:4" ht="16.5" hidden="1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314">
        <f>材料产出!$BL16/(基本属性!$A16/(基本属性!$AS16*1/3600))*材料产出!$D16</f>
        <v>0</v>
      </c>
    </row>
    <row r="4417" spans="1:4" ht="16.5" hidden="1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314">
        <f>材料产出!$BL17/(基本属性!$A17/(基本属性!$AS17*1/3600))*材料产出!$D17</f>
        <v>0</v>
      </c>
    </row>
    <row r="4418" spans="1:4" ht="16.5" hidden="1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314">
        <f>材料产出!$BL18/(基本属性!$A18/(基本属性!$AS18*1/3600))*材料产出!$D18</f>
        <v>0</v>
      </c>
    </row>
    <row r="4419" spans="1:4" ht="16.5" hidden="1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314">
        <f>材料产出!$BL19/(基本属性!$A19/(基本属性!$AS19*1/3600))*材料产出!$D19</f>
        <v>0</v>
      </c>
    </row>
    <row r="4420" spans="1:4" ht="16.5" hidden="1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314">
        <f>材料产出!$BL20/(基本属性!$A20/(基本属性!$AS20*1/3600))*材料产出!$D20</f>
        <v>0</v>
      </c>
    </row>
    <row r="4421" spans="1:4" ht="16.5" hidden="1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314">
        <f>材料产出!$BL21/(基本属性!$A21/(基本属性!$AS21*1/3600))*材料产出!$D21</f>
        <v>0</v>
      </c>
    </row>
    <row r="4422" spans="1:4" ht="16.5" hidden="1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314">
        <f>材料产出!$BL22/(基本属性!$A22/(基本属性!$AS22*1/3600))*材料产出!$D22</f>
        <v>0</v>
      </c>
    </row>
    <row r="4423" spans="1:4" ht="16.5" hidden="1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314">
        <f>材料产出!$BL23/(基本属性!$A23/(基本属性!$AS23*1/3600))*材料产出!$D23</f>
        <v>0</v>
      </c>
    </row>
    <row r="4424" spans="1:4" ht="16.5" hidden="1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314">
        <f>材料产出!$BL24/(基本属性!$A24/(基本属性!$AS24*1/3600))*材料产出!$D24</f>
        <v>0</v>
      </c>
    </row>
    <row r="4425" spans="1:4" ht="16.5" hidden="1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314">
        <f>材料产出!$BL25/(基本属性!$A25/(基本属性!$AS25*1/3600))*材料产出!$D25</f>
        <v>0</v>
      </c>
    </row>
    <row r="4426" spans="1:4" ht="16.5" hidden="1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314">
        <f>材料产出!$BL26/(基本属性!$A26/(基本属性!$AS26*1/3600))*材料产出!$D26</f>
        <v>0</v>
      </c>
    </row>
    <row r="4427" spans="1:4" ht="16.5" hidden="1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314">
        <f>材料产出!$BL27/(基本属性!$A27/(基本属性!$AS27*1/3600))*材料产出!$D27</f>
        <v>0</v>
      </c>
    </row>
    <row r="4428" spans="1:4" ht="16.5" hidden="1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314">
        <f>材料产出!$BL28/(基本属性!$A28/(基本属性!$AS28*1/3600))*材料产出!$D28</f>
        <v>0</v>
      </c>
    </row>
    <row r="4429" spans="1:4" ht="16.5" hidden="1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314">
        <f>材料产出!$BL29/(基本属性!$A29/(基本属性!$AS29*1/3600))*材料产出!$D29</f>
        <v>0</v>
      </c>
    </row>
    <row r="4430" spans="1:4" ht="16.5" hidden="1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314">
        <f>材料产出!$BL30/(基本属性!$A30/(基本属性!$AS30*1/3600))*材料产出!$D30</f>
        <v>0</v>
      </c>
    </row>
    <row r="4431" spans="1:4" ht="16.5" hidden="1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314">
        <f>材料产出!$BJ4/(基本属性!$A4/(基本属性!$AS4*1/3600))*材料产出!$D4</f>
        <v>0</v>
      </c>
    </row>
    <row r="4432" spans="1:4" ht="16.5" hidden="1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314">
        <f>材料产出!$BJ5/(基本属性!$A5/(基本属性!$AS5*1/3600))*材料产出!$D5</f>
        <v>0</v>
      </c>
    </row>
    <row r="4433" spans="1:4" ht="16.5" hidden="1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314">
        <f>材料产出!$BJ6/(基本属性!$A6/(基本属性!$AS6*1/3600))*材料产出!$D6</f>
        <v>0</v>
      </c>
    </row>
    <row r="4434" spans="1:4" ht="16.5" hidden="1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314">
        <f>材料产出!$BJ7/(基本属性!$A7/(基本属性!$AS7*1/3600))*材料产出!$D7</f>
        <v>0</v>
      </c>
    </row>
    <row r="4435" spans="1:4" ht="16.5" hidden="1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314">
        <f>材料产出!$BJ8/(基本属性!$A8/(基本属性!$AS8*1/3600))*材料产出!$D8</f>
        <v>0</v>
      </c>
    </row>
    <row r="4436" spans="1:4" ht="16.5" hidden="1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314">
        <f>材料产出!$BJ9/(基本属性!$A9/(基本属性!$AS9*1/3600))*材料产出!$D9</f>
        <v>0</v>
      </c>
    </row>
    <row r="4437" spans="1:4" ht="16.5" hidden="1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314">
        <f>材料产出!$BJ10/(基本属性!$A10/(基本属性!$AS10*1/3600))*材料产出!$D10</f>
        <v>0</v>
      </c>
    </row>
    <row r="4438" spans="1:4" ht="16.5" hidden="1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314">
        <f>材料产出!$BJ11/(基本属性!$A11/(基本属性!$AS11*1/3600))*材料产出!$D11</f>
        <v>0</v>
      </c>
    </row>
    <row r="4439" spans="1:4" ht="16.5" hidden="1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314">
        <f>材料产出!$BJ12/(基本属性!$A12/(基本属性!$AS12*1/3600))*材料产出!$D12</f>
        <v>0</v>
      </c>
    </row>
    <row r="4440" spans="1:4" ht="16.5" hidden="1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314">
        <f>材料产出!$BJ13/(基本属性!$A13/(基本属性!$AS13*1/3600))*材料产出!$D13</f>
        <v>0</v>
      </c>
    </row>
    <row r="4441" spans="1:4" ht="16.5" hidden="1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314">
        <f>材料产出!$BJ14/(基本属性!$A14/(基本属性!$AS14*1/3600))*材料产出!$D14</f>
        <v>0</v>
      </c>
    </row>
    <row r="4442" spans="1:4" ht="16.5" hidden="1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314">
        <f>材料产出!$BJ15/(基本属性!$A15/(基本属性!$AS15*1/3600))*材料产出!$D15</f>
        <v>0</v>
      </c>
    </row>
    <row r="4443" spans="1:4" ht="16.5" hidden="1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314">
        <f>材料产出!$BJ16/(基本属性!$A16/(基本属性!$AS16*1/3600))*材料产出!$D16</f>
        <v>0</v>
      </c>
    </row>
    <row r="4444" spans="1:4" ht="16.5" hidden="1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314">
        <f>材料产出!$BJ17/(基本属性!$A17/(基本属性!$AS17*1/3600))*材料产出!$D17</f>
        <v>0</v>
      </c>
    </row>
    <row r="4445" spans="1:4" ht="16.5" hidden="1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314">
        <f>材料产出!$BJ18/(基本属性!$A18/(基本属性!$AS18*1/3600))*材料产出!$D18</f>
        <v>0</v>
      </c>
    </row>
    <row r="4446" spans="1:4" ht="16.5" hidden="1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314">
        <f>材料产出!$BJ19/(基本属性!$A19/(基本属性!$AS19*1/3600))*材料产出!$D19</f>
        <v>0</v>
      </c>
    </row>
    <row r="4447" spans="1:4" ht="16.5" hidden="1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314">
        <f>材料产出!$BJ20/(基本属性!$A20/(基本属性!$AS20*1/3600))*材料产出!$D20</f>
        <v>0</v>
      </c>
    </row>
    <row r="4448" spans="1:4" ht="16.5" hidden="1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314">
        <f>材料产出!$BJ21/(基本属性!$A21/(基本属性!$AS21*1/3600))*材料产出!$D21</f>
        <v>0</v>
      </c>
    </row>
    <row r="4449" spans="1:4" ht="16.5" hidden="1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314">
        <f>材料产出!$BJ22/(基本属性!$A22/(基本属性!$AS22*1/3600))*材料产出!$D22</f>
        <v>0</v>
      </c>
    </row>
    <row r="4450" spans="1:4" ht="16.5" hidden="1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314">
        <f>材料产出!$BJ23/(基本属性!$A23/(基本属性!$AS23*1/3600))*材料产出!$D23</f>
        <v>0</v>
      </c>
    </row>
    <row r="4451" spans="1:4" ht="16.5" hidden="1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314">
        <f>材料产出!$BJ24/(基本属性!$A24/(基本属性!$AS24*1/3600))*材料产出!$D24</f>
        <v>0</v>
      </c>
    </row>
    <row r="4452" spans="1:4" ht="16.5" hidden="1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314">
        <f>材料产出!$BJ25/(基本属性!$A25/(基本属性!$AS25*1/3600))*材料产出!$D25</f>
        <v>0</v>
      </c>
    </row>
    <row r="4453" spans="1:4" ht="16.5" hidden="1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314">
        <f>材料产出!$BJ26/(基本属性!$A26/(基本属性!$AS26*1/3600))*材料产出!$D26</f>
        <v>0</v>
      </c>
    </row>
    <row r="4454" spans="1:4" ht="16.5" hidden="1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314">
        <f>材料产出!$BJ27/(基本属性!$A27/(基本属性!$AS27*1/3600))*材料产出!$D27</f>
        <v>0</v>
      </c>
    </row>
    <row r="4455" spans="1:4" ht="16.5" hidden="1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314">
        <f>材料产出!$BJ28/(基本属性!$A28/(基本属性!$AS28*1/3600))*材料产出!$D28</f>
        <v>0</v>
      </c>
    </row>
    <row r="4456" spans="1:4" ht="16.5" hidden="1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314">
        <f>材料产出!$BJ29/(基本属性!$A29/(基本属性!$AS29*1/3600))*材料产出!$D29</f>
        <v>0</v>
      </c>
    </row>
    <row r="4457" spans="1:4" ht="16.5" hidden="1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314">
        <f>材料产出!$BJ30/(基本属性!$A30/(基本属性!$AS30*1/3600))*材料产出!$D30</f>
        <v>0</v>
      </c>
    </row>
    <row r="4458" spans="1:4" ht="16.5" hidden="1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314">
        <f>材料产出!$BH4/(基本属性!$A4/(基本属性!$AS4*1/3600))*材料产出!$D4</f>
        <v>0</v>
      </c>
    </row>
    <row r="4459" spans="1:4" ht="16.5" hidden="1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314">
        <f>材料产出!$BH5/(基本属性!$A5/(基本属性!$AS5*1/3600))*材料产出!$D5</f>
        <v>0</v>
      </c>
    </row>
    <row r="4460" spans="1:4" ht="16.5" hidden="1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314">
        <f>材料产出!$BH6/(基本属性!$A6/(基本属性!$AS6*1/3600))*材料产出!$D6</f>
        <v>0</v>
      </c>
    </row>
    <row r="4461" spans="1:4" ht="16.5" hidden="1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314">
        <f>材料产出!$BH7/(基本属性!$A7/(基本属性!$AS7*1/3600))*材料产出!$D7</f>
        <v>0</v>
      </c>
    </row>
    <row r="4462" spans="1:4" ht="16.5" hidden="1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314">
        <f>材料产出!$BH8/(基本属性!$A8/(基本属性!$AS8*1/3600))*材料产出!$D8</f>
        <v>0</v>
      </c>
    </row>
    <row r="4463" spans="1:4" ht="16.5" hidden="1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314">
        <f>材料产出!$BH9/(基本属性!$A9/(基本属性!$AS9*1/3600))*材料产出!$D9</f>
        <v>0</v>
      </c>
    </row>
    <row r="4464" spans="1:4" ht="16.5" hidden="1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314">
        <f>材料产出!$BH10/(基本属性!$A10/(基本属性!$AS10*1/3600))*材料产出!$D10</f>
        <v>0</v>
      </c>
    </row>
    <row r="4465" spans="1:4" ht="16.5" hidden="1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314">
        <f>材料产出!$BH11/(基本属性!$A11/(基本属性!$AS11*1/3600))*材料产出!$D11</f>
        <v>0</v>
      </c>
    </row>
    <row r="4466" spans="1:4" ht="16.5" hidden="1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314">
        <f>材料产出!$BH12/(基本属性!$A12/(基本属性!$AS12*1/3600))*材料产出!$D12</f>
        <v>0</v>
      </c>
    </row>
    <row r="4467" spans="1:4" ht="16.5" hidden="1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314">
        <f>材料产出!$BH13/(基本属性!$A13/(基本属性!$AS13*1/3600))*材料产出!$D13</f>
        <v>0</v>
      </c>
    </row>
    <row r="4468" spans="1:4" ht="16.5" hidden="1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314">
        <f>材料产出!$BH14/(基本属性!$A14/(基本属性!$AS14*1/3600))*材料产出!$D14</f>
        <v>0</v>
      </c>
    </row>
    <row r="4469" spans="1:4" ht="16.5" hidden="1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314">
        <f>材料产出!$BH15/(基本属性!$A15/(基本属性!$AS15*1/3600))*材料产出!$D15</f>
        <v>0</v>
      </c>
    </row>
    <row r="4470" spans="1:4" ht="16.5" hidden="1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314">
        <f>材料产出!$BH16/(基本属性!$A16/(基本属性!$AS16*1/3600))*材料产出!$D16</f>
        <v>0</v>
      </c>
    </row>
    <row r="4471" spans="1:4" ht="16.5" hidden="1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314">
        <f>材料产出!$BH17/(基本属性!$A17/(基本属性!$AS17*1/3600))*材料产出!$D17</f>
        <v>0</v>
      </c>
    </row>
    <row r="4472" spans="1:4" ht="16.5" hidden="1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314">
        <f>材料产出!$BH18/(基本属性!$A18/(基本属性!$AS18*1/3600))*材料产出!$D18</f>
        <v>0</v>
      </c>
    </row>
    <row r="4473" spans="1:4" ht="16.5" hidden="1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314">
        <f>材料产出!$BH19/(基本属性!$A19/(基本属性!$AS19*1/3600))*材料产出!$D19</f>
        <v>0</v>
      </c>
    </row>
    <row r="4474" spans="1:4" ht="16.5" hidden="1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314">
        <f>材料产出!$BH20/(基本属性!$A20/(基本属性!$AS20*1/3600))*材料产出!$D20</f>
        <v>0</v>
      </c>
    </row>
    <row r="4475" spans="1:4" ht="16.5" hidden="1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314">
        <f>材料产出!$BH21/(基本属性!$A21/(基本属性!$AS21*1/3600))*材料产出!$D21</f>
        <v>0</v>
      </c>
    </row>
    <row r="4476" spans="1:4" ht="16.5" hidden="1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314">
        <f>材料产出!$BH22/(基本属性!$A22/(基本属性!$AS22*1/3600))*材料产出!$D22</f>
        <v>0</v>
      </c>
    </row>
    <row r="4477" spans="1:4" ht="16.5" hidden="1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314">
        <f>材料产出!$BH23/(基本属性!$A23/(基本属性!$AS23*1/3600))*材料产出!$D23</f>
        <v>0</v>
      </c>
    </row>
    <row r="4478" spans="1:4" ht="16.5" hidden="1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314">
        <f>材料产出!$BH24/(基本属性!$A24/(基本属性!$AS24*1/3600))*材料产出!$D24</f>
        <v>0</v>
      </c>
    </row>
    <row r="4479" spans="1:4" ht="16.5" hidden="1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314">
        <f>材料产出!$BH25/(基本属性!$A25/(基本属性!$AS25*1/3600))*材料产出!$D25</f>
        <v>0</v>
      </c>
    </row>
    <row r="4480" spans="1:4" ht="16.5" hidden="1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314">
        <f>材料产出!$BH26/(基本属性!$A26/(基本属性!$AS26*1/3600))*材料产出!$D26</f>
        <v>0</v>
      </c>
    </row>
    <row r="4481" spans="1:4" ht="16.5" hidden="1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314">
        <f>材料产出!$BH27/(基本属性!$A27/(基本属性!$AS27*1/3600))*材料产出!$D27</f>
        <v>0</v>
      </c>
    </row>
    <row r="4482" spans="1:4" ht="16.5" hidden="1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314">
        <f>材料产出!$BH28/(基本属性!$A28/(基本属性!$AS28*1/3600))*材料产出!$D28</f>
        <v>0</v>
      </c>
    </row>
    <row r="4483" spans="1:4" ht="16.5" hidden="1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314">
        <f>材料产出!$BH29/(基本属性!$A29/(基本属性!$AS29*1/3600))*材料产出!$D29</f>
        <v>0</v>
      </c>
    </row>
    <row r="4484" spans="1:4" ht="16.5" hidden="1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314">
        <f>材料产出!$BH30/(基本属性!$A30/(基本属性!$AS30*1/3600))*材料产出!$D30</f>
        <v>0</v>
      </c>
    </row>
    <row r="4485" spans="1:4" ht="16.5" hidden="1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313">
        <f>材料产出!$AF$4/(基本属性!$A$4/(基本属性!$AS$4*1/3600))*材料产出!$D$4</f>
        <v>2.2700463611960769E-3</v>
      </c>
    </row>
    <row r="4486" spans="1:4" ht="16.5" hidden="1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313">
        <f>材料产出!$AF$5/(基本属性!$A$5/(基本属性!$AS$5*1/3600))*材料产出!$D$5</f>
        <v>2.873027425888785E-3</v>
      </c>
    </row>
    <row r="4487" spans="1:4" ht="16.5" hidden="1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313">
        <f>材料产出!$AF$6/(基本属性!$A$6/(基本属性!$AS$6*1/3600))*材料产出!$D$6</f>
        <v>3.5469474393688698E-3</v>
      </c>
    </row>
    <row r="4488" spans="1:4" ht="16.5" hidden="1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313">
        <f>材料产出!$AF$7/(基本属性!$A$7/(基本属性!$AS$7*1/3600))*材料产出!$D$7</f>
        <v>4.2918064016363331E-3</v>
      </c>
    </row>
    <row r="4489" spans="1:4" ht="16.5" hidden="1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313">
        <f>材料产出!$AF$8/(基本属性!$A$8/(基本属性!$AS$8*1/3600))*材料产出!$D$8</f>
        <v>5.1076043126911715E-3</v>
      </c>
    </row>
    <row r="4490" spans="1:4" ht="16.5" hidden="1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313">
        <f>材料产出!$AF$9/(基本属性!$A$9/(基本属性!$AS$9*1/3600))*材料产出!$D$9</f>
        <v>5.9943411725333906E-3</v>
      </c>
    </row>
    <row r="4491" spans="1:4" ht="16.5" hidden="1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313">
        <f>材料产出!$AF$10/(基本属性!$A$10/(基本属性!$AS$10*1/3600))*材料产出!$D$10</f>
        <v>6.9520169811629843E-3</v>
      </c>
    </row>
    <row r="4492" spans="1:4" ht="16.5" hidden="1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313">
        <f>材料产出!$AF$11/(基本属性!$A$11/(基本属性!$AS$11*1/3600))*材料产出!$D$11</f>
        <v>7.9806317385799578E-3</v>
      </c>
    </row>
    <row r="4493" spans="1:4" ht="16.5" hidden="1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313">
        <f>材料产出!$AF$12/(基本属性!$A$12/(基本属性!$AS$12*1/3600))*材料产出!$D$12</f>
        <v>9.0801854447843094E-3</v>
      </c>
    </row>
    <row r="4494" spans="1:4" ht="16.5" hidden="1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313">
        <f>材料产出!$AF$13/(基本属性!$A$13/(基本属性!$AS$13*1/3600))*材料产出!$D$13</f>
        <v>1.1492109703555142E-2</v>
      </c>
    </row>
    <row r="4495" spans="1:4" ht="16.5" hidden="1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313">
        <f>材料产出!$AF$14/(基本属性!$A$14/(基本属性!$AS$14*1/3600))*材料产出!$D$14</f>
        <v>1.4187789757475479E-2</v>
      </c>
    </row>
    <row r="4496" spans="1:4" ht="16.5" hidden="1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313">
        <f>材料产出!$AF$15/(基本属性!$A$15/(基本属性!$AS$15*1/3600))*材料产出!$D$15</f>
        <v>1.7167225606545333E-2</v>
      </c>
    </row>
    <row r="4497" spans="1:4" ht="16.5" hidden="1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313">
        <f>材料产出!$AF$16/(基本属性!$A$16/(基本属性!$AS$16*1/3600))*材料产出!$D$16</f>
        <v>2.2168421496055437E-2</v>
      </c>
    </row>
    <row r="4498" spans="1:4" ht="16.5" hidden="1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313">
        <f>材料产出!$AF$17/(基本属性!$A$17/(基本属性!$AS$17*1/3600))*材料产出!$D$17</f>
        <v>3.1922526954319824E-2</v>
      </c>
    </row>
    <row r="4499" spans="1:4" ht="16.5" hidden="1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313">
        <f>材料产出!$AF$18/(基本属性!$A$18/(基本属性!$AS$18*1/3600))*材料产出!$D$18</f>
        <v>4.345010613226865E-2</v>
      </c>
    </row>
    <row r="4500" spans="1:4" ht="16.5" hidden="1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313">
        <f>材料产出!$AF$19/(基本属性!$A$19/(基本属性!$AS$19*1/3600))*材料产出!$D$19</f>
        <v>4.8557710444959837E-2</v>
      </c>
    </row>
    <row r="4501" spans="1:4" ht="16.5" hidden="1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313">
        <f>材料产出!$AF$20/(基本属性!$A$20/(基本属性!$AS$20*1/3600))*材料产出!$D$20</f>
        <v>5.6751159029901917E-2</v>
      </c>
    </row>
    <row r="4502" spans="1:4" ht="16.5" hidden="1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313">
        <f>材料产出!$AF$21/(基本属性!$A$21/(基本属性!$AS$21*1/3600))*材料产出!$D$21</f>
        <v>6.5583058153930396E-2</v>
      </c>
    </row>
    <row r="4503" spans="1:4" ht="16.5" hidden="1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313">
        <f>材料产出!$AF$22/(基本属性!$A$22/(基本属性!$AS$22*1/3600))*材料产出!$D$22</f>
        <v>7.5053407817045281E-2</v>
      </c>
    </row>
    <row r="4504" spans="1:4" ht="16.5" hidden="1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313">
        <f>材料产出!$AF$23/(基本属性!$A$23/(基本属性!$AS$23*1/3600))*材料产出!$D$23</f>
        <v>8.5162208019246594E-2</v>
      </c>
    </row>
    <row r="4505" spans="1:4" ht="16.5" hidden="1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313">
        <f>材料产出!$AF$24/(基本属性!$A$24/(基本属性!$AS$24*1/3600))*材料产出!$D$24</f>
        <v>9.5909458760534236E-2</v>
      </c>
    </row>
    <row r="4506" spans="1:4" ht="16.5" hidden="1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313">
        <f>材料产出!$AF$25/(基本属性!$A$25/(基本属性!$AS$25*1/3600))*材料产出!$D$25</f>
        <v>0.10729516004090832</v>
      </c>
    </row>
    <row r="4507" spans="1:4" ht="16.5" hidden="1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313">
        <f>材料产出!$AF$26/(基本属性!$A$26/(基本属性!$AS$26*1/3600))*材料产出!$D$26</f>
        <v>0.11931931186036879</v>
      </c>
    </row>
    <row r="4508" spans="1:4" ht="16.5" hidden="1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313">
        <f>材料产出!$AF$27/(基本属性!$A$27/(基本属性!$AS$27*1/3600))*材料产出!$D$27</f>
        <v>0.13198191421891561</v>
      </c>
    </row>
    <row r="4509" spans="1:4" ht="16.5" hidden="1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313">
        <f>材料产出!$AF$28/(基本属性!$A$28/(基本属性!$AS$28*1/3600))*材料产出!$D$28</f>
        <v>0.14528296711654895</v>
      </c>
    </row>
    <row r="4510" spans="1:4" ht="16.5" hidden="1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313">
        <f>材料产出!$AF$29/(基本属性!$A$29/(基本属性!$AS$29*1/3600))*材料产出!$D$29</f>
        <v>0.15922247055326857</v>
      </c>
    </row>
    <row r="4511" spans="1:4" ht="16.5" hidden="1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313">
        <f>材料产出!$AF$30/(基本属性!$A$30/(基本属性!$AS$30*1/3600))*材料产出!$D$30</f>
        <v>0.17380042452907465</v>
      </c>
    </row>
    <row r="4512" spans="1:4" ht="16.5" hidden="1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313">
        <f>材料产出!$T$4/(基本属性!$A$4/(基本属性!$AS$4*1/3600))*材料产出!$D$4</f>
        <v>5.9121072885159561E-4</v>
      </c>
    </row>
    <row r="4513" spans="1:4" ht="16.5" hidden="1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313">
        <f>材料产出!$T$5/(基本属性!$A$5/(基本属性!$AS$5*1/3600))*材料产出!$D$5</f>
        <v>7.4825107870280059E-4</v>
      </c>
    </row>
    <row r="4514" spans="1:4" ht="16.5" hidden="1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313">
        <f>材料产出!$T$6/(基本属性!$A$6/(基本属性!$AS$6*1/3600))*材料产出!$D$6</f>
        <v>9.2376676383061792E-4</v>
      </c>
    </row>
    <row r="4515" spans="1:4" ht="16.5" hidden="1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313">
        <f>材料产出!$T$7/(基本属性!$A$7/(基本属性!$AS$7*1/3600))*材料产出!$D$7</f>
        <v>1.1177577842350478E-3</v>
      </c>
    </row>
    <row r="4516" spans="1:4" ht="16.5" hidden="1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313">
        <f>材料产出!$T$8/(基本属性!$A$8/(基本属性!$AS$8*1/3600))*材料产出!$D$8</f>
        <v>1.3302241399160896E-3</v>
      </c>
    </row>
    <row r="4517" spans="1:4" ht="16.5" hidden="1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313">
        <f>材料产出!$T$9/(基本属性!$A$9/(基本属性!$AS$9*1/3600))*材料产出!$D$9</f>
        <v>1.5611658308737446E-3</v>
      </c>
    </row>
    <row r="4518" spans="1:4" ht="16.5" hidden="1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313">
        <f>材料产出!$T$10/(基本属性!$A$10/(基本属性!$AS$10*1/3600))*材料产出!$D$10</f>
        <v>1.8105828571080107E-3</v>
      </c>
    </row>
    <row r="4519" spans="1:4" ht="16.5" hidden="1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313">
        <f>材料产出!$T$11/(基本属性!$A$11/(基本属性!$AS$11*1/3600))*材料产出!$D$11</f>
        <v>2.0784752186188906E-3</v>
      </c>
    </row>
    <row r="4520" spans="1:4" ht="16.5" hidden="1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313">
        <f>材料产出!$T$12/(基本属性!$A$12/(基本属性!$AS$12*1/3600))*材料产出!$D$12</f>
        <v>2.3648429154063825E-3</v>
      </c>
    </row>
    <row r="4521" spans="1:4" ht="16.5" hidden="1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313">
        <f>材料产出!$T$13/(基本属性!$A$13/(基本属性!$AS$13*1/3600))*材料产出!$D$13</f>
        <v>2.9930043148112023E-3</v>
      </c>
    </row>
    <row r="4522" spans="1:4" ht="16.5" hidden="1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313">
        <f>材料产出!$T$14/(基本属性!$A$14/(基本属性!$AS$14*1/3600))*材料产出!$D$14</f>
        <v>3.6950670553224712E-3</v>
      </c>
    </row>
    <row r="4523" spans="1:4" ht="16.5" hidden="1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313">
        <f>材料产出!$T$15/(基本属性!$A$15/(基本属性!$AS$15*1/3600))*材料产出!$D$15</f>
        <v>4.4710311369401913E-3</v>
      </c>
    </row>
    <row r="4524" spans="1:4" ht="16.5" hidden="1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313">
        <f>材料产出!$T$16/(基本属性!$A$16/(基本属性!$AS$16*1/3600))*材料产出!$D$16</f>
        <v>5.7735422739413613E-3</v>
      </c>
    </row>
    <row r="4525" spans="1:4" ht="16.5" hidden="1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313">
        <f>材料产出!$T$17/(基本属性!$A$17/(基本属性!$AS$17*1/3600))*材料产出!$D$17</f>
        <v>8.3139008744755605E-3</v>
      </c>
    </row>
    <row r="4526" spans="1:4" ht="16.5" hidden="1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313">
        <f>材料产出!$T$18/(基本属性!$A$18/(基本属性!$AS$18*1/3600))*材料产出!$D$18</f>
        <v>1.1316142856925069E-2</v>
      </c>
    </row>
    <row r="4527" spans="1:4" ht="16.5" hidden="1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313">
        <f>材料产出!$T$19/(基本属性!$A$19/(基本属性!$AS$19*1/3600))*材料产出!$D$19</f>
        <v>1.2646366996841161E-2</v>
      </c>
    </row>
    <row r="4528" spans="1:4" ht="16.5" hidden="1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313">
        <f>材料产出!$T$20/(基本属性!$A$20/(基本属性!$AS$20*1/3600))*材料产出!$D$20</f>
        <v>1.4780268221289885E-2</v>
      </c>
    </row>
    <row r="4529" spans="1:4" ht="16.5" hidden="1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313">
        <f>材料产出!$T$21/(基本属性!$A$21/(基本属性!$AS$21*1/3600))*材料产出!$D$21</f>
        <v>1.7080447463228121E-2</v>
      </c>
    </row>
    <row r="4530" spans="1:4" ht="16.5" hidden="1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313">
        <f>材料产出!$T$22/(基本属性!$A$22/(基本属性!$AS$22*1/3600))*材料产出!$D$22</f>
        <v>1.9546904722655873E-2</v>
      </c>
    </row>
    <row r="4531" spans="1:4" ht="16.5" hidden="1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313">
        <f>材料产出!$T$23/(基本属性!$A$23/(基本属性!$AS$23*1/3600))*材料产出!$D$23</f>
        <v>2.2179639999573141E-2</v>
      </c>
    </row>
    <row r="4532" spans="1:4" ht="16.5" hidden="1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313">
        <f>材料产出!$T$24/(基本属性!$A$24/(基本属性!$AS$24*1/3600))*材料产出!$D$24</f>
        <v>2.497865329397991E-2</v>
      </c>
    </row>
    <row r="4533" spans="1:4" ht="16.5" hidden="1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313">
        <f>材料产出!$T$25/(基本属性!$A$25/(基本属性!$AS$25*1/3600))*材料产出!$D$25</f>
        <v>2.7943944605876195E-2</v>
      </c>
    </row>
    <row r="4534" spans="1:4" ht="16.5" hidden="1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313">
        <f>材料产出!$T$26/(基本属性!$A$26/(基本属性!$AS$26*1/3600))*材料产出!$D$26</f>
        <v>3.1075513935261985E-2</v>
      </c>
    </row>
    <row r="4535" spans="1:4" ht="16.5" hidden="1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313">
        <f>材料产出!$T$27/(基本属性!$A$27/(基本属性!$AS$27*1/3600))*材料产出!$D$27</f>
        <v>3.4373361282137284E-2</v>
      </c>
    </row>
    <row r="4536" spans="1:4" ht="16.5" hidden="1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313">
        <f>材料产出!$T$28/(基本属性!$A$28/(基本属性!$AS$28*1/3600))*材料产出!$D$28</f>
        <v>3.7837486646502112E-2</v>
      </c>
    </row>
    <row r="4537" spans="1:4" ht="16.5" hidden="1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313">
        <f>材料产出!$T$29/(基本属性!$A$29/(基本属性!$AS$29*1/3600))*材料产出!$D$29</f>
        <v>4.1467890028356443E-2</v>
      </c>
    </row>
    <row r="4538" spans="1:4" ht="16.5" hidden="1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313">
        <f>材料产出!$T$30/(基本属性!$A$30/(基本属性!$AS$30*1/3600))*材料产出!$D$30</f>
        <v>4.5264571427700281E-2</v>
      </c>
    </row>
    <row r="4539" spans="1:4" ht="16.5" hidden="1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313">
        <f>材料产出!$AZ$4/(基本属性!$A$4/(基本属性!$AS$4*1/3600))*材料产出!$D$4</f>
        <v>8.1231176692320292E-6</v>
      </c>
    </row>
    <row r="4540" spans="1:4" ht="16.5" hidden="1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313">
        <f>材料产出!$AZ$5/(基本属性!$A$5/(基本属性!$AS$5*1/3600))*材料产出!$D$5</f>
        <v>1.0280820800121789E-5</v>
      </c>
    </row>
    <row r="4541" spans="1:4" ht="16.5" hidden="1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313">
        <f>材料产出!$AZ$6/(基本属性!$A$6/(基本属性!$AS$6*1/3600))*材料产出!$D$6</f>
        <v>1.2692371358175044E-5</v>
      </c>
    </row>
    <row r="4542" spans="1:4" ht="16.5" hidden="1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313">
        <f>材料产出!$AZ$7/(基本属性!$A$7/(基本属性!$AS$7*1/3600))*材料产出!$D$7</f>
        <v>1.5357769343391804E-5</v>
      </c>
    </row>
    <row r="4543" spans="1:4" ht="16.5" hidden="1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313">
        <f>材料产出!$AZ$8/(基本属性!$A$8/(基本属性!$AS$8*1/3600))*材料产出!$D$8</f>
        <v>1.8277014755772062E-5</v>
      </c>
    </row>
    <row r="4544" spans="1:4" ht="16.5" hidden="1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313">
        <f>材料产出!$AZ$9/(基本属性!$A$9/(基本属性!$AS$9*1/3600))*材料产出!$D$9</f>
        <v>2.1450107595315825E-5</v>
      </c>
    </row>
    <row r="4545" spans="1:4" ht="16.5" hidden="1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313">
        <f>材料产出!$AZ$10/(基本属性!$A$10/(基本属性!$AS$10*1/3600))*材料产出!$D$10</f>
        <v>2.4877047862023084E-5</v>
      </c>
    </row>
    <row r="4546" spans="1:4" ht="16.5" hidden="1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313">
        <f>材料产出!$AZ$11/(基本属性!$A$11/(基本属性!$AS$11*1/3600))*材料产出!$D$11</f>
        <v>2.8557835555893848E-5</v>
      </c>
    </row>
    <row r="4547" spans="1:4" ht="16.5" hidden="1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313">
        <f>材料产出!$AZ$12/(基本属性!$A$12/(基本属性!$AS$12*1/3600))*材料产出!$D$12</f>
        <v>3.2492470676928124E-5</v>
      </c>
    </row>
    <row r="4548" spans="1:4" ht="16.5" hidden="1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313">
        <f>材料产出!$AZ$13/(基本属性!$A$13/(基本属性!$AS$13*1/3600))*材料产出!$D$13</f>
        <v>4.1123283200487142E-5</v>
      </c>
    </row>
    <row r="4549" spans="1:4" ht="16.5" hidden="1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313">
        <f>材料产出!$AZ$14/(基本属性!$A$14/(基本属性!$AS$14*1/3600))*材料产出!$D$14</f>
        <v>5.0769485432700169E-5</v>
      </c>
    </row>
    <row r="4550" spans="1:4" ht="16.5" hidden="1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313">
        <f>材料产出!$AZ$15/(基本属性!$A$15/(基本属性!$AS$15*1/3600))*材料产出!$D$15</f>
        <v>6.1431077373567218E-5</v>
      </c>
    </row>
    <row r="4551" spans="1:4" ht="16.5" hidden="1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313">
        <f>材料产出!$AZ$16/(基本属性!$A$16/(基本属性!$AS$16*1/3600))*材料产出!$D$16</f>
        <v>7.932732098859403E-5</v>
      </c>
    </row>
    <row r="4552" spans="1:4" ht="16.5" hidden="1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313">
        <f>材料产出!$AZ$17/(基本属性!$A$17/(基本属性!$AS$17*1/3600))*材料产出!$D$17</f>
        <v>1.1423134222357536E-4</v>
      </c>
    </row>
    <row r="4553" spans="1:4" ht="16.5" hidden="1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313">
        <f>材料产出!$AZ$18/(基本属性!$A$18/(基本属性!$AS$18*1/3600))*材料产出!$D$18</f>
        <v>1.5548154913764428E-4</v>
      </c>
    </row>
    <row r="4554" spans="1:4" ht="16.5" hidden="1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313">
        <f>材料产出!$AZ$19/(基本属性!$A$19/(基本属性!$AS$19*1/3600))*材料产出!$D$19</f>
        <v>1.7375856389341638E-4</v>
      </c>
    </row>
    <row r="4555" spans="1:4" ht="16.5" hidden="1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313">
        <f>材料产出!$AZ$20/(基本属性!$A$20/(基本属性!$AS$20*1/3600))*材料产出!$D$20</f>
        <v>2.0307794173080068E-4</v>
      </c>
    </row>
    <row r="4556" spans="1:4" ht="16.5" hidden="1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313">
        <f>材料产出!$AZ$21/(基本属性!$A$21/(基本属性!$AS$21*1/3600))*材料产出!$D$21</f>
        <v>2.3468194641265651E-4</v>
      </c>
    </row>
    <row r="4557" spans="1:4" ht="16.5" hidden="1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313">
        <f>材料产出!$AZ$22/(基本属性!$A$22/(基本属性!$AS$22*1/3600))*材料产出!$D$22</f>
        <v>2.6857057793898393E-4</v>
      </c>
    </row>
    <row r="4558" spans="1:4" ht="16.5" hidden="1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313">
        <f>材料产出!$AZ$23/(基本属性!$A$23/(基本属性!$AS$23*1/3600))*材料产出!$D$23</f>
        <v>3.0474383630978288E-4</v>
      </c>
    </row>
    <row r="4559" spans="1:4" ht="16.5" hidden="1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313">
        <f>材料产出!$AZ$24/(基本属性!$A$24/(基本属性!$AS$24*1/3600))*材料产出!$D$24</f>
        <v>3.432017215250532E-4</v>
      </c>
    </row>
    <row r="4560" spans="1:4" ht="16.5" hidden="1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313">
        <f>材料产出!$AZ$25/(基本属性!$A$25/(基本属性!$AS$25*1/3600))*材料产出!$D$25</f>
        <v>3.8394423358479511E-4</v>
      </c>
    </row>
    <row r="4561" spans="1:4" ht="16.5" hidden="1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313">
        <f>材料产出!$AZ$26/(基本属性!$A$26/(基本属性!$AS$26*1/3600))*材料产出!$D$26</f>
        <v>4.2697137248900839E-4</v>
      </c>
    </row>
    <row r="4562" spans="1:4" ht="16.5" hidden="1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313">
        <f>材料产出!$AZ$27/(基本属性!$A$27/(基本属性!$AS$27*1/3600))*材料产出!$D$27</f>
        <v>4.7228313823769331E-4</v>
      </c>
    </row>
    <row r="4563" spans="1:4" ht="16.5" hidden="1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313">
        <f>材料产出!$AZ$28/(基本属性!$A$28/(基本属性!$AS$28*1/3600))*材料产出!$D$28</f>
        <v>5.1987953083084987E-4</v>
      </c>
    </row>
    <row r="4564" spans="1:4" ht="16.5" hidden="1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313">
        <f>材料产出!$AZ$29/(基本属性!$A$29/(基本属性!$AS$29*1/3600))*材料产出!$D$29</f>
        <v>5.697605502684777E-4</v>
      </c>
    </row>
    <row r="4565" spans="1:4" ht="16.5" hidden="1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313">
        <f>材料产出!$AZ$30/(基本属性!$A$30/(基本属性!$AS$30*1/3600))*材料产出!$D$30</f>
        <v>6.2192619655057721E-4</v>
      </c>
    </row>
    <row r="4566" spans="1:4" ht="16.5" hidden="1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314"/>
    </row>
    <row r="4567" spans="1:4" ht="16.5" hidden="1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314"/>
    </row>
    <row r="4568" spans="1:4" ht="16.5" hidden="1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314"/>
    </row>
    <row r="4569" spans="1:4" ht="16.5" hidden="1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314"/>
    </row>
    <row r="4570" spans="1:4" ht="16.5" hidden="1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314"/>
    </row>
    <row r="4571" spans="1:4" ht="16.5" hidden="1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314"/>
    </row>
    <row r="4572" spans="1:4" ht="16.5" hidden="1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314"/>
    </row>
    <row r="4573" spans="1:4" ht="16.5" hidden="1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314"/>
    </row>
    <row r="4574" spans="1:4" ht="16.5" hidden="1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314"/>
    </row>
    <row r="4575" spans="1:4" ht="16.5" hidden="1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314"/>
    </row>
    <row r="4576" spans="1:4" ht="16.5" hidden="1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314"/>
    </row>
    <row r="4577" spans="1:4" ht="16.5" hidden="1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314"/>
    </row>
    <row r="4578" spans="1:4" ht="16.5" hidden="1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314"/>
    </row>
    <row r="4579" spans="1:4" ht="16.5" hidden="1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314"/>
    </row>
    <row r="4580" spans="1:4" ht="16.5" hidden="1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314"/>
    </row>
    <row r="4581" spans="1:4" ht="16.5" hidden="1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314"/>
    </row>
    <row r="4582" spans="1:4" ht="16.5" hidden="1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314"/>
    </row>
    <row r="4583" spans="1:4" ht="16.5" hidden="1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314"/>
    </row>
    <row r="4584" spans="1:4" ht="16.5" hidden="1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314"/>
    </row>
    <row r="4585" spans="1:4" ht="16.5" hidden="1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314"/>
    </row>
    <row r="4586" spans="1:4" ht="16.5" hidden="1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314"/>
    </row>
    <row r="4587" spans="1:4" ht="16.5" hidden="1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314"/>
    </row>
    <row r="4588" spans="1:4" ht="16.5" hidden="1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314"/>
    </row>
    <row r="4589" spans="1:4" ht="16.5" hidden="1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314"/>
    </row>
    <row r="4590" spans="1:4" ht="16.5" hidden="1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314"/>
    </row>
    <row r="4591" spans="1:4" ht="16.5" hidden="1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314"/>
    </row>
    <row r="4592" spans="1:4" ht="16.5" hidden="1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314"/>
    </row>
    <row r="4593" spans="1:4" ht="16.5" hidden="1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313">
        <f>材料产出!$BF$4/(基本属性!$A$4/(基本属性!$AS$4*1/3600))*材料产出!$D$4</f>
        <v>4.0615588346160145E-5</v>
      </c>
    </row>
    <row r="4594" spans="1:4" ht="16.5" hidden="1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313">
        <f>材料产出!$BF$5/(基本属性!$A$5/(基本属性!$AS$5*1/3600))*材料产出!$D$5</f>
        <v>5.1404104000608938E-5</v>
      </c>
    </row>
    <row r="4595" spans="1:4" ht="16.5" hidden="1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313">
        <f>材料产出!$BF$6/(基本属性!$A$6/(基本属性!$AS$6*1/3600))*材料产出!$D$6</f>
        <v>6.3461856790875221E-5</v>
      </c>
    </row>
    <row r="4596" spans="1:4" ht="16.5" hidden="1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313">
        <f>材料产出!$BF$7/(基本属性!$A$7/(基本属性!$AS$7*1/3600))*材料产出!$D$7</f>
        <v>7.6788846716959022E-5</v>
      </c>
    </row>
    <row r="4597" spans="1:4" ht="16.5" hidden="1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313">
        <f>材料产出!$BF$8/(基本属性!$A$8/(基本属性!$AS$8*1/3600))*材料产出!$D$8</f>
        <v>9.1385073778860307E-5</v>
      </c>
    </row>
    <row r="4598" spans="1:4" ht="16.5" hidden="1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313">
        <f>材料产出!$BF$9/(基本属性!$A$9/(基本属性!$AS$9*1/3600))*材料产出!$D$9</f>
        <v>1.0725053797657913E-4</v>
      </c>
    </row>
    <row r="4599" spans="1:4" ht="16.5" hidden="1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313">
        <f>材料产出!$BF$10/(基本属性!$A$10/(基本属性!$AS$10*1/3600))*材料产出!$D$10</f>
        <v>1.2438523931011542E-4</v>
      </c>
    </row>
    <row r="4600" spans="1:4" ht="16.5" hidden="1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313">
        <f>材料产出!$BF$11/(基本属性!$A$11/(基本属性!$AS$11*1/3600))*材料产出!$D$11</f>
        <v>1.4278917777946925E-4</v>
      </c>
    </row>
    <row r="4601" spans="1:4" ht="16.5" hidden="1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313">
        <f>材料产出!$BF$12/(基本属性!$A$12/(基本属性!$AS$12*1/3600))*材料产出!$D$12</f>
        <v>1.6246235338464061E-4</v>
      </c>
    </row>
    <row r="4602" spans="1:4" ht="16.5" hidden="1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313">
        <f>材料产出!$BF$13/(基本属性!$A$13/(基本属性!$AS$13*1/3600))*材料产出!$D$13</f>
        <v>2.0561641600243572E-4</v>
      </c>
    </row>
    <row r="4603" spans="1:4" ht="16.5" hidden="1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313">
        <f>材料产出!$BF$14/(基本属性!$A$14/(基本属性!$AS$14*1/3600))*材料产出!$D$14</f>
        <v>2.5384742716350088E-4</v>
      </c>
    </row>
    <row r="4604" spans="1:4" ht="16.5" hidden="1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313">
        <f>材料产出!$BF$15/(基本属性!$A$15/(基本属性!$AS$15*1/3600))*材料产出!$D$15</f>
        <v>3.0715538686783609E-4</v>
      </c>
    </row>
    <row r="4605" spans="1:4" ht="16.5" hidden="1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313">
        <f>材料产出!$BF$16/(基本属性!$A$16/(基本属性!$AS$16*1/3600))*材料产出!$D$16</f>
        <v>3.9663660494297014E-4</v>
      </c>
    </row>
    <row r="4606" spans="1:4" ht="16.5" hidden="1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313">
        <f>材料产出!$BF$17/(基本属性!$A$17/(基本属性!$AS$17*1/3600))*材料产出!$D$17</f>
        <v>5.711567111178769E-4</v>
      </c>
    </row>
    <row r="4607" spans="1:4" ht="16.5" hidden="1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313">
        <f>材料产出!$BF$18/(基本属性!$A$18/(基本属性!$AS$18*1/3600))*材料产出!$D$18</f>
        <v>7.7740774568822138E-4</v>
      </c>
    </row>
    <row r="4608" spans="1:4" ht="16.5" hidden="1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313">
        <f>材料产出!$BF$19/(基本属性!$A$19/(基本属性!$AS$19*1/3600))*材料产出!$D$19</f>
        <v>8.6879281946708193E-4</v>
      </c>
    </row>
    <row r="4609" spans="1:4" ht="16.5" hidden="1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313">
        <f>材料产出!$BF$20/(基本属性!$A$20/(基本属性!$AS$20*1/3600))*材料产出!$D$20</f>
        <v>1.0153897086540035E-3</v>
      </c>
    </row>
    <row r="4610" spans="1:4" ht="16.5" hidden="1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313">
        <f>材料产出!$BF$21/(基本属性!$A$21/(基本属性!$AS$21*1/3600))*材料产出!$D$21</f>
        <v>1.1734097320632826E-3</v>
      </c>
    </row>
    <row r="4611" spans="1:4" ht="16.5" hidden="1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313">
        <f>材料产出!$BF$22/(基本属性!$A$22/(基本属性!$AS$22*1/3600))*材料产出!$D$22</f>
        <v>1.3428528896949196E-3</v>
      </c>
    </row>
    <row r="4612" spans="1:4" ht="16.5" hidden="1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313">
        <f>材料产出!$BF$23/(基本属性!$A$23/(基本属性!$AS$23*1/3600))*材料产出!$D$23</f>
        <v>1.5237191815489143E-3</v>
      </c>
    </row>
    <row r="4613" spans="1:4" ht="16.5" hidden="1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313">
        <f>材料产出!$BF$24/(基本属性!$A$24/(基本属性!$AS$24*1/3600))*材料产出!$D$24</f>
        <v>1.7160086076252661E-3</v>
      </c>
    </row>
    <row r="4614" spans="1:4" ht="16.5" hidden="1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313">
        <f>材料产出!$BF$25/(基本属性!$A$25/(基本属性!$AS$25*1/3600))*材料产出!$D$25</f>
        <v>1.9197211679239756E-3</v>
      </c>
    </row>
    <row r="4615" spans="1:4" ht="16.5" hidden="1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313">
        <f>材料产出!$BF$26/(基本属性!$A$26/(基本属性!$AS$26*1/3600))*材料产出!$D$26</f>
        <v>2.1348568624450421E-3</v>
      </c>
    </row>
    <row r="4616" spans="1:4" ht="16.5" hidden="1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313">
        <f>材料产出!$BF$27/(基本属性!$A$27/(基本属性!$AS$27*1/3600))*材料产出!$D$27</f>
        <v>2.3614156911884667E-3</v>
      </c>
    </row>
    <row r="4617" spans="1:4" ht="16.5" hidden="1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313">
        <f>材料产出!$BF$28/(基本属性!$A$28/(基本属性!$AS$28*1/3600))*材料产出!$D$28</f>
        <v>2.5993976541542497E-3</v>
      </c>
    </row>
    <row r="4618" spans="1:4" ht="16.5" hidden="1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313">
        <f>材料产出!$BF$29/(基本属性!$A$29/(基本属性!$AS$29*1/3600))*材料产出!$D$29</f>
        <v>2.848802751342389E-3</v>
      </c>
    </row>
    <row r="4619" spans="1:4" ht="16.5" hidden="1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313">
        <f>材料产出!$BF$30/(基本属性!$A$30/(基本属性!$AS$30*1/3600))*材料产出!$D$30</f>
        <v>3.109630982752886E-3</v>
      </c>
    </row>
    <row r="4620" spans="1:4" ht="16.5" hidden="1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313">
        <f>材料产出!$N$4/(基本属性!$A$4/(基本属性!$AS$4*1/3600))*材料产出!$D$4</f>
        <v>6.500147048383989E-3</v>
      </c>
    </row>
    <row r="4621" spans="1:4" ht="16.5" hidden="1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313">
        <f>材料产出!$N$5/(基本属性!$A$5/(基本属性!$AS$5*1/3600))*材料产出!$D$5</f>
        <v>8.2267486081109877E-3</v>
      </c>
    </row>
    <row r="4622" spans="1:4" ht="16.5" hidden="1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313">
        <f>材料产出!$N$6/(基本属性!$A$6/(基本属性!$AS$6*1/3600))*材料产出!$D$6</f>
        <v>1.0156479763099984E-2</v>
      </c>
    </row>
    <row r="4623" spans="1:4" ht="16.5" hidden="1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313">
        <f>材料产出!$N$7/(基本属性!$A$7/(基本属性!$AS$7*1/3600))*材料产出!$D$7</f>
        <v>1.2289340513350981E-2</v>
      </c>
    </row>
    <row r="4624" spans="1:4" ht="16.5" hidden="1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313">
        <f>材料产出!$N$8/(基本属性!$A$8/(基本属性!$AS$8*1/3600))*材料产出!$D$8</f>
        <v>1.4625330858863972E-2</v>
      </c>
    </row>
    <row r="4625" spans="1:4" ht="16.5" hidden="1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313">
        <f>材料产出!$N$9/(基本属性!$A$9/(基本属性!$AS$9*1/3600))*材料产出!$D$9</f>
        <v>1.7164450799638974E-2</v>
      </c>
    </row>
    <row r="4626" spans="1:4" ht="16.5" hidden="1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313">
        <f>材料产出!$N$10/(基本属性!$A$10/(基本属性!$AS$10*1/3600))*材料产出!$D$10</f>
        <v>1.9906700335675966E-2</v>
      </c>
    </row>
    <row r="4627" spans="1:4" ht="16.5" hidden="1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313">
        <f>材料产出!$N$11/(基本属性!$A$11/(基本属性!$AS$11*1/3600))*材料产出!$D$11</f>
        <v>2.2852079466974963E-2</v>
      </c>
    </row>
    <row r="4628" spans="1:4" ht="16.5" hidden="1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313">
        <f>材料产出!$N$12/(基本属性!$A$12/(基本属性!$AS$12*1/3600))*材料产出!$D$12</f>
        <v>2.6000588193535963E-2</v>
      </c>
    </row>
    <row r="4629" spans="1:4" ht="16.5" hidden="1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313">
        <f>材料产出!$N$13/(基本属性!$A$13/(基本属性!$AS$13*1/3600))*材料产出!$D$13</f>
        <v>3.2906994432443951E-2</v>
      </c>
    </row>
    <row r="4630" spans="1:4" ht="16.5" hidden="1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313">
        <f>材料产出!$N$14/(基本属性!$A$14/(基本属性!$AS$14*1/3600))*材料产出!$D$14</f>
        <v>4.0625919052399921E-2</v>
      </c>
    </row>
    <row r="4631" spans="1:4" ht="16.5" hidden="1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313">
        <f>材料产出!$N$15/(基本属性!$A$15/(基本属性!$AS$15*1/3600))*材料产出!$D$15</f>
        <v>4.9157362053403923E-2</v>
      </c>
    </row>
    <row r="4632" spans="1:4" ht="16.5" hidden="1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313">
        <f>材料产出!$N$16/(基本属性!$A$16/(基本属性!$AS$16*1/3600))*材料产出!$D$16</f>
        <v>6.3477998519374884E-2</v>
      </c>
    </row>
    <row r="4633" spans="1:4" ht="16.5" hidden="1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313">
        <f>材料产出!$N$17/(基本属性!$A$17/(基本属性!$AS$17*1/3600))*材料产出!$D$17</f>
        <v>9.1408317867899824E-2</v>
      </c>
    </row>
    <row r="4634" spans="1:4" ht="16.5" hidden="1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313">
        <f>材料产出!$N$18/(基本属性!$A$18/(基本属性!$AS$18*1/3600))*材料产出!$D$18</f>
        <v>0.12441687709797478</v>
      </c>
    </row>
    <row r="4635" spans="1:4" ht="16.5" hidden="1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313">
        <f>材料产出!$N$19/(基本属性!$A$19/(基本属性!$AS$19*1/3600))*材料产出!$D$19</f>
        <v>0.13904220795683878</v>
      </c>
    </row>
    <row r="4636" spans="1:4" ht="16.5" hidden="1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313">
        <f>材料产出!$N$20/(基本属性!$A$20/(基本属性!$AS$20*1/3600))*材料产出!$D$20</f>
        <v>0.16250367620959968</v>
      </c>
    </row>
    <row r="4637" spans="1:4" ht="16.5" hidden="1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313">
        <f>材料产出!$N$21/(基本属性!$A$21/(基本属性!$AS$21*1/3600))*材料产出!$D$21</f>
        <v>0.18779331081971865</v>
      </c>
    </row>
    <row r="4638" spans="1:4" ht="16.5" hidden="1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313">
        <f>材料产出!$N$22/(基本属性!$A$22/(基本属性!$AS$22*1/3600))*材料产出!$D$22</f>
        <v>0.2149111117871956</v>
      </c>
    </row>
    <row r="4639" spans="1:4" ht="16.5" hidden="1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313">
        <f>材料产出!$N$23/(基本属性!$A$23/(基本属性!$AS$23*1/3600))*材料产出!$D$23</f>
        <v>0.24385707911203061</v>
      </c>
    </row>
    <row r="4640" spans="1:4" ht="16.5" hidden="1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313">
        <f>材料产出!$N$24/(基本属性!$A$24/(基本属性!$AS$24*1/3600))*材料产出!$D$24</f>
        <v>0.27463121279422353</v>
      </c>
    </row>
    <row r="4641" spans="1:4" ht="16.5" hidden="1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313">
        <f>材料产出!$N$25/(基本属性!$A$25/(基本属性!$AS$25*1/3600))*材料产出!$D$25</f>
        <v>0.30723351283377448</v>
      </c>
    </row>
    <row r="4642" spans="1:4" ht="16.5" hidden="1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313">
        <f>材料产出!$N$26/(基本属性!$A$26/(基本属性!$AS$26*1/3600))*材料产出!$D$26</f>
        <v>0.34166397923068342</v>
      </c>
    </row>
    <row r="4643" spans="1:4" ht="16.5" hidden="1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313">
        <f>材料产出!$N$27/(基本属性!$A$27/(基本属性!$AS$27*1/3600))*材料产出!$D$27</f>
        <v>0.37792261198495031</v>
      </c>
    </row>
    <row r="4644" spans="1:4" ht="16.5" hidden="1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313">
        <f>材料产出!$N$28/(基本属性!$A$28/(基本属性!$AS$28*1/3600))*材料产出!$D$28</f>
        <v>0.4160094110965753</v>
      </c>
    </row>
    <row r="4645" spans="1:4" ht="16.5" hidden="1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313">
        <f>材料产出!$N$29/(基本属性!$A$29/(基本属性!$AS$29*1/3600))*材料产出!$D$29</f>
        <v>0.45592437656555818</v>
      </c>
    </row>
    <row r="4646" spans="1:4" ht="16.5" hidden="1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313">
        <f>材料产出!$N$30/(基本属性!$A$30/(基本属性!$AS$30*1/3600))*材料产出!$D$30</f>
        <v>0.49766750839189922</v>
      </c>
    </row>
    <row r="4647" spans="1:4" ht="16.5" hidden="1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313">
        <f>材料产出!$AV$4/(基本属性!$A$4/(基本属性!$AS$4*1/3600))*材料产出!$D$4</f>
        <v>2.9243223609235299E-5</v>
      </c>
    </row>
    <row r="4648" spans="1:4" ht="16.5" hidden="1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313">
        <f>材料产出!$AV$5/(基本属性!$A$5/(基本属性!$AS$5*1/3600))*材料产出!$D$5</f>
        <v>3.7010954880438432E-5</v>
      </c>
    </row>
    <row r="4649" spans="1:4" ht="16.5" hidden="1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313">
        <f>材料产出!$AV$6/(基本属性!$A$6/(基本属性!$AS$6*1/3600))*材料产出!$D$6</f>
        <v>4.5692536889430153E-5</v>
      </c>
    </row>
    <row r="4650" spans="1:4" ht="16.5" hidden="1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313">
        <f>材料产出!$AV$7/(基本属性!$A$7/(基本属性!$AS$7*1/3600))*材料产出!$D$7</f>
        <v>5.528796963621049E-5</v>
      </c>
    </row>
    <row r="4651" spans="1:4" ht="16.5" hidden="1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313">
        <f>材料产出!$AV$8/(基本属性!$A$8/(基本属性!$AS$8*1/3600))*材料产出!$D$8</f>
        <v>6.5797253120779403E-5</v>
      </c>
    </row>
    <row r="4652" spans="1:4" ht="16.5" hidden="1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313">
        <f>材料产出!$AV$9/(基本属性!$A$9/(基本属性!$AS$9*1/3600))*材料产出!$D$9</f>
        <v>7.7220387343136958E-5</v>
      </c>
    </row>
    <row r="4653" spans="1:4" ht="16.5" hidden="1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313">
        <f>材料产出!$AV$10/(基本属性!$A$10/(基本属性!$AS$10*1/3600))*材料产出!$D$10</f>
        <v>8.9557372303283089E-5</v>
      </c>
    </row>
    <row r="4654" spans="1:4" ht="16.5" hidden="1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313">
        <f>材料产出!$AV$11/(基本属性!$A$11/(基本属性!$AS$11*1/3600))*材料产出!$D$11</f>
        <v>1.0280820800121786E-4</v>
      </c>
    </row>
    <row r="4655" spans="1:4" ht="16.5" hidden="1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313">
        <f>材料产出!$AV$12/(基本属性!$A$12/(基本属性!$AS$12*1/3600))*材料产出!$D$12</f>
        <v>1.169728944369412E-4</v>
      </c>
    </row>
    <row r="4656" spans="1:4" ht="16.5" hidden="1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313">
        <f>材料产出!$AV$13/(基本属性!$A$13/(基本属性!$AS$13*1/3600))*材料产出!$D$13</f>
        <v>1.4804381952175373E-4</v>
      </c>
    </row>
    <row r="4657" spans="1:4" ht="16.5" hidden="1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313">
        <f>材料产出!$AV$14/(基本属性!$A$14/(基本属性!$AS$14*1/3600))*材料产出!$D$14</f>
        <v>1.8277014755772061E-4</v>
      </c>
    </row>
    <row r="4658" spans="1:4" ht="16.5" hidden="1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313">
        <f>材料产出!$AV$15/(基本属性!$A$15/(基本属性!$AS$15*1/3600))*材料产出!$D$15</f>
        <v>2.2115187854484196E-4</v>
      </c>
    </row>
    <row r="4659" spans="1:4" ht="16.5" hidden="1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313">
        <f>材料产出!$AV$16/(基本属性!$A$16/(基本属性!$AS$16*1/3600))*材料产出!$D$16</f>
        <v>2.8557835555893845E-4</v>
      </c>
    </row>
    <row r="4660" spans="1:4" ht="16.5" hidden="1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313">
        <f>材料产出!$AV$17/(基本属性!$A$17/(基本属性!$AS$17*1/3600))*材料产出!$D$17</f>
        <v>4.1123283200487134E-4</v>
      </c>
    </row>
    <row r="4661" spans="1:4" ht="16.5" hidden="1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313">
        <f>材料产出!$AV$18/(基本属性!$A$18/(基本属性!$AS$18*1/3600))*材料产出!$D$18</f>
        <v>5.5973357689551929E-4</v>
      </c>
    </row>
    <row r="4662" spans="1:4" ht="16.5" hidden="1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313">
        <f>材料产出!$AV$19/(基本属性!$A$19/(基本属性!$AS$19*1/3600))*材料产出!$D$19</f>
        <v>6.2553083001629887E-4</v>
      </c>
    </row>
    <row r="4663" spans="1:4" ht="16.5" hidden="1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313">
        <f>材料产出!$AV$20/(基本属性!$A$20/(基本属性!$AS$20*1/3600))*材料产出!$D$20</f>
        <v>7.3108059023088245E-4</v>
      </c>
    </row>
    <row r="4664" spans="1:4" ht="16.5" hidden="1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313">
        <f>材料产出!$AV$21/(基本属性!$A$21/(基本属性!$AS$21*1/3600))*材料产出!$D$21</f>
        <v>8.4485500708556341E-4</v>
      </c>
    </row>
    <row r="4665" spans="1:4" ht="16.5" hidden="1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313">
        <f>材料产出!$AV$22/(基本属性!$A$22/(基本属性!$AS$22*1/3600))*材料产出!$D$22</f>
        <v>9.6685408058034183E-4</v>
      </c>
    </row>
    <row r="4666" spans="1:4" ht="16.5" hidden="1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313">
        <f>材料产出!$AV$23/(基本属性!$A$23/(基本属性!$AS$23*1/3600))*材料产出!$D$23</f>
        <v>1.0970778107152182E-3</v>
      </c>
    </row>
    <row r="4667" spans="1:4" ht="16.5" hidden="1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313">
        <f>材料产出!$AV$24/(基本属性!$A$24/(基本属性!$AS$24*1/3600))*材料产出!$D$24</f>
        <v>1.2355261974901913E-3</v>
      </c>
    </row>
    <row r="4668" spans="1:4" ht="16.5" hidden="1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313">
        <f>材料产出!$AV$25/(基本属性!$A$25/(基本属性!$AS$25*1/3600))*材料产出!$D$25</f>
        <v>1.3821992409052625E-3</v>
      </c>
    </row>
    <row r="4669" spans="1:4" ht="16.5" hidden="1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313">
        <f>材料产出!$AV$26/(基本属性!$A$26/(基本属性!$AS$26*1/3600))*材料产出!$D$26</f>
        <v>1.5370969409604302E-3</v>
      </c>
    </row>
    <row r="4670" spans="1:4" ht="16.5" hidden="1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313">
        <f>材料产出!$AV$27/(基本属性!$A$27/(基本属性!$AS$27*1/3600))*材料产出!$D$27</f>
        <v>1.7002192976556954E-3</v>
      </c>
    </row>
    <row r="4671" spans="1:4" ht="16.5" hidden="1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313">
        <f>材料产出!$AV$28/(基本属性!$A$28/(基本属性!$AS$28*1/3600))*材料产出!$D$28</f>
        <v>1.8715663109910591E-3</v>
      </c>
    </row>
    <row r="4672" spans="1:4" ht="16.5" hidden="1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313">
        <f>材料产出!$AV$29/(基本属性!$A$29/(基本属性!$AS$29*1/3600))*材料产出!$D$29</f>
        <v>2.0511379809665196E-3</v>
      </c>
    </row>
    <row r="4673" spans="1:4" ht="16.5" hidden="1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313">
        <f>材料产出!$AV$30/(基本属性!$A$30/(基本属性!$AS$30*1/3600))*材料产出!$D$30</f>
        <v>2.2389343075820776E-3</v>
      </c>
    </row>
    <row r="4674" spans="1:4" ht="16.5" hidden="1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313">
        <f>材料产出!$AH$4/(基本属性!$A$4/(基本属性!$AS$4*1/3600))*材料产出!$D$4</f>
        <v>4.5400927223921539E-4</v>
      </c>
    </row>
    <row r="4675" spans="1:4" ht="16.5" hidden="1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313">
        <f>材料产出!$AH$5/(基本属性!$A$5/(基本属性!$AS$5*1/3600))*材料产出!$D$5</f>
        <v>5.7460548517775708E-4</v>
      </c>
    </row>
    <row r="4676" spans="1:4" ht="16.5" hidden="1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313">
        <f>材料产出!$AH$6/(基本属性!$A$6/(基本属性!$AS$6*1/3600))*材料产出!$D$6</f>
        <v>7.0938948787377398E-4</v>
      </c>
    </row>
    <row r="4677" spans="1:4" ht="16.5" hidden="1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313">
        <f>材料产出!$AH$7/(基本属性!$A$7/(基本属性!$AS$7*1/3600))*材料产出!$D$7</f>
        <v>8.5836128032726658E-4</v>
      </c>
    </row>
    <row r="4678" spans="1:4" ht="16.5" hidden="1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313">
        <f>材料产出!$AH$8/(基本属性!$A$8/(基本属性!$AS$8*1/3600))*材料产出!$D$8</f>
        <v>1.0215208625382343E-3</v>
      </c>
    </row>
    <row r="4679" spans="1:4" ht="16.5" hidden="1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313">
        <f>材料产出!$AH$9/(基本属性!$A$9/(基本属性!$AS$9*1/3600))*材料产出!$D$9</f>
        <v>1.1988682345066783E-3</v>
      </c>
    </row>
    <row r="4680" spans="1:4" ht="16.5" hidden="1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313">
        <f>材料产出!$AH$10/(基本属性!$A$10/(基本属性!$AS$10*1/3600))*材料产出!$D$10</f>
        <v>1.390403396232597E-3</v>
      </c>
    </row>
    <row r="4681" spans="1:4" ht="16.5" hidden="1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313">
        <f>材料产出!$AH$11/(基本属性!$A$11/(基本属性!$AS$11*1/3600))*材料产出!$D$11</f>
        <v>1.5961263477159916E-3</v>
      </c>
    </row>
    <row r="4682" spans="1:4" ht="16.5" hidden="1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313">
        <f>材料产出!$AH$12/(基本属性!$A$12/(基本属性!$AS$12*1/3600))*材料产出!$D$12</f>
        <v>1.8160370889568616E-3</v>
      </c>
    </row>
    <row r="4683" spans="1:4" ht="16.5" hidden="1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313">
        <f>材料产出!$AH$13/(基本属性!$A$13/(基本属性!$AS$13*1/3600))*材料产出!$D$13</f>
        <v>2.2984219407110279E-3</v>
      </c>
    </row>
    <row r="4684" spans="1:4" ht="16.5" hidden="1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313">
        <f>材料产出!$AH$14/(基本属性!$A$14/(基本属性!$AS$14*1/3600))*材料产出!$D$14</f>
        <v>2.8375579514950959E-3</v>
      </c>
    </row>
    <row r="4685" spans="1:4" ht="16.5" hidden="1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313">
        <f>材料产出!$AH$15/(基本属性!$A$15/(基本属性!$AS$15*1/3600))*材料产出!$D$15</f>
        <v>3.4334451213090663E-3</v>
      </c>
    </row>
    <row r="4686" spans="1:4" ht="16.5" hidden="1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313">
        <f>材料产出!$AH$16/(基本属性!$A$16/(基本属性!$AS$16*1/3600))*材料产出!$D$16</f>
        <v>4.4336842992110876E-3</v>
      </c>
    </row>
    <row r="4687" spans="1:4" ht="16.5" hidden="1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313">
        <f>材料产出!$AH$17/(基本属性!$A$17/(基本属性!$AS$17*1/3600))*材料产出!$D$17</f>
        <v>6.3845053908639648E-3</v>
      </c>
    </row>
    <row r="4688" spans="1:4" ht="16.5" hidden="1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313">
        <f>材料产出!$AH$18/(基本属性!$A$18/(基本属性!$AS$18*1/3600))*材料产出!$D$18</f>
        <v>8.6900212264537317E-3</v>
      </c>
    </row>
    <row r="4689" spans="1:4" ht="16.5" hidden="1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313">
        <f>材料产出!$AH$19/(基本属性!$A$19/(基本属性!$AS$19*1/3600))*材料产出!$D$19</f>
        <v>9.7115420889919667E-3</v>
      </c>
    </row>
    <row r="4690" spans="1:4" ht="16.5" hidden="1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313">
        <f>材料产出!$AH$20/(基本属性!$A$20/(基本属性!$AS$20*1/3600))*材料产出!$D$20</f>
        <v>1.1350231805980384E-2</v>
      </c>
    </row>
    <row r="4691" spans="1:4" ht="16.5" hidden="1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313">
        <f>材料产出!$AH$21/(基本属性!$A$21/(基本属性!$AS$21*1/3600))*材料产出!$D$21</f>
        <v>1.311661163078608E-2</v>
      </c>
    </row>
    <row r="4692" spans="1:4" ht="16.5" hidden="1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313">
        <f>材料产出!$AH$22/(基本属性!$A$22/(基本属性!$AS$22*1/3600))*材料产出!$D$22</f>
        <v>1.5010681563409055E-2</v>
      </c>
    </row>
    <row r="4693" spans="1:4" ht="16.5" hidden="1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313">
        <f>材料产出!$AH$23/(基本属性!$A$23/(基本属性!$AS$23*1/3600))*材料产出!$D$23</f>
        <v>1.7032441603849317E-2</v>
      </c>
    </row>
    <row r="4694" spans="1:4" ht="16.5" hidden="1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313">
        <f>材料产出!$AH$24/(基本属性!$A$24/(基本属性!$AS$24*1/3600))*材料产出!$D$24</f>
        <v>1.9181891752106845E-2</v>
      </c>
    </row>
    <row r="4695" spans="1:4" ht="16.5" hidden="1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313">
        <f>材料产出!$AH$25/(基本属性!$A$25/(基本属性!$AS$25*1/3600))*材料产出!$D$25</f>
        <v>2.1459032008181667E-2</v>
      </c>
    </row>
    <row r="4696" spans="1:4" ht="16.5" hidden="1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313">
        <f>材料产出!$AH$26/(基本属性!$A$26/(基本属性!$AS$26*1/3600))*材料产出!$D$26</f>
        <v>2.3863862372073753E-2</v>
      </c>
    </row>
    <row r="4697" spans="1:4" ht="16.5" hidden="1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313">
        <f>材料产出!$AH$27/(基本属性!$A$27/(基本属性!$AS$27*1/3600))*材料产出!$D$27</f>
        <v>2.6396382843783123E-2</v>
      </c>
    </row>
    <row r="4698" spans="1:4" ht="16.5" hidden="1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313">
        <f>材料产出!$AH$28/(基本属性!$A$28/(基本属性!$AS$28*1/3600))*材料产出!$D$28</f>
        <v>2.9056593423309785E-2</v>
      </c>
    </row>
    <row r="4699" spans="1:4" ht="16.5" hidden="1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313">
        <f>材料产出!$AH$29/(基本属性!$A$29/(基本属性!$AS$29*1/3600))*材料产出!$D$29</f>
        <v>3.1844494110653716E-2</v>
      </c>
    </row>
    <row r="4700" spans="1:4" ht="16.5" hidden="1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313">
        <f>材料产出!$AH$30/(基本属性!$A$30/(基本属性!$AS$30*1/3600))*材料产出!$D$30</f>
        <v>3.4760084905814927E-2</v>
      </c>
    </row>
    <row r="4701" spans="1:4" ht="16.5" hidden="1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313">
        <f>材料产出!$AL$4/(基本属性!$A$4/(基本属性!$AS$4*1/3600))*材料产出!$D$4</f>
        <v>2.5942556279562544E-3</v>
      </c>
    </row>
    <row r="4702" spans="1:4" ht="16.5" hidden="1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313">
        <f>材料产出!$AL$5/(基本属性!$A$5/(基本属性!$AS$5*1/3600))*材料产出!$D$5</f>
        <v>3.2833547791321347E-3</v>
      </c>
    </row>
    <row r="4703" spans="1:4" ht="16.5" hidden="1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313">
        <f>材料产出!$AL$6/(基本属性!$A$6/(基本属性!$AS$6*1/3600))*材料产出!$D$6</f>
        <v>4.0535244186816468E-3</v>
      </c>
    </row>
    <row r="4704" spans="1:4" ht="16.5" hidden="1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313">
        <f>材料产出!$AL$7/(基本属性!$A$7/(基本属性!$AS$7*1/3600))*材料产出!$D$7</f>
        <v>4.9047645466047934E-3</v>
      </c>
    </row>
    <row r="4705" spans="1:4" ht="16.5" hidden="1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313">
        <f>材料产出!$AL$8/(基本属性!$A$8/(基本属性!$AS$8*1/3600))*材料产出!$D$8</f>
        <v>5.8370751629015696E-3</v>
      </c>
    </row>
    <row r="4706" spans="1:4" ht="16.5" hidden="1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313">
        <f>材料产出!$AL$9/(基本属性!$A$9/(基本属性!$AS$9*1/3600))*材料产出!$D$9</f>
        <v>6.8504562675719841E-3</v>
      </c>
    </row>
    <row r="4707" spans="1:4" ht="16.5" hidden="1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313">
        <f>材料产出!$AL$10/(基本属性!$A$10/(基本属性!$AS$10*1/3600))*材料产出!$D$10</f>
        <v>7.9449078606160257E-3</v>
      </c>
    </row>
    <row r="4708" spans="1:4" ht="16.5" hidden="1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313">
        <f>材料产出!$AL$11/(基本属性!$A$11/(基本属性!$AS$11*1/3600))*材料产出!$D$11</f>
        <v>9.1204299420337039E-3</v>
      </c>
    </row>
    <row r="4709" spans="1:4" ht="16.5" hidden="1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313">
        <f>材料产出!$AL$12/(基本属性!$A$12/(基本属性!$AS$12*1/3600))*材料产出!$D$12</f>
        <v>1.0377022511825018E-2</v>
      </c>
    </row>
    <row r="4710" spans="1:4" ht="16.5" hidden="1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313">
        <f>材料产出!$AL$13/(基本属性!$A$13/(基本属性!$AS$13*1/3600))*材料产出!$D$13</f>
        <v>1.3133419116528537E-2</v>
      </c>
    </row>
    <row r="4711" spans="1:4" ht="16.5" hidden="1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313">
        <f>材料产出!$AL$14/(基本属性!$A$14/(基本属性!$AS$14*1/3600))*材料产出!$D$14</f>
        <v>1.6214097674726584E-2</v>
      </c>
    </row>
    <row r="4712" spans="1:4" ht="16.5" hidden="1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313">
        <f>材料产出!$AL$15/(基本属性!$A$15/(基本属性!$AS$15*1/3600))*材料产出!$D$15</f>
        <v>1.9619058186419173E-2</v>
      </c>
    </row>
    <row r="4713" spans="1:4" ht="16.5" hidden="1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313">
        <f>材料产出!$AL$16/(基本属性!$A$16/(基本属性!$AS$16*1/3600))*材料产出!$D$16</f>
        <v>2.5334527616760291E-2</v>
      </c>
    </row>
    <row r="4714" spans="1:4" ht="16.5" hidden="1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313">
        <f>材料产出!$AL$17/(基本属性!$A$17/(基本属性!$AS$17*1/3600))*材料产出!$D$17</f>
        <v>3.6481719768134815E-2</v>
      </c>
    </row>
    <row r="4715" spans="1:4" ht="16.5" hidden="1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313">
        <f>材料产出!$AL$18/(基本属性!$A$18/(基本属性!$AS$18*1/3600))*材料产出!$D$18</f>
        <v>4.9655674128850164E-2</v>
      </c>
    </row>
    <row r="4716" spans="1:4" ht="16.5" hidden="1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313">
        <f>材料产出!$AL$19/(基本属性!$A$19/(基本属性!$AS$19*1/3600))*材料产出!$D$19</f>
        <v>5.5492749291751749E-2</v>
      </c>
    </row>
    <row r="4717" spans="1:4" ht="16.5" hidden="1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313">
        <f>材料产出!$AL$20/(基本属性!$A$20/(基本属性!$AS$20*1/3600))*材料产出!$D$20</f>
        <v>6.4856390698906335E-2</v>
      </c>
    </row>
    <row r="4718" spans="1:4" ht="16.5" hidden="1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313">
        <f>材料产出!$AL$21/(基本属性!$A$21/(基本属性!$AS$21*1/3600))*材料产出!$D$21</f>
        <v>7.4949666501423637E-2</v>
      </c>
    </row>
    <row r="4719" spans="1:4" ht="16.5" hidden="1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313">
        <f>材料产出!$AL$22/(基本属性!$A$22/(基本属性!$AS$22*1/3600))*材料产出!$D$22</f>
        <v>8.5772576699303632E-2</v>
      </c>
    </row>
    <row r="4720" spans="1:4" ht="16.5" hidden="1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313">
        <f>材料产出!$AL$23/(基本属性!$A$23/(基本属性!$AS$23*1/3600))*材料产出!$D$23</f>
        <v>9.7325121292546349E-2</v>
      </c>
    </row>
    <row r="4721" spans="1:4" ht="16.5" hidden="1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313">
        <f>材料产出!$AL$24/(基本属性!$A$24/(基本属性!$AS$24*1/3600))*材料产出!$D$24</f>
        <v>0.10960730028115172</v>
      </c>
    </row>
    <row r="4722" spans="1:4" ht="16.5" hidden="1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313">
        <f>材料产出!$AL$25/(基本属性!$A$25/(基本属性!$AS$25*1/3600))*材料产出!$D$25</f>
        <v>0.12261911366511982</v>
      </c>
    </row>
    <row r="4723" spans="1:4" ht="16.5" hidden="1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313">
        <f>材料产出!$AL$26/(基本属性!$A$26/(基本属性!$AS$26*1/3600))*材料产出!$D$26</f>
        <v>0.13636056144445058</v>
      </c>
    </row>
    <row r="4724" spans="1:4" ht="16.5" hidden="1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313">
        <f>材料产出!$AL$27/(基本属性!$A$27/(基本属性!$AS$27*1/3600))*材料产出!$D$27</f>
        <v>0.15083164361914406</v>
      </c>
    </row>
    <row r="4725" spans="1:4" ht="16.5" hidden="1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313">
        <f>材料产出!$AL$28/(基本属性!$A$28/(基本属性!$AS$28*1/3600))*材料产出!$D$28</f>
        <v>0.16603236018920026</v>
      </c>
    </row>
    <row r="4726" spans="1:4" ht="16.5" hidden="1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313">
        <f>材料产出!$AL$29/(基本属性!$A$29/(基本属性!$AS$29*1/3600))*材料产出!$D$29</f>
        <v>0.18196271115461912</v>
      </c>
    </row>
    <row r="4727" spans="1:4" ht="16.5" hidden="1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313">
        <f>材料产出!$AL$30/(基本属性!$A$30/(基本属性!$AS$30*1/3600))*材料产出!$D$30</f>
        <v>0.19862269651540068</v>
      </c>
    </row>
    <row r="4728" spans="1:4" ht="16.5" hidden="1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313">
        <f>材料产出!$AT$4/(基本属性!$A$4/(基本属性!$AS$4*1/3600))*材料产出!$D$4</f>
        <v>3.2492470676928119E-6</v>
      </c>
    </row>
    <row r="4729" spans="1:4" ht="16.5" hidden="1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313">
        <f>材料产出!$AT$5/(基本属性!$A$5/(基本属性!$AS$5*1/3600))*材料产出!$D$5</f>
        <v>4.1123283200487152E-6</v>
      </c>
    </row>
    <row r="4730" spans="1:4" ht="16.5" hidden="1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313">
        <f>材料产出!$AT$6/(基本属性!$A$6/(基本属性!$AS$6*1/3600))*材料产出!$D$6</f>
        <v>5.0769485432700181E-6</v>
      </c>
    </row>
    <row r="4731" spans="1:4" ht="16.5" hidden="1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313">
        <f>材料产出!$AT$7/(基本属性!$A$7/(基本属性!$AS$7*1/3600))*材料产出!$D$7</f>
        <v>6.1431077373567221E-6</v>
      </c>
    </row>
    <row r="4732" spans="1:4" ht="16.5" hidden="1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313">
        <f>材料产出!$AT$8/(基本属性!$A$8/(基本属性!$AS$8*1/3600))*材料产出!$D$8</f>
        <v>7.3108059023088248E-6</v>
      </c>
    </row>
    <row r="4733" spans="1:4" ht="16.5" hidden="1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313">
        <f>材料产出!$AT$9/(基本属性!$A$9/(基本属性!$AS$9*1/3600))*材料产出!$D$9</f>
        <v>8.5800430381263321E-6</v>
      </c>
    </row>
    <row r="4734" spans="1:4" ht="16.5" hidden="1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313">
        <f>材料产出!$AT$10/(基本属性!$A$10/(基本属性!$AS$10*1/3600))*材料产出!$D$10</f>
        <v>9.9508191448092338E-6</v>
      </c>
    </row>
    <row r="4735" spans="1:4" ht="16.5" hidden="1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313">
        <f>材料产出!$AT$11/(基本属性!$A$11/(基本属性!$AS$11*1/3600))*材料产出!$D$11</f>
        <v>1.142313422235754E-5</v>
      </c>
    </row>
    <row r="4736" spans="1:4" ht="16.5" hidden="1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313">
        <f>材料产出!$AT$12/(基本属性!$A$12/(基本属性!$AS$12*1/3600))*材料产出!$D$12</f>
        <v>1.2996988270771247E-5</v>
      </c>
    </row>
    <row r="4737" spans="1:4" ht="16.5" hidden="1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313">
        <f>材料产出!$AT$13/(基本属性!$A$13/(基本属性!$AS$13*1/3600))*材料产出!$D$13</f>
        <v>1.6449313280194861E-5</v>
      </c>
    </row>
    <row r="4738" spans="1:4" ht="16.5" hidden="1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313">
        <f>材料产出!$AT$14/(基本属性!$A$14/(基本属性!$AS$14*1/3600))*材料产出!$D$14</f>
        <v>2.0307794173080072E-5</v>
      </c>
    </row>
    <row r="4739" spans="1:4" ht="16.5" hidden="1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313">
        <f>材料产出!$AT$15/(基本属性!$A$15/(基本属性!$AS$15*1/3600))*材料产出!$D$15</f>
        <v>2.4572430949426888E-5</v>
      </c>
    </row>
    <row r="4740" spans="1:4" ht="16.5" hidden="1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313">
        <f>材料产出!$AT$16/(基本属性!$A$16/(基本属性!$AS$16*1/3600))*材料产出!$D$16</f>
        <v>3.1730928395437611E-5</v>
      </c>
    </row>
    <row r="4741" spans="1:4" ht="16.5" hidden="1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313">
        <f>材料产出!$AT$17/(基本属性!$A$17/(基本属性!$AS$17*1/3600))*材料产出!$D$17</f>
        <v>4.5692536889430153E-5</v>
      </c>
    </row>
    <row r="4742" spans="1:4" ht="16.5" hidden="1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313">
        <f>材料产出!$AT$18/(基本属性!$A$18/(基本属性!$AS$18*1/3600))*材料产出!$D$18</f>
        <v>6.2192619655057697E-5</v>
      </c>
    </row>
    <row r="4743" spans="1:4" ht="16.5" hidden="1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313">
        <f>材料产出!$AT$19/(基本属性!$A$19/(基本属性!$AS$19*1/3600))*材料产出!$D$19</f>
        <v>6.9503425557366556E-5</v>
      </c>
    </row>
    <row r="4744" spans="1:4" ht="16.5" hidden="1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313">
        <f>材料产出!$AT$20/(基本属性!$A$20/(基本属性!$AS$20*1/3600))*材料产出!$D$20</f>
        <v>8.1231176692320289E-5</v>
      </c>
    </row>
    <row r="4745" spans="1:4" ht="16.5" hidden="1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313">
        <f>材料产出!$AT$21/(基本属性!$A$21/(基本属性!$AS$21*1/3600))*材料产出!$D$21</f>
        <v>9.3872778565062625E-5</v>
      </c>
    </row>
    <row r="4746" spans="1:4" ht="16.5" hidden="1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313">
        <f>材料产出!$AT$22/(基本属性!$A$22/(基本属性!$AS$22*1/3600))*材料产出!$D$22</f>
        <v>1.0742823117559356E-4</v>
      </c>
    </row>
    <row r="4747" spans="1:4" ht="16.5" hidden="1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313">
        <f>材料产出!$AT$23/(基本属性!$A$23/(基本属性!$AS$23*1/3600))*材料产出!$D$23</f>
        <v>1.2189753452391316E-4</v>
      </c>
    </row>
    <row r="4748" spans="1:4" ht="16.5" hidden="1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313">
        <f>材料产出!$AT$24/(基本属性!$A$24/(基本属性!$AS$24*1/3600))*材料产出!$D$24</f>
        <v>1.3728068861002129E-4</v>
      </c>
    </row>
    <row r="4749" spans="1:4" ht="16.5" hidden="1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313">
        <f>材料产出!$AT$25/(基本属性!$A$25/(基本属性!$AS$25*1/3600))*材料产出!$D$25</f>
        <v>1.5357769343391804E-4</v>
      </c>
    </row>
    <row r="4750" spans="1:4" ht="16.5" hidden="1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313">
        <f>材料产出!$AT$26/(基本属性!$A$26/(基本属性!$AS$26*1/3600))*材料产出!$D$26</f>
        <v>1.7078854899560338E-4</v>
      </c>
    </row>
    <row r="4751" spans="1:4" ht="16.5" hidden="1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313">
        <f>材料产出!$AT$27/(基本属性!$A$27/(基本属性!$AS$27*1/3600))*材料产出!$D$27</f>
        <v>1.8891325529507731E-4</v>
      </c>
    </row>
    <row r="4752" spans="1:4" ht="16.5" hidden="1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313">
        <f>材料产出!$AT$28/(基本属性!$A$28/(基本属性!$AS$28*1/3600))*材料产出!$D$28</f>
        <v>2.0795181233233996E-4</v>
      </c>
    </row>
    <row r="4753" spans="1:4" ht="16.5" hidden="1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313">
        <f>材料产出!$AT$29/(基本属性!$A$29/(基本属性!$AS$29*1/3600))*材料产出!$D$29</f>
        <v>2.2790422010739107E-4</v>
      </c>
    </row>
    <row r="4754" spans="1:4" ht="16.5" hidden="1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313">
        <f>材料产出!$AT$30/(基本属性!$A$30/(基本属性!$AS$30*1/3600))*材料产出!$D$30</f>
        <v>2.487704786202309E-4</v>
      </c>
    </row>
    <row r="4755" spans="1:4" ht="16.5" hidden="1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313">
        <f>材料产出!$X$4/(基本属性!$A$4/(基本属性!$AS$4*1/3600))*材料产出!$D$4</f>
        <v>5.9121072885159561E-4</v>
      </c>
    </row>
    <row r="4756" spans="1:4" ht="16.5" hidden="1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313">
        <f>材料产出!$X$5/(基本属性!$A$5/(基本属性!$AS$5*1/3600))*材料产出!$D$5</f>
        <v>7.4825107870280059E-4</v>
      </c>
    </row>
    <row r="4757" spans="1:4" ht="16.5" hidden="1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313">
        <f>材料产出!$X$6/(基本属性!$A$6/(基本属性!$AS$6*1/3600))*材料产出!$D$6</f>
        <v>9.2376676383061792E-4</v>
      </c>
    </row>
    <row r="4758" spans="1:4" ht="16.5" hidden="1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313">
        <f>材料产出!$X$7/(基本属性!$A$7/(基本属性!$AS$7*1/3600))*材料产出!$D$7</f>
        <v>1.1177577842350478E-3</v>
      </c>
    </row>
    <row r="4759" spans="1:4" ht="16.5" hidden="1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313">
        <f>材料产出!$X$8/(基本属性!$A$8/(基本属性!$AS$8*1/3600))*材料产出!$D$8</f>
        <v>1.3302241399160896E-3</v>
      </c>
    </row>
    <row r="4760" spans="1:4" ht="16.5" hidden="1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313">
        <f>材料产出!$X$9/(基本属性!$A$9/(基本属性!$AS$9*1/3600))*材料产出!$D$9</f>
        <v>1.5611658308737446E-3</v>
      </c>
    </row>
    <row r="4761" spans="1:4" ht="16.5" hidden="1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313">
        <f>材料产出!$X$10/(基本属性!$A$10/(基本属性!$AS$10*1/3600))*材料产出!$D$10</f>
        <v>1.8105828571080107E-3</v>
      </c>
    </row>
    <row r="4762" spans="1:4" ht="16.5" hidden="1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313">
        <f>材料产出!$X$11/(基本属性!$A$11/(基本属性!$AS$11*1/3600))*材料产出!$D$11</f>
        <v>2.0784752186188906E-3</v>
      </c>
    </row>
    <row r="4763" spans="1:4" ht="16.5" hidden="1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313">
        <f>材料产出!$X$12/(基本属性!$A$12/(基本属性!$AS$12*1/3600))*材料产出!$D$12</f>
        <v>2.3648429154063825E-3</v>
      </c>
    </row>
    <row r="4764" spans="1:4" ht="16.5" hidden="1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313">
        <f>材料产出!$X$13/(基本属性!$A$13/(基本属性!$AS$13*1/3600))*材料产出!$D$13</f>
        <v>2.9930043148112023E-3</v>
      </c>
    </row>
    <row r="4765" spans="1:4" ht="16.5" hidden="1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313">
        <f>材料产出!$X$14/(基本属性!$A$14/(基本属性!$AS$14*1/3600))*材料产出!$D$14</f>
        <v>3.6950670553224712E-3</v>
      </c>
    </row>
    <row r="4766" spans="1:4" ht="16.5" hidden="1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313">
        <f>材料产出!$X$15/(基本属性!$A$15/(基本属性!$AS$15*1/3600))*材料产出!$D$15</f>
        <v>4.4710311369401913E-3</v>
      </c>
    </row>
    <row r="4767" spans="1:4" ht="16.5" hidden="1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313">
        <f>材料产出!$X$16/(基本属性!$A$16/(基本属性!$AS$16*1/3600))*材料产出!$D$16</f>
        <v>5.7735422739413613E-3</v>
      </c>
    </row>
    <row r="4768" spans="1:4" ht="16.5" hidden="1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313">
        <f>材料产出!$X$17/(基本属性!$A$17/(基本属性!$AS$17*1/3600))*材料产出!$D$17</f>
        <v>8.3139008744755605E-3</v>
      </c>
    </row>
    <row r="4769" spans="1:4" ht="16.5" hidden="1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313">
        <f>材料产出!$X$18/(基本属性!$A$18/(基本属性!$AS$18*1/3600))*材料产出!$D$18</f>
        <v>1.1316142856925069E-2</v>
      </c>
    </row>
    <row r="4770" spans="1:4" ht="16.5" hidden="1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313">
        <f>材料产出!$X$19/(基本属性!$A$19/(基本属性!$AS$19*1/3600))*材料产出!$D$19</f>
        <v>1.2646366996841161E-2</v>
      </c>
    </row>
    <row r="4771" spans="1:4" ht="16.5" hidden="1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313">
        <f>材料产出!$X$20/(基本属性!$A$20/(基本属性!$AS$20*1/3600))*材料产出!$D$20</f>
        <v>1.4780268221289885E-2</v>
      </c>
    </row>
    <row r="4772" spans="1:4" ht="16.5" hidden="1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313">
        <f>材料产出!$X$21/(基本属性!$A$21/(基本属性!$AS$21*1/3600))*材料产出!$D$21</f>
        <v>1.7080447463228121E-2</v>
      </c>
    </row>
    <row r="4773" spans="1:4" ht="16.5" hidden="1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313">
        <f>材料产出!$X$22/(基本属性!$A$22/(基本属性!$AS$22*1/3600))*材料产出!$D$22</f>
        <v>1.9546904722655873E-2</v>
      </c>
    </row>
    <row r="4774" spans="1:4" ht="16.5" hidden="1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313">
        <f>材料产出!$X$23/(基本属性!$A$23/(基本属性!$AS$23*1/3600))*材料产出!$D$23</f>
        <v>2.2179639999573141E-2</v>
      </c>
    </row>
    <row r="4775" spans="1:4" ht="16.5" hidden="1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313">
        <f>材料产出!$X$24/(基本属性!$A$24/(基本属性!$AS$24*1/3600))*材料产出!$D$24</f>
        <v>2.497865329397991E-2</v>
      </c>
    </row>
    <row r="4776" spans="1:4" ht="16.5" hidden="1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313">
        <f>材料产出!$X$25/(基本属性!$A$25/(基本属性!$AS$25*1/3600))*材料产出!$D$25</f>
        <v>2.7943944605876195E-2</v>
      </c>
    </row>
    <row r="4777" spans="1:4" ht="16.5" hidden="1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313">
        <f>材料产出!$X$26/(基本属性!$A$26/(基本属性!$AS$26*1/3600))*材料产出!$D$26</f>
        <v>3.1075513935261985E-2</v>
      </c>
    </row>
    <row r="4778" spans="1:4" ht="16.5" hidden="1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313">
        <f>材料产出!$X$27/(基本属性!$A$27/(基本属性!$AS$27*1/3600))*材料产出!$D$27</f>
        <v>3.4373361282137284E-2</v>
      </c>
    </row>
    <row r="4779" spans="1:4" ht="16.5" hidden="1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313">
        <f>材料产出!$X$28/(基本属性!$A$28/(基本属性!$AS$28*1/3600))*材料产出!$D$28</f>
        <v>3.7837486646502112E-2</v>
      </c>
    </row>
    <row r="4780" spans="1:4" ht="16.5" hidden="1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313">
        <f>材料产出!$X$29/(基本属性!$A$29/(基本属性!$AS$29*1/3600))*材料产出!$D$29</f>
        <v>4.1467890028356443E-2</v>
      </c>
    </row>
    <row r="4781" spans="1:4" ht="16.5" hidden="1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313">
        <f>材料产出!$X$30/(基本属性!$A$30/(基本属性!$AS$30*1/3600))*材料产出!$D$30</f>
        <v>4.5264571427700281E-2</v>
      </c>
    </row>
    <row r="4782" spans="1:4" ht="16.5" hidden="1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313">
        <f>材料产出!$V$4/(基本属性!$A$4/(基本属性!$AS$4*1/3600))*材料产出!$D$4</f>
        <v>5.9121072885159561E-4</v>
      </c>
    </row>
    <row r="4783" spans="1:4" ht="16.5" hidden="1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313">
        <f>材料产出!$V$5/(基本属性!$A$5/(基本属性!$AS$5*1/3600))*材料产出!$D$5</f>
        <v>7.4825107870280059E-4</v>
      </c>
    </row>
    <row r="4784" spans="1:4" ht="16.5" hidden="1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313">
        <f>材料产出!$V$6/(基本属性!$A$6/(基本属性!$AS$6*1/3600))*材料产出!$D$6</f>
        <v>9.2376676383061792E-4</v>
      </c>
    </row>
    <row r="4785" spans="1:4" ht="16.5" hidden="1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313">
        <f>材料产出!$V$7/(基本属性!$A$7/(基本属性!$AS$7*1/3600))*材料产出!$D$7</f>
        <v>1.1177577842350478E-3</v>
      </c>
    </row>
    <row r="4786" spans="1:4" ht="16.5" hidden="1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313">
        <f>材料产出!$V$8/(基本属性!$A$8/(基本属性!$AS$8*1/3600))*材料产出!$D$8</f>
        <v>1.3302241399160896E-3</v>
      </c>
    </row>
    <row r="4787" spans="1:4" ht="16.5" hidden="1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313">
        <f>材料产出!$V$9/(基本属性!$A$9/(基本属性!$AS$9*1/3600))*材料产出!$D$9</f>
        <v>1.5611658308737446E-3</v>
      </c>
    </row>
    <row r="4788" spans="1:4" ht="16.5" hidden="1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313">
        <f>材料产出!$V$10/(基本属性!$A$10/(基本属性!$AS$10*1/3600))*材料产出!$D$10</f>
        <v>1.8105828571080107E-3</v>
      </c>
    </row>
    <row r="4789" spans="1:4" ht="16.5" hidden="1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313">
        <f>材料产出!$V$11/(基本属性!$A$11/(基本属性!$AS$11*1/3600))*材料产出!$D$11</f>
        <v>2.0784752186188906E-3</v>
      </c>
    </row>
    <row r="4790" spans="1:4" ht="16.5" hidden="1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313">
        <f>材料产出!$V$12/(基本属性!$A$12/(基本属性!$AS$12*1/3600))*材料产出!$D$12</f>
        <v>2.3648429154063825E-3</v>
      </c>
    </row>
    <row r="4791" spans="1:4" ht="16.5" hidden="1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313">
        <f>材料产出!$V$13/(基本属性!$A$13/(基本属性!$AS$13*1/3600))*材料产出!$D$13</f>
        <v>2.9930043148112023E-3</v>
      </c>
    </row>
    <row r="4792" spans="1:4" ht="16.5" hidden="1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313">
        <f>材料产出!$V$14/(基本属性!$A$14/(基本属性!$AS$14*1/3600))*材料产出!$D$14</f>
        <v>3.6950670553224712E-3</v>
      </c>
    </row>
    <row r="4793" spans="1:4" ht="16.5" hidden="1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313">
        <f>材料产出!$V$15/(基本属性!$A$15/(基本属性!$AS$15*1/3600))*材料产出!$D$15</f>
        <v>4.4710311369401913E-3</v>
      </c>
    </row>
    <row r="4794" spans="1:4" ht="16.5" hidden="1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313">
        <f>材料产出!$V$16/(基本属性!$A$16/(基本属性!$AS$16*1/3600))*材料产出!$D$16</f>
        <v>5.7735422739413613E-3</v>
      </c>
    </row>
    <row r="4795" spans="1:4" ht="16.5" hidden="1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313">
        <f>材料产出!$V$17/(基本属性!$A$17/(基本属性!$AS$17*1/3600))*材料产出!$D$17</f>
        <v>8.3139008744755605E-3</v>
      </c>
    </row>
    <row r="4796" spans="1:4" ht="16.5" hidden="1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313">
        <f>材料产出!$V$18/(基本属性!$A$18/(基本属性!$AS$18*1/3600))*材料产出!$D$18</f>
        <v>1.1316142856925069E-2</v>
      </c>
    </row>
    <row r="4797" spans="1:4" ht="16.5" hidden="1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313">
        <f>材料产出!$V$19/(基本属性!$A$19/(基本属性!$AS$19*1/3600))*材料产出!$D$19</f>
        <v>1.2646366996841161E-2</v>
      </c>
    </row>
    <row r="4798" spans="1:4" ht="16.5" hidden="1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313">
        <f>材料产出!$V$20/(基本属性!$A$20/(基本属性!$AS$20*1/3600))*材料产出!$D$20</f>
        <v>1.4780268221289885E-2</v>
      </c>
    </row>
    <row r="4799" spans="1:4" ht="16.5" hidden="1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313">
        <f>材料产出!$V$21/(基本属性!$A$21/(基本属性!$AS$21*1/3600))*材料产出!$D$21</f>
        <v>1.7080447463228121E-2</v>
      </c>
    </row>
    <row r="4800" spans="1:4" ht="16.5" hidden="1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313">
        <f>材料产出!$V$22/(基本属性!$A$22/(基本属性!$AS$22*1/3600))*材料产出!$D$22</f>
        <v>1.9546904722655873E-2</v>
      </c>
    </row>
    <row r="4801" spans="1:4" ht="16.5" hidden="1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313">
        <f>材料产出!$V$23/(基本属性!$A$23/(基本属性!$AS$23*1/3600))*材料产出!$D$23</f>
        <v>2.2179639999573141E-2</v>
      </c>
    </row>
    <row r="4802" spans="1:4" ht="16.5" hidden="1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313">
        <f>材料产出!$V$24/(基本属性!$A$24/(基本属性!$AS$24*1/3600))*材料产出!$D$24</f>
        <v>2.497865329397991E-2</v>
      </c>
    </row>
    <row r="4803" spans="1:4" ht="16.5" hidden="1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313">
        <f>材料产出!$V$25/(基本属性!$A$25/(基本属性!$AS$25*1/3600))*材料产出!$D$25</f>
        <v>2.7943944605876195E-2</v>
      </c>
    </row>
    <row r="4804" spans="1:4" ht="16.5" hidden="1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313">
        <f>材料产出!$V$26/(基本属性!$A$26/(基本属性!$AS$26*1/3600))*材料产出!$D$26</f>
        <v>3.1075513935261985E-2</v>
      </c>
    </row>
    <row r="4805" spans="1:4" ht="16.5" hidden="1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313">
        <f>材料产出!$V$27/(基本属性!$A$27/(基本属性!$AS$27*1/3600))*材料产出!$D$27</f>
        <v>3.4373361282137284E-2</v>
      </c>
    </row>
    <row r="4806" spans="1:4" ht="16.5" hidden="1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313">
        <f>材料产出!$V$28/(基本属性!$A$28/(基本属性!$AS$28*1/3600))*材料产出!$D$28</f>
        <v>3.7837486646502112E-2</v>
      </c>
    </row>
    <row r="4807" spans="1:4" ht="16.5" hidden="1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313">
        <f>材料产出!$V$29/(基本属性!$A$29/(基本属性!$AS$29*1/3600))*材料产出!$D$29</f>
        <v>4.1467890028356443E-2</v>
      </c>
    </row>
    <row r="4808" spans="1:4" ht="16.5" hidden="1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313">
        <f>材料产出!$V$30/(基本属性!$A$30/(基本属性!$AS$30*1/3600))*材料产出!$D$30</f>
        <v>4.5264571427700281E-2</v>
      </c>
    </row>
    <row r="4809" spans="1:4" ht="16.5" hidden="1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313">
        <f>材料产出!$AB$4/(基本属性!$A$4/(基本属性!$AS$4*1/3600))*材料产出!$D$4</f>
        <v>1.5155110691938707E-2</v>
      </c>
    </row>
    <row r="4810" spans="1:4" ht="16.5" hidden="1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313">
        <f>材料产出!$AB$5/(基本属性!$A$5/(基本属性!$AS$5*1/3600))*材料产出!$D$5</f>
        <v>1.9180686969484929E-2</v>
      </c>
    </row>
    <row r="4811" spans="1:4" ht="16.5" hidden="1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313">
        <f>材料产出!$AB$6/(基本属性!$A$6/(基本属性!$AS$6*1/3600))*材料产出!$D$6</f>
        <v>2.3679860456154229E-2</v>
      </c>
    </row>
    <row r="4812" spans="1:4" ht="16.5" hidden="1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313">
        <f>材料产出!$AB$7/(基本属性!$A$7/(基本属性!$AS$7*1/3600))*材料产出!$D$7</f>
        <v>2.865263115194662E-2</v>
      </c>
    </row>
    <row r="4813" spans="1:4" ht="16.5" hidden="1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313">
        <f>材料产出!$AB$8/(基本属性!$A$8/(基本属性!$AS$8*1/3600))*材料产出!$D$8</f>
        <v>3.4098999056862082E-2</v>
      </c>
    </row>
    <row r="4814" spans="1:4" ht="16.5" hidden="1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313">
        <f>材料产出!$AB$9/(基本属性!$A$9/(基本属性!$AS$9*1/3600))*材料产出!$D$9</f>
        <v>4.0018964170900645E-2</v>
      </c>
    </row>
    <row r="4815" spans="1:4" ht="16.5" hidden="1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313">
        <f>材料产出!$AB$10/(基本属性!$A$10/(基本属性!$AS$10*1/3600))*材料产出!$D$10</f>
        <v>4.641252649406228E-2</v>
      </c>
    </row>
    <row r="4816" spans="1:4" ht="16.5" hidden="1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313">
        <f>材料产出!$AB$11/(基本属性!$A$11/(基本属性!$AS$11*1/3600))*材料产出!$D$11</f>
        <v>5.3279686026347015E-2</v>
      </c>
    </row>
    <row r="4817" spans="1:4" ht="16.5" hidden="1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313">
        <f>材料产出!$AB$12/(基本属性!$A$12/(基本属性!$AS$12*1/3600))*材料产出!$D$12</f>
        <v>6.0620442767754835E-2</v>
      </c>
    </row>
    <row r="4818" spans="1:4" ht="16.5" hidden="1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313">
        <f>材料产出!$AB$13/(基本属性!$A$13/(基本属性!$AS$13*1/3600))*材料产出!$D$13</f>
        <v>7.6722747877939715E-2</v>
      </c>
    </row>
    <row r="4819" spans="1:4" ht="16.5" hidden="1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313">
        <f>材料产出!$AB$14/(基本属性!$A$14/(基本属性!$AS$14*1/3600))*材料产出!$D$14</f>
        <v>9.4719441824616904E-2</v>
      </c>
    </row>
    <row r="4820" spans="1:4" ht="16.5" hidden="1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313">
        <f>材料产出!$AB$15/(基本属性!$A$15/(基本属性!$AS$15*1/3600))*材料产出!$D$15</f>
        <v>0.11461052460778648</v>
      </c>
    </row>
    <row r="4821" spans="1:4" ht="16.5" hidden="1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313">
        <f>材料产出!$AB$16/(基本属性!$A$16/(基本属性!$AS$16*1/3600))*材料产出!$D$16</f>
        <v>0.14799912785096392</v>
      </c>
    </row>
    <row r="4822" spans="1:4" ht="16.5" hidden="1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313">
        <f>材料产出!$AB$17/(基本属性!$A$17/(基本属性!$AS$17*1/3600))*材料产出!$D$17</f>
        <v>0.213118744105388</v>
      </c>
    </row>
    <row r="4823" spans="1:4" ht="16.5" hidden="1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313">
        <f>材料产出!$AB$18/(基本属性!$A$18/(基本属性!$AS$18*1/3600))*材料产出!$D$18</f>
        <v>0.29007829058788925</v>
      </c>
    </row>
    <row r="4824" spans="1:4" ht="16.5" hidden="1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313">
        <f>材料产出!$AB$19/(基本属性!$A$19/(基本属性!$AS$19*1/3600))*材料产出!$D$19</f>
        <v>0.3241772896447514</v>
      </c>
    </row>
    <row r="4825" spans="1:4" ht="16.5" hidden="1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313">
        <f>材料产出!$AB$20/(基本属性!$A$20/(基本属性!$AS$20*1/3600))*材料产出!$D$20</f>
        <v>0.37887776729846762</v>
      </c>
    </row>
    <row r="4826" spans="1:4" ht="16.5" hidden="1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313">
        <f>材料产出!$AB$21/(基本属性!$A$21/(基本属性!$AS$21*1/3600))*材料产出!$D$21</f>
        <v>0.43784061983429157</v>
      </c>
    </row>
    <row r="4827" spans="1:4" ht="16.5" hidden="1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313">
        <f>材料产出!$AB$22/(基本属性!$A$22/(基本属性!$AS$22*1/3600))*材料产出!$D$22</f>
        <v>0.50106584725222336</v>
      </c>
    </row>
    <row r="4828" spans="1:4" ht="16.5" hidden="1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313">
        <f>材料产出!$AB$23/(基本属性!$A$23/(基本属性!$AS$23*1/3600))*材料产出!$D$23</f>
        <v>0.56855344955226306</v>
      </c>
    </row>
    <row r="4829" spans="1:4" ht="16.5" hidden="1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313">
        <f>材料产出!$AB$24/(基本属性!$A$24/(基本属性!$AS$24*1/3600))*材料产出!$D$24</f>
        <v>0.64030342673441032</v>
      </c>
    </row>
    <row r="4830" spans="1:4" ht="16.5" hidden="1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313">
        <f>材料产出!$AB$25/(基本属性!$A$25/(基本属性!$AS$25*1/3600))*材料产出!$D$25</f>
        <v>0.71631577879866559</v>
      </c>
    </row>
    <row r="4831" spans="1:4" ht="16.5" hidden="1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313">
        <f>材料产出!$AB$26/(基本属性!$A$26/(基本属性!$AS$26*1/3600))*材料产出!$D$26</f>
        <v>0.79659050574502821</v>
      </c>
    </row>
    <row r="4832" spans="1:4" ht="16.5" hidden="1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313">
        <f>材料产出!$AB$27/(基本属性!$A$27/(基本属性!$AS$27*1/3600))*材料产出!$D$27</f>
        <v>0.88112760757349873</v>
      </c>
    </row>
    <row r="4833" spans="1:4" ht="16.5" hidden="1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313">
        <f>材料产出!$AB$28/(基本属性!$A$28/(基本属性!$AS$28*1/3600))*材料产出!$D$28</f>
        <v>0.96992708428407726</v>
      </c>
    </row>
    <row r="4834" spans="1:4" ht="16.5" hidden="1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313">
        <f>材料产出!$AB$29/(基本属性!$A$29/(基本属性!$AS$29*1/3600))*材料产出!$D$29</f>
        <v>1.0629889358767635</v>
      </c>
    </row>
    <row r="4835" spans="1:4" ht="16.5" hidden="1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313">
        <f>材料产出!$AB$30/(基本属性!$A$30/(基本属性!$AS$30*1/3600))*材料产出!$D$30</f>
        <v>1.1603131623515572</v>
      </c>
    </row>
    <row r="4836" spans="1:4" ht="16.5" hidden="1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313">
        <f>材料产出!$AX$4/(基本属性!$A$4/(基本属性!$AS$4*1/3600))*材料产出!$D$4</f>
        <v>8.9354294361552317E-5</v>
      </c>
    </row>
    <row r="4837" spans="1:4" ht="16.5" hidden="1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313">
        <f>材料产出!$AX$5/(基本属性!$A$5/(基本属性!$AS$5*1/3600))*材料产出!$D$5</f>
        <v>1.1308902880133968E-4</v>
      </c>
    </row>
    <row r="4838" spans="1:4" ht="16.5" hidden="1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313">
        <f>材料产出!$AX$6/(基本属性!$A$6/(基本属性!$AS$6*1/3600))*材料产出!$D$6</f>
        <v>1.3961608493992549E-4</v>
      </c>
    </row>
    <row r="4839" spans="1:4" ht="16.5" hidden="1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313">
        <f>材料产出!$AX$7/(基本属性!$A$7/(基本属性!$AS$7*1/3600))*材料产出!$D$7</f>
        <v>1.6893546277730988E-4</v>
      </c>
    </row>
    <row r="4840" spans="1:4" ht="16.5" hidden="1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313">
        <f>材料产出!$AX$8/(基本属性!$A$8/(基本属性!$AS$8*1/3600))*材料产出!$D$8</f>
        <v>2.0104716231349263E-4</v>
      </c>
    </row>
    <row r="4841" spans="1:4" ht="16.5" hidden="1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313">
        <f>材料产出!$AX$9/(基本属性!$A$9/(基本属性!$AS$9*1/3600))*材料产出!$D$9</f>
        <v>2.3595118354847409E-4</v>
      </c>
    </row>
    <row r="4842" spans="1:4" ht="16.5" hidden="1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313">
        <f>材料产出!$AX$10/(基本属性!$A$10/(基本属性!$AS$10*1/3600))*材料产出!$D$10</f>
        <v>2.7364752648225392E-4</v>
      </c>
    </row>
    <row r="4843" spans="1:4" ht="16.5" hidden="1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313">
        <f>材料产出!$AX$11/(基本属性!$A$11/(基本属性!$AS$11*1/3600))*材料产出!$D$11</f>
        <v>3.1413619111483236E-4</v>
      </c>
    </row>
    <row r="4844" spans="1:4" ht="16.5" hidden="1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313">
        <f>材料产出!$AX$12/(基本属性!$A$12/(基本属性!$AS$12*1/3600))*材料产出!$D$12</f>
        <v>3.5741717744620927E-4</v>
      </c>
    </row>
    <row r="4845" spans="1:4" ht="16.5" hidden="1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313">
        <f>材料产出!$AX$13/(基本属性!$A$13/(基本属性!$AS$13*1/3600))*材料产出!$D$13</f>
        <v>4.523561152053586E-4</v>
      </c>
    </row>
    <row r="4846" spans="1:4" ht="16.5" hidden="1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313">
        <f>材料产出!$AX$14/(基本属性!$A$14/(基本属性!$AS$14*1/3600))*材料产出!$D$14</f>
        <v>5.5846433975970187E-4</v>
      </c>
    </row>
    <row r="4847" spans="1:4" ht="16.5" hidden="1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313">
        <f>材料产出!$AX$15/(基本属性!$A$15/(基本属性!$AS$15*1/3600))*材料产出!$D$15</f>
        <v>6.7574185110923929E-4</v>
      </c>
    </row>
    <row r="4848" spans="1:4" ht="16.5" hidden="1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313">
        <f>材料产出!$AX$16/(基本属性!$A$16/(基本属性!$AS$16*1/3600))*材料产出!$D$16</f>
        <v>8.7260053087453418E-4</v>
      </c>
    </row>
    <row r="4849" spans="1:4" ht="16.5" hidden="1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313">
        <f>材料产出!$AX$17/(基本属性!$A$17/(基本属性!$AS$17*1/3600))*材料产出!$D$17</f>
        <v>1.2565447644593292E-3</v>
      </c>
    </row>
    <row r="4850" spans="1:4" ht="16.5" hidden="1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313">
        <f>材料产出!$AX$18/(基本属性!$A$18/(基本属性!$AS$18*1/3600))*材料产出!$D$18</f>
        <v>1.7102970405140868E-3</v>
      </c>
    </row>
    <row r="4851" spans="1:4" ht="16.5" hidden="1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313">
        <f>材料产出!$AX$19/(基本属性!$A$19/(基本属性!$AS$19*1/3600))*材料产出!$D$19</f>
        <v>1.9113442028275802E-3</v>
      </c>
    </row>
    <row r="4852" spans="1:4" ht="16.5" hidden="1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313">
        <f>材料产出!$AX$20/(基本属性!$A$20/(基本属性!$AS$20*1/3600))*材料产出!$D$20</f>
        <v>2.2338573590388075E-3</v>
      </c>
    </row>
    <row r="4853" spans="1:4" ht="16.5" hidden="1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313">
        <f>材料产出!$AX$21/(基本属性!$A$21/(基本属性!$AS$21*1/3600))*材料产出!$D$21</f>
        <v>2.5815014105392219E-3</v>
      </c>
    </row>
    <row r="4854" spans="1:4" ht="16.5" hidden="1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313">
        <f>材料产出!$AX$22/(基本属性!$A$22/(基本属性!$AS$22*1/3600))*材料产出!$D$22</f>
        <v>2.9542763573288233E-3</v>
      </c>
    </row>
    <row r="4855" spans="1:4" ht="16.5" hidden="1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313">
        <f>材料产出!$AX$23/(基本属性!$A$23/(基本属性!$AS$23*1/3600))*材料产出!$D$23</f>
        <v>3.3521821994076115E-3</v>
      </c>
    </row>
    <row r="4856" spans="1:4" ht="16.5" hidden="1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313">
        <f>材料产出!$AX$24/(基本属性!$A$24/(基本属性!$AS$24*1/3600))*材料产出!$D$24</f>
        <v>3.7752189367755849E-3</v>
      </c>
    </row>
    <row r="4857" spans="1:4" ht="16.5" hidden="1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313">
        <f>材料产出!$AX$25/(基本属性!$A$25/(基本属性!$AS$25*1/3600))*材料产出!$D$25</f>
        <v>4.2233865694327457E-3</v>
      </c>
    </row>
    <row r="4858" spans="1:4" ht="16.5" hidden="1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313">
        <f>材料产出!$AX$26/(基本属性!$A$26/(基本属性!$AS$26*1/3600))*材料产出!$D$26</f>
        <v>4.6966850973790926E-3</v>
      </c>
    </row>
    <row r="4859" spans="1:4" ht="16.5" hidden="1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313">
        <f>材料产出!$AX$27/(基本属性!$A$27/(基本属性!$AS$27*1/3600))*材料产出!$D$27</f>
        <v>5.1951145206146259E-3</v>
      </c>
    </row>
    <row r="4860" spans="1:4" ht="16.5" hidden="1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313">
        <f>材料产出!$AX$28/(基本属性!$A$28/(基本属性!$AS$28*1/3600))*材料产出!$D$28</f>
        <v>5.7186748391393483E-3</v>
      </c>
    </row>
    <row r="4861" spans="1:4" ht="16.5" hidden="1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313">
        <f>材料产出!$AX$29/(基本属性!$A$29/(基本属性!$AS$29*1/3600))*材料产出!$D$29</f>
        <v>6.2673660529532545E-3</v>
      </c>
    </row>
    <row r="4862" spans="1:4" ht="16.5" hidden="1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313">
        <f>材料产出!$AX$30/(基本属性!$A$30/(基本属性!$AS$30*1/3600))*材料产出!$D$30</f>
        <v>6.841188162056349E-3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314">
        <f>ROUND(SUM(升级!$I$36:$I$40)/(基本属性!$A$4/(基本属性!$AS$4*1/3600)),0)</f>
        <v>1667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314">
        <f>ROUND(SUM(升级!$I$40:$I$49)/(基本属性!$A$5/(基本属性!$AS$5*1/3600)),0)</f>
        <v>2662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314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314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314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314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314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314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314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314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314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314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314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314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314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314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314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314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314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314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314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314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314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314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314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314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314">
        <f>ROUND(SUM(升级!$I$250:$I$259)/(基本属性!$A$30/(基本属性!$AS$30*1/3600)),0)</f>
        <v>583333</v>
      </c>
    </row>
    <row r="4890" spans="1:4" ht="16.5" hidden="1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313">
        <f>材料产出!$AN$4/(基本属性!$A$4/(基本属性!$AS$4*1/3600))*材料产出!$D$4</f>
        <v>5.188511255912508E-4</v>
      </c>
    </row>
    <row r="4891" spans="1:4" ht="16.5" hidden="1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313">
        <f>材料产出!$AN$5/(基本属性!$A$5/(基本属性!$AS$5*1/3600))*材料产出!$D$5</f>
        <v>6.5667095582642694E-4</v>
      </c>
    </row>
    <row r="4892" spans="1:4" ht="16.5" hidden="1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313">
        <f>材料产出!$AN$6/(基本属性!$A$6/(基本属性!$AS$6*1/3600))*材料产出!$D$6</f>
        <v>8.1070488373632932E-4</v>
      </c>
    </row>
    <row r="4893" spans="1:4" ht="16.5" hidden="1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313">
        <f>材料产出!$AN$7/(基本属性!$A$7/(基本属性!$AS$7*1/3600))*材料产出!$D$7</f>
        <v>9.8095290932095859E-4</v>
      </c>
    </row>
    <row r="4894" spans="1:4" ht="16.5" hidden="1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313">
        <f>材料产出!$AN$8/(基本属性!$A$8/(基本属性!$AS$8*1/3600))*材料产出!$D$8</f>
        <v>1.1674150325803141E-3</v>
      </c>
    </row>
    <row r="4895" spans="1:4" ht="16.5" hidden="1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313">
        <f>材料产出!$AN$9/(基本属性!$A$9/(基本属性!$AS$9*1/3600))*材料产出!$D$9</f>
        <v>1.3700912535143969E-3</v>
      </c>
    </row>
    <row r="4896" spans="1:4" ht="16.5" hidden="1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313">
        <f>材料产出!$AN$10/(基本属性!$A$10/(基本属性!$AS$10*1/3600))*材料产出!$D$10</f>
        <v>1.5889815721232053E-3</v>
      </c>
    </row>
    <row r="4897" spans="1:4" ht="16.5" hidden="1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313">
        <f>材料产出!$AN$11/(基本属性!$A$11/(基本属性!$AS$11*1/3600))*材料产出!$D$11</f>
        <v>1.824085988406741E-3</v>
      </c>
    </row>
    <row r="4898" spans="1:4" ht="16.5" hidden="1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313">
        <f>材料产出!$AN$12/(基本属性!$A$12/(基本属性!$AS$12*1/3600))*材料产出!$D$12</f>
        <v>2.0754045023650036E-3</v>
      </c>
    </row>
    <row r="4899" spans="1:4" ht="16.5" hidden="1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313">
        <f>材料产出!$AN$13/(基本属性!$A$13/(基本属性!$AS$13*1/3600))*材料产出!$D$13</f>
        <v>2.6266838233057073E-3</v>
      </c>
    </row>
    <row r="4900" spans="1:4" ht="16.5" hidden="1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313">
        <f>材料产出!$AN$14/(基本属性!$A$14/(基本属性!$AS$14*1/3600))*材料产出!$D$14</f>
        <v>3.2428195349453173E-3</v>
      </c>
    </row>
    <row r="4901" spans="1:4" ht="16.5" hidden="1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313">
        <f>材料产出!$AN$15/(基本属性!$A$15/(基本属性!$AS$15*1/3600))*材料产出!$D$15</f>
        <v>3.9238116372838343E-3</v>
      </c>
    </row>
    <row r="4902" spans="1:4" ht="16.5" hidden="1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313">
        <f>材料产出!$AN$16/(基本属性!$A$16/(基本属性!$AS$16*1/3600))*材料产出!$D$16</f>
        <v>5.0669055233520588E-3</v>
      </c>
    </row>
    <row r="4903" spans="1:4" ht="16.5" hidden="1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313">
        <f>材料产出!$AN$17/(基本属性!$A$17/(基本属性!$AS$17*1/3600))*材料产出!$D$17</f>
        <v>7.2963439536269624E-3</v>
      </c>
    </row>
    <row r="4904" spans="1:4" ht="16.5" hidden="1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313">
        <f>材料产出!$AN$18/(基本属性!$A$18/(基本属性!$AS$18*1/3600))*材料产出!$D$18</f>
        <v>9.9311348257700334E-3</v>
      </c>
    </row>
    <row r="4905" spans="1:4" ht="16.5" hidden="1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313">
        <f>材料产出!$AN$19/(基本属性!$A$19/(基本属性!$AS$19*1/3600))*材料产出!$D$19</f>
        <v>1.109854985835035E-2</v>
      </c>
    </row>
    <row r="4906" spans="1:4" ht="16.5" hidden="1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313">
        <f>材料产出!$AN$20/(基本属性!$A$20/(基本属性!$AS$20*1/3600))*材料产出!$D$20</f>
        <v>1.2971278139781269E-2</v>
      </c>
    </row>
    <row r="4907" spans="1:4" ht="16.5" hidden="1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313">
        <f>材料产出!$AN$21/(基本属性!$A$21/(基本属性!$AS$21*1/3600))*材料产出!$D$21</f>
        <v>1.4989933300284728E-2</v>
      </c>
    </row>
    <row r="4908" spans="1:4" ht="16.5" hidden="1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313">
        <f>材料产出!$AN$22/(基本属性!$A$22/(基本属性!$AS$22*1/3600))*材料产出!$D$22</f>
        <v>1.7154515339860728E-2</v>
      </c>
    </row>
    <row r="4909" spans="1:4" ht="16.5" hidden="1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313">
        <f>材料产出!$AN$23/(基本属性!$A$23/(基本属性!$AS$23*1/3600))*材料产出!$D$23</f>
        <v>1.9465024258509274E-2</v>
      </c>
    </row>
    <row r="4910" spans="1:4" ht="16.5" hidden="1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313">
        <f>材料产出!$AN$24/(基本属性!$A$24/(基本属性!$AS$24*1/3600))*材料产出!$D$24</f>
        <v>2.1921460056230344E-2</v>
      </c>
    </row>
    <row r="4911" spans="1:4" ht="16.5" hidden="1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313">
        <f>材料产出!$AN$25/(基本属性!$A$25/(基本属性!$AS$25*1/3600))*材料产出!$D$25</f>
        <v>2.4523822733023965E-2</v>
      </c>
    </row>
    <row r="4912" spans="1:4" ht="16.5" hidden="1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313">
        <f>材料产出!$AN$26/(基本属性!$A$26/(基本属性!$AS$26*1/3600))*材料产出!$D$26</f>
        <v>2.7272112288890118E-2</v>
      </c>
    </row>
    <row r="4913" spans="1:4" ht="16.5" hidden="1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313">
        <f>材料产出!$AN$27/(基本属性!$A$27/(基本属性!$AS$27*1/3600))*材料产出!$D$27</f>
        <v>3.0166328723828812E-2</v>
      </c>
    </row>
    <row r="4914" spans="1:4" ht="16.5" hidden="1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313">
        <f>材料产出!$AN$28/(基本属性!$A$28/(基本属性!$AS$28*1/3600))*材料产出!$D$28</f>
        <v>3.3206472037840051E-2</v>
      </c>
    </row>
    <row r="4915" spans="1:4" ht="16.5" hidden="1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313">
        <f>材料产出!$AN$29/(基本属性!$A$29/(基本属性!$AS$29*1/3600))*材料产出!$D$29</f>
        <v>3.6392542230923822E-2</v>
      </c>
    </row>
    <row r="4916" spans="1:4" ht="16.5" hidden="1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313">
        <f>材料产出!$AN$30/(基本属性!$A$30/(基本属性!$AS$30*1/3600))*材料产出!$D$30</f>
        <v>3.9724539303080141E-2</v>
      </c>
    </row>
    <row r="4917" spans="1:4" ht="16.5" hidden="1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314"/>
    </row>
    <row r="4918" spans="1:4" ht="16.5" hidden="1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314"/>
    </row>
    <row r="4919" spans="1:4" ht="16.5" hidden="1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314"/>
    </row>
    <row r="4920" spans="1:4" ht="16.5" hidden="1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314"/>
    </row>
    <row r="4921" spans="1:4" ht="16.5" hidden="1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314"/>
    </row>
    <row r="4922" spans="1:4" ht="16.5" hidden="1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314"/>
    </row>
    <row r="4923" spans="1:4" ht="16.5" hidden="1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314"/>
    </row>
    <row r="4924" spans="1:4" ht="16.5" hidden="1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314"/>
    </row>
    <row r="4925" spans="1:4" ht="16.5" hidden="1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314"/>
    </row>
    <row r="4926" spans="1:4" ht="16.5" hidden="1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314"/>
    </row>
    <row r="4927" spans="1:4" ht="16.5" hidden="1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314"/>
    </row>
    <row r="4928" spans="1:4" ht="16.5" hidden="1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314"/>
    </row>
    <row r="4929" spans="1:4" ht="16.5" hidden="1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314"/>
    </row>
    <row r="4930" spans="1:4" ht="16.5" hidden="1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314"/>
    </row>
    <row r="4931" spans="1:4" ht="16.5" hidden="1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314"/>
    </row>
    <row r="4932" spans="1:4" ht="16.5" hidden="1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314"/>
    </row>
    <row r="4933" spans="1:4" ht="16.5" hidden="1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314"/>
    </row>
    <row r="4934" spans="1:4" ht="16.5" hidden="1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314"/>
    </row>
    <row r="4935" spans="1:4" ht="16.5" hidden="1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314"/>
    </row>
    <row r="4936" spans="1:4" ht="16.5" hidden="1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314"/>
    </row>
    <row r="4937" spans="1:4" ht="16.5" hidden="1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314"/>
    </row>
    <row r="4938" spans="1:4" ht="16.5" hidden="1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314"/>
    </row>
    <row r="4939" spans="1:4" ht="16.5" hidden="1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314"/>
    </row>
    <row r="4940" spans="1:4" ht="16.5" hidden="1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314"/>
    </row>
    <row r="4941" spans="1:4" ht="16.5" hidden="1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314"/>
    </row>
    <row r="4942" spans="1:4" ht="16.5" hidden="1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314"/>
    </row>
    <row r="4943" spans="1:4" ht="16.5" hidden="1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314"/>
    </row>
    <row r="4944" spans="1:4" ht="16.5" hidden="1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313">
        <f>材料产出!$AP$4/(基本属性!$A$4/(基本属性!$AS$4*1/3600))*材料产出!$D$4</f>
        <v>2.4616293974400713E-4</v>
      </c>
    </row>
    <row r="4945" spans="1:4" ht="16.5" hidden="1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313">
        <f>材料产出!$AP$5/(基本属性!$A$5/(基本属性!$AS$5*1/3600))*材料产出!$D$5</f>
        <v>3.115499706135091E-4</v>
      </c>
    </row>
    <row r="4946" spans="1:4" ht="16.5" hidden="1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313">
        <f>材料产出!$AP$6/(基本属性!$A$6/(基本属性!$AS$6*1/3600))*材料产出!$D$6</f>
        <v>3.846295933500111E-4</v>
      </c>
    </row>
    <row r="4947" spans="1:4" ht="16.5" hidden="1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313">
        <f>材料产出!$AP$7/(基本属性!$A$7/(基本属性!$AS$7*1/3600))*材料产出!$D$7</f>
        <v>4.654018079535135E-4</v>
      </c>
    </row>
    <row r="4948" spans="1:4" ht="16.5" hidden="1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313">
        <f>材料产出!$AP$8/(基本属性!$A$8/(基本属性!$AS$8*1/3600))*材料产出!$D$8</f>
        <v>5.5386661442401598E-4</v>
      </c>
    </row>
    <row r="4949" spans="1:4" ht="16.5" hidden="1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313">
        <f>材料产出!$AP$9/(基本属性!$A$9/(基本属性!$AS$9*1/3600))*材料产出!$D$9</f>
        <v>6.5002401276151886E-4</v>
      </c>
    </row>
    <row r="4950" spans="1:4" ht="16.5" hidden="1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313">
        <f>材料产出!$AP$10/(基本属性!$A$10/(基本属性!$AS$10*1/3600))*材料产出!$D$10</f>
        <v>7.5387400296602161E-4</v>
      </c>
    </row>
    <row r="4951" spans="1:4" ht="16.5" hidden="1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313">
        <f>材料产出!$AP$11/(基本属性!$A$11/(基本属性!$AS$11*1/3600))*材料产出!$D$11</f>
        <v>8.6541658503752497E-4</v>
      </c>
    </row>
    <row r="4952" spans="1:4" ht="16.5" hidden="1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313">
        <f>材料产出!$AP$12/(基本属性!$A$12/(基本属性!$AS$12*1/3600))*材料产出!$D$12</f>
        <v>9.8465175897602874E-4</v>
      </c>
    </row>
    <row r="4953" spans="1:4" ht="16.5" hidden="1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313">
        <f>材料产出!$AP$13/(基本属性!$A$13/(基本属性!$AS$13*1/3600))*材料产出!$D$13</f>
        <v>1.246199882454036E-3</v>
      </c>
    </row>
    <row r="4954" spans="1:4" ht="16.5" hidden="1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313">
        <f>材料产出!$AP$14/(基本属性!$A$14/(基本属性!$AS$14*1/3600))*材料产出!$D$14</f>
        <v>1.5385183734000444E-3</v>
      </c>
    </row>
    <row r="4955" spans="1:4" ht="16.5" hidden="1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313">
        <f>材料产出!$AP$15/(基本属性!$A$15/(基本属性!$AS$15*1/3600))*材料产出!$D$15</f>
        <v>1.861607231814054E-3</v>
      </c>
    </row>
    <row r="4956" spans="1:4" ht="16.5" hidden="1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313">
        <f>材料产出!$AP$16/(基本属性!$A$16/(基本属性!$AS$16*1/3600))*材料产出!$D$16</f>
        <v>2.4039349584375693E-3</v>
      </c>
    </row>
    <row r="4957" spans="1:4" ht="16.5" hidden="1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313">
        <f>材料产出!$AP$17/(基本属性!$A$17/(基本属性!$AS$17*1/3600))*材料产出!$D$17</f>
        <v>3.4616663401500995E-3</v>
      </c>
    </row>
    <row r="4958" spans="1:4" ht="16.5" hidden="1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313">
        <f>材料产出!$AP$18/(基本属性!$A$18/(基本属性!$AS$18*1/3600))*材料产出!$D$18</f>
        <v>4.7117125185376354E-3</v>
      </c>
    </row>
    <row r="4959" spans="1:4" ht="16.5" hidden="1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313">
        <f>材料产出!$AP$19/(基本属性!$A$19/(基本属性!$AS$19*1/3600))*材料产出!$D$19</f>
        <v>5.2655791329616524E-3</v>
      </c>
    </row>
    <row r="4960" spans="1:4" ht="16.5" hidden="1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313">
        <f>材料产出!$AP$20/(基本属性!$A$20/(基本属性!$AS$20*1/3600))*材料产出!$D$20</f>
        <v>6.1540734936001776E-3</v>
      </c>
    </row>
    <row r="4961" spans="1:4" ht="16.5" hidden="1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313">
        <f>材料产出!$AP$21/(基本属性!$A$21/(基本属性!$AS$21*1/3600))*材料产出!$D$21</f>
        <v>7.1118011810417043E-3</v>
      </c>
    </row>
    <row r="4962" spans="1:4" ht="16.5" hidden="1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313">
        <f>材料产出!$AP$22/(基本属性!$A$22/(基本属性!$AS$22*1/3600))*材料产出!$D$22</f>
        <v>8.1387621952862341E-3</v>
      </c>
    </row>
    <row r="4963" spans="1:4" ht="16.5" hidden="1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313">
        <f>材料产出!$AP$23/(基本属性!$A$23/(基本属性!$AS$23*1/3600))*材料产出!$D$23</f>
        <v>9.2349565363337681E-3</v>
      </c>
    </row>
    <row r="4964" spans="1:4" ht="16.5" hidden="1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313">
        <f>材料产出!$AP$24/(基本属性!$A$24/(基本属性!$AS$24*1/3600))*材料产出!$D$24</f>
        <v>1.0400384204184302E-2</v>
      </c>
    </row>
    <row r="4965" spans="1:4" ht="16.5" hidden="1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313">
        <f>材料产出!$AP$25/(基本属性!$A$25/(基本属性!$AS$25*1/3600))*材料产出!$D$25</f>
        <v>1.1635045198837837E-2</v>
      </c>
    </row>
    <row r="4966" spans="1:4" ht="16.5" hidden="1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313">
        <f>材料产出!$AP$26/(基本属性!$A$26/(基本属性!$AS$26*1/3600))*材料产出!$D$26</f>
        <v>1.2938939520294372E-2</v>
      </c>
    </row>
    <row r="4967" spans="1:4" ht="16.5" hidden="1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313">
        <f>材料产出!$AP$27/(基本属性!$A$27/(基本属性!$AS$27*1/3600))*材料产出!$D$27</f>
        <v>1.431206716855391E-2</v>
      </c>
    </row>
    <row r="4968" spans="1:4" ht="16.5" hidden="1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313">
        <f>材料产出!$AP$28/(基本属性!$A$28/(基本属性!$AS$28*1/3600))*材料产出!$D$28</f>
        <v>1.5754428143616456E-2</v>
      </c>
    </row>
    <row r="4969" spans="1:4" ht="16.5" hidden="1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313">
        <f>材料产出!$AP$29/(基本属性!$A$29/(基本属性!$AS$29*1/3600))*材料产出!$D$29</f>
        <v>1.7266022445482001E-2</v>
      </c>
    </row>
    <row r="4970" spans="1:4" ht="16.5" hidden="1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313">
        <f>材料产出!$AP$30/(基本属性!$A$30/(基本属性!$AS$30*1/3600))*材料产出!$D$30</f>
        <v>1.8846850074150545E-2</v>
      </c>
    </row>
    <row r="4971" spans="1:4" ht="16.5" hidden="1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313">
        <f>材料产出!$N$4/(基本属性!$A$4/(基本属性!$AS$4*1/3600))*材料产出!$D$4</f>
        <v>6.500147048383989E-3</v>
      </c>
    </row>
    <row r="4972" spans="1:4" ht="16.5" hidden="1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313">
        <f>材料产出!$N$5/(基本属性!$A$5/(基本属性!$AS$5*1/3600))*材料产出!$D$5</f>
        <v>8.2267486081109877E-3</v>
      </c>
    </row>
    <row r="4973" spans="1:4" ht="16.5" hidden="1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313">
        <f>材料产出!$N$6/(基本属性!$A$6/(基本属性!$AS$6*1/3600))*材料产出!$D$6</f>
        <v>1.0156479763099984E-2</v>
      </c>
    </row>
    <row r="4974" spans="1:4" ht="16.5" hidden="1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313">
        <f>材料产出!$N$7/(基本属性!$A$7/(基本属性!$AS$7*1/3600))*材料产出!$D$7</f>
        <v>1.2289340513350981E-2</v>
      </c>
    </row>
    <row r="4975" spans="1:4" ht="16.5" hidden="1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313">
        <f>材料产出!$N$8/(基本属性!$A$8/(基本属性!$AS$8*1/3600))*材料产出!$D$8</f>
        <v>1.4625330858863972E-2</v>
      </c>
    </row>
    <row r="4976" spans="1:4" ht="16.5" hidden="1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313">
        <f>材料产出!$N$9/(基本属性!$A$9/(基本属性!$AS$9*1/3600))*材料产出!$D$9</f>
        <v>1.7164450799638974E-2</v>
      </c>
    </row>
    <row r="4977" spans="1:4" ht="16.5" hidden="1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313">
        <f>材料产出!$N$10/(基本属性!$A$10/(基本属性!$AS$10*1/3600))*材料产出!$D$10</f>
        <v>1.9906700335675966E-2</v>
      </c>
    </row>
    <row r="4978" spans="1:4" ht="16.5" hidden="1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313">
        <f>材料产出!$N$11/(基本属性!$A$11/(基本属性!$AS$11*1/3600))*材料产出!$D$11</f>
        <v>2.2852079466974963E-2</v>
      </c>
    </row>
    <row r="4979" spans="1:4" ht="16.5" hidden="1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313">
        <f>材料产出!$N$12/(基本属性!$A$12/(基本属性!$AS$12*1/3600))*材料产出!$D$12</f>
        <v>2.6000588193535963E-2</v>
      </c>
    </row>
    <row r="4980" spans="1:4" ht="16.5" hidden="1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313">
        <f>材料产出!$N$13/(基本属性!$A$13/(基本属性!$AS$13*1/3600))*材料产出!$D$13</f>
        <v>3.2906994432443951E-2</v>
      </c>
    </row>
    <row r="4981" spans="1:4" ht="16.5" hidden="1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313">
        <f>材料产出!$N$14/(基本属性!$A$14/(基本属性!$AS$14*1/3600))*材料产出!$D$14</f>
        <v>4.0625919052399921E-2</v>
      </c>
    </row>
    <row r="4982" spans="1:4" ht="16.5" hidden="1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313">
        <f>材料产出!$N$15/(基本属性!$A$15/(基本属性!$AS$15*1/3600))*材料产出!$D$15</f>
        <v>4.9157362053403923E-2</v>
      </c>
    </row>
    <row r="4983" spans="1:4" ht="16.5" hidden="1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313">
        <f>材料产出!$N$16/(基本属性!$A$16/(基本属性!$AS$16*1/3600))*材料产出!$D$16</f>
        <v>6.3477998519374884E-2</v>
      </c>
    </row>
    <row r="4984" spans="1:4" ht="16.5" hidden="1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313">
        <f>材料产出!$N$17/(基本属性!$A$17/(基本属性!$AS$17*1/3600))*材料产出!$D$17</f>
        <v>9.1408317867899824E-2</v>
      </c>
    </row>
    <row r="4985" spans="1:4" ht="16.5" hidden="1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313">
        <f>材料产出!$N$18/(基本属性!$A$18/(基本属性!$AS$18*1/3600))*材料产出!$D$18</f>
        <v>0.12441687709797478</v>
      </c>
    </row>
    <row r="4986" spans="1:4" ht="16.5" hidden="1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313">
        <f>材料产出!$N$19/(基本属性!$A$19/(基本属性!$AS$19*1/3600))*材料产出!$D$19</f>
        <v>0.13904220795683878</v>
      </c>
    </row>
    <row r="4987" spans="1:4" ht="16.5" hidden="1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313">
        <f>材料产出!$N$20/(基本属性!$A$20/(基本属性!$AS$20*1/3600))*材料产出!$D$20</f>
        <v>0.16250367620959968</v>
      </c>
    </row>
    <row r="4988" spans="1:4" ht="16.5" hidden="1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313">
        <f>材料产出!$N$21/(基本属性!$A$21/(基本属性!$AS$21*1/3600))*材料产出!$D$21</f>
        <v>0.18779331081971865</v>
      </c>
    </row>
    <row r="4989" spans="1:4" ht="16.5" hidden="1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313">
        <f>材料产出!$N$22/(基本属性!$A$22/(基本属性!$AS$22*1/3600))*材料产出!$D$22</f>
        <v>0.2149111117871956</v>
      </c>
    </row>
    <row r="4990" spans="1:4" ht="16.5" hidden="1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313">
        <f>材料产出!$N$23/(基本属性!$A$23/(基本属性!$AS$23*1/3600))*材料产出!$D$23</f>
        <v>0.24385707911203061</v>
      </c>
    </row>
    <row r="4991" spans="1:4" ht="16.5" hidden="1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313">
        <f>材料产出!$N$24/(基本属性!$A$24/(基本属性!$AS$24*1/3600))*材料产出!$D$24</f>
        <v>0.27463121279422353</v>
      </c>
    </row>
    <row r="4992" spans="1:4" ht="16.5" hidden="1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313">
        <f>材料产出!$N$25/(基本属性!$A$25/(基本属性!$AS$25*1/3600))*材料产出!$D$25</f>
        <v>0.30723351283377448</v>
      </c>
    </row>
    <row r="4993" spans="1:4" ht="16.5" hidden="1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313">
        <f>材料产出!$N$26/(基本属性!$A$26/(基本属性!$AS$26*1/3600))*材料产出!$D$26</f>
        <v>0.34166397923068342</v>
      </c>
    </row>
    <row r="4994" spans="1:4" ht="16.5" hidden="1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313">
        <f>材料产出!$N$27/(基本属性!$A$27/(基本属性!$AS$27*1/3600))*材料产出!$D$27</f>
        <v>0.37792261198495031</v>
      </c>
    </row>
    <row r="4995" spans="1:4" ht="16.5" hidden="1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313">
        <f>材料产出!$N$28/(基本属性!$A$28/(基本属性!$AS$28*1/3600))*材料产出!$D$28</f>
        <v>0.4160094110965753</v>
      </c>
    </row>
    <row r="4996" spans="1:4" ht="16.5" hidden="1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313">
        <f>材料产出!$N$29/(基本属性!$A$29/(基本属性!$AS$29*1/3600))*材料产出!$D$29</f>
        <v>0.45592437656555818</v>
      </c>
    </row>
    <row r="4997" spans="1:4" ht="16.5" hidden="1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313">
        <f>材料产出!$N$30/(基本属性!$A$30/(基本属性!$AS$30*1/3600))*材料产出!$D$30</f>
        <v>0.49766750839189922</v>
      </c>
    </row>
    <row r="4998" spans="1:4" ht="16.5" hidden="1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313">
        <f>材料产出!$AR$4/(基本属性!$A$4/(基本属性!$AS$4*1/3600))*材料产出!$D$4</f>
        <v>3.2492470676928119E-6</v>
      </c>
    </row>
    <row r="4999" spans="1:4" ht="16.5" hidden="1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313">
        <f>材料产出!$AR$5/(基本属性!$A$5/(基本属性!$AS$5*1/3600))*材料产出!$D$5</f>
        <v>4.1123283200487152E-6</v>
      </c>
    </row>
    <row r="5000" spans="1:4" ht="16.5" hidden="1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313">
        <f>材料产出!$AR$6/(基本属性!$A$6/(基本属性!$AS$6*1/3600))*材料产出!$D$6</f>
        <v>5.0769485432700181E-6</v>
      </c>
    </row>
    <row r="5001" spans="1:4" ht="16.5" hidden="1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313">
        <f>材料产出!$AR$7/(基本属性!$A$7/(基本属性!$AS$7*1/3600))*材料产出!$D$7</f>
        <v>6.1431077373567221E-6</v>
      </c>
    </row>
    <row r="5002" spans="1:4" ht="16.5" hidden="1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313">
        <f>材料产出!$AR$8/(基本属性!$A$8/(基本属性!$AS$8*1/3600))*材料产出!$D$8</f>
        <v>7.3108059023088248E-6</v>
      </c>
    </row>
    <row r="5003" spans="1:4" ht="16.5" hidden="1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313">
        <f>材料产出!$AR$9/(基本属性!$A$9/(基本属性!$AS$9*1/3600))*材料产出!$D$9</f>
        <v>8.5800430381263321E-6</v>
      </c>
    </row>
    <row r="5004" spans="1:4" ht="16.5" hidden="1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313">
        <f>材料产出!$AR$10/(基本属性!$A$10/(基本属性!$AS$10*1/3600))*材料产出!$D$10</f>
        <v>9.9508191448092338E-6</v>
      </c>
    </row>
    <row r="5005" spans="1:4" ht="16.5" hidden="1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313">
        <f>材料产出!$AR$11/(基本属性!$A$11/(基本属性!$AS$11*1/3600))*材料产出!$D$11</f>
        <v>1.142313422235754E-5</v>
      </c>
    </row>
    <row r="5006" spans="1:4" ht="16.5" hidden="1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313">
        <f>材料产出!$AR$12/(基本属性!$A$12/(基本属性!$AS$12*1/3600))*材料产出!$D$12</f>
        <v>1.2996988270771247E-5</v>
      </c>
    </row>
    <row r="5007" spans="1:4" ht="16.5" hidden="1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313">
        <f>材料产出!$AR$13/(基本属性!$A$13/(基本属性!$AS$13*1/3600))*材料产出!$D$13</f>
        <v>1.6449313280194861E-5</v>
      </c>
    </row>
    <row r="5008" spans="1:4" ht="16.5" hidden="1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313">
        <f>材料产出!$AR$14/(基本属性!$A$14/(基本属性!$AS$14*1/3600))*材料产出!$D$14</f>
        <v>2.0307794173080072E-5</v>
      </c>
    </row>
    <row r="5009" spans="1:4" ht="16.5" hidden="1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313">
        <f>材料产出!$AR$15/(基本属性!$A$15/(基本属性!$AS$15*1/3600))*材料产出!$D$15</f>
        <v>2.4572430949426888E-5</v>
      </c>
    </row>
    <row r="5010" spans="1:4" ht="16.5" hidden="1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313">
        <f>材料产出!$AR$16/(基本属性!$A$16/(基本属性!$AS$16*1/3600))*材料产出!$D$16</f>
        <v>3.1730928395437611E-5</v>
      </c>
    </row>
    <row r="5011" spans="1:4" ht="16.5" hidden="1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313">
        <f>材料产出!$AR$17/(基本属性!$A$17/(基本属性!$AS$17*1/3600))*材料产出!$D$17</f>
        <v>4.5692536889430153E-5</v>
      </c>
    </row>
    <row r="5012" spans="1:4" ht="16.5" hidden="1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313">
        <f>材料产出!$AR$18/(基本属性!$A$18/(基本属性!$AS$18*1/3600))*材料产出!$D$18</f>
        <v>6.2192619655057697E-5</v>
      </c>
    </row>
    <row r="5013" spans="1:4" ht="16.5" hidden="1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313">
        <f>材料产出!$AR$19/(基本属性!$A$19/(基本属性!$AS$19*1/3600))*材料产出!$D$19</f>
        <v>6.9503425557366556E-5</v>
      </c>
    </row>
    <row r="5014" spans="1:4" ht="16.5" hidden="1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313">
        <f>材料产出!$AR$20/(基本属性!$A$20/(基本属性!$AS$20*1/3600))*材料产出!$D$20</f>
        <v>8.1231176692320289E-5</v>
      </c>
    </row>
    <row r="5015" spans="1:4" ht="16.5" hidden="1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313">
        <f>材料产出!$AR$21/(基本属性!$A$21/(基本属性!$AS$21*1/3600))*材料产出!$D$21</f>
        <v>9.3872778565062625E-5</v>
      </c>
    </row>
    <row r="5016" spans="1:4" ht="16.5" hidden="1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313">
        <f>材料产出!$AR$22/(基本属性!$A$22/(基本属性!$AS$22*1/3600))*材料产出!$D$22</f>
        <v>1.0742823117559356E-4</v>
      </c>
    </row>
    <row r="5017" spans="1:4" ht="16.5" hidden="1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313">
        <f>材料产出!$AR$23/(基本属性!$A$23/(基本属性!$AS$23*1/3600))*材料产出!$D$23</f>
        <v>1.2189753452391316E-4</v>
      </c>
    </row>
    <row r="5018" spans="1:4" ht="16.5" hidden="1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313">
        <f>材料产出!$AR$24/(基本属性!$A$24/(基本属性!$AS$24*1/3600))*材料产出!$D$24</f>
        <v>1.3728068861002129E-4</v>
      </c>
    </row>
    <row r="5019" spans="1:4" ht="16.5" hidden="1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313">
        <f>材料产出!$AR$25/(基本属性!$A$25/(基本属性!$AS$25*1/3600))*材料产出!$D$25</f>
        <v>1.5357769343391804E-4</v>
      </c>
    </row>
    <row r="5020" spans="1:4" ht="16.5" hidden="1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313">
        <f>材料产出!$AR$26/(基本属性!$A$26/(基本属性!$AS$26*1/3600))*材料产出!$D$26</f>
        <v>1.7078854899560338E-4</v>
      </c>
    </row>
    <row r="5021" spans="1:4" ht="16.5" hidden="1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313">
        <f>材料产出!$AR$27/(基本属性!$A$27/(基本属性!$AS$27*1/3600))*材料产出!$D$27</f>
        <v>1.8891325529507731E-4</v>
      </c>
    </row>
    <row r="5022" spans="1:4" ht="16.5" hidden="1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313">
        <f>材料产出!$AR$28/(基本属性!$A$28/(基本属性!$AS$28*1/3600))*材料产出!$D$28</f>
        <v>2.0795181233233996E-4</v>
      </c>
    </row>
    <row r="5023" spans="1:4" ht="16.5" hidden="1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313">
        <f>材料产出!$AR$29/(基本属性!$A$29/(基本属性!$AS$29*1/3600))*材料产出!$D$29</f>
        <v>2.2790422010739107E-4</v>
      </c>
    </row>
    <row r="5024" spans="1:4" ht="16.5" hidden="1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313">
        <f>材料产出!$AR$30/(基本属性!$A$30/(基本属性!$AS$30*1/3600))*材料产出!$D$30</f>
        <v>2.487704786202309E-4</v>
      </c>
    </row>
    <row r="5025" spans="1:4" ht="16.5" hidden="1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313">
        <f>材料产出!$L$4/(基本属性!$A$4/(基本属性!$AS$4*1/3600))*材料产出!$D$4</f>
        <v>8.9354294361552317E-4</v>
      </c>
    </row>
    <row r="5026" spans="1:4" ht="16.5" hidden="1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313">
        <f>材料产出!$L$5/(基本属性!$A$5/(基本属性!$AS$5*1/3600))*材料产出!$D$5</f>
        <v>1.1308902880133966E-3</v>
      </c>
    </row>
    <row r="5027" spans="1:4" ht="16.5" hidden="1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313">
        <f>材料产出!$L$6/(基本属性!$A$6/(基本属性!$AS$6*1/3600))*材料产出!$D$6</f>
        <v>1.3961608493992547E-3</v>
      </c>
    </row>
    <row r="5028" spans="1:4" ht="16.5" hidden="1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313">
        <f>材料产出!$L$7/(基本属性!$A$7/(基本属性!$AS$7*1/3600))*材料产出!$D$7</f>
        <v>1.6893546277730984E-3</v>
      </c>
    </row>
    <row r="5029" spans="1:4" ht="16.5" hidden="1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313">
        <f>材料产出!$L$8/(基本属性!$A$8/(基本属性!$AS$8*1/3600))*材料产出!$D$8</f>
        <v>2.0104716231349267E-3</v>
      </c>
    </row>
    <row r="5030" spans="1:4" ht="16.5" hidden="1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313">
        <f>材料产出!$L$9/(基本属性!$A$9/(基本属性!$AS$9*1/3600))*材料产出!$D$9</f>
        <v>2.3595118354847408E-3</v>
      </c>
    </row>
    <row r="5031" spans="1:4" ht="16.5" hidden="1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313">
        <f>材料产出!$L$10/(基本属性!$A$10/(基本属性!$AS$10*1/3600))*材料产出!$D$10</f>
        <v>2.7364752648225388E-3</v>
      </c>
    </row>
    <row r="5032" spans="1:4" ht="16.5" hidden="1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313">
        <f>材料产出!$L$11/(基本属性!$A$11/(基本属性!$AS$11*1/3600))*材料产出!$D$11</f>
        <v>3.141361911148324E-3</v>
      </c>
    </row>
    <row r="5033" spans="1:4" ht="16.5" hidden="1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313">
        <f>材料产出!$L$12/(基本属性!$A$12/(基本属性!$AS$12*1/3600))*材料产出!$D$12</f>
        <v>3.5741717744620927E-3</v>
      </c>
    </row>
    <row r="5034" spans="1:4" ht="16.5" hidden="1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313">
        <f>材料产出!$L$13/(基本属性!$A$13/(基本属性!$AS$13*1/3600))*材料产出!$D$13</f>
        <v>4.5235611520535865E-3</v>
      </c>
    </row>
    <row r="5035" spans="1:4" ht="16.5" hidden="1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313">
        <f>材料产出!$L$14/(基本属性!$A$14/(基本属性!$AS$14*1/3600))*材料产出!$D$14</f>
        <v>5.5846433975970189E-3</v>
      </c>
    </row>
    <row r="5036" spans="1:4" ht="16.5" hidden="1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313">
        <f>材料产出!$L$15/(基本属性!$A$15/(基本属性!$AS$15*1/3600))*材料产出!$D$15</f>
        <v>6.7574185110923944E-3</v>
      </c>
    </row>
    <row r="5037" spans="1:4" ht="16.5" hidden="1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313">
        <f>材料产出!$L$16/(基本属性!$A$16/(基本属性!$AS$16*1/3600))*材料产出!$D$16</f>
        <v>8.7260053087453437E-3</v>
      </c>
    </row>
    <row r="5038" spans="1:4" ht="16.5" hidden="1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313">
        <f>材料产出!$L$17/(基本属性!$A$17/(基本属性!$AS$17*1/3600))*材料产出!$D$17</f>
        <v>1.2565447644593291E-2</v>
      </c>
    </row>
    <row r="5039" spans="1:4" ht="16.5" hidden="1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313">
        <f>材料产出!$L$18/(基本属性!$A$18/(基本属性!$AS$18*1/3600))*材料产出!$D$18</f>
        <v>1.7102970405140871E-2</v>
      </c>
    </row>
    <row r="5040" spans="1:4" ht="16.5" hidden="1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313">
        <f>材料产出!$L$19/(基本属性!$A$19/(基本属性!$AS$19*1/3600))*材料产出!$D$19</f>
        <v>1.91134420282758E-2</v>
      </c>
    </row>
    <row r="5041" spans="1:4" ht="16.5" hidden="1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313">
        <f>材料产出!$L$20/(基本属性!$A$20/(基本属性!$AS$20*1/3600))*材料产出!$D$20</f>
        <v>2.2338573590388076E-2</v>
      </c>
    </row>
    <row r="5042" spans="1:4" ht="16.5" hidden="1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313">
        <f>材料产出!$L$21/(基本属性!$A$21/(基本属性!$AS$21*1/3600))*材料产出!$D$21</f>
        <v>2.5815014105392216E-2</v>
      </c>
    </row>
    <row r="5043" spans="1:4" ht="16.5" hidden="1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313">
        <f>材料产出!$L$22/(基本属性!$A$22/(基本属性!$AS$22*1/3600))*材料产出!$D$22</f>
        <v>2.9542763573288226E-2</v>
      </c>
    </row>
    <row r="5044" spans="1:4" ht="16.5" hidden="1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313">
        <f>材料产出!$L$23/(基本属性!$A$23/(基本属性!$AS$23*1/3600))*材料产出!$D$23</f>
        <v>3.3521821994076106E-2</v>
      </c>
    </row>
    <row r="5045" spans="1:4" ht="16.5" hidden="1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313">
        <f>材料产出!$L$24/(基本属性!$A$24/(基本属性!$AS$24*1/3600))*材料产出!$D$24</f>
        <v>3.7752189367755852E-2</v>
      </c>
    </row>
    <row r="5046" spans="1:4" ht="16.5" hidden="1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313">
        <f>材料产出!$L$25/(基本属性!$A$25/(基本属性!$AS$25*1/3600))*材料产出!$D$25</f>
        <v>4.2233865694327459E-2</v>
      </c>
    </row>
    <row r="5047" spans="1:4" ht="16.5" hidden="1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313">
        <f>材料产出!$L$26/(基本属性!$A$26/(基本属性!$AS$26*1/3600))*材料产出!$D$26</f>
        <v>4.696685097379092E-2</v>
      </c>
    </row>
    <row r="5048" spans="1:4" ht="16.5" hidden="1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313">
        <f>材料产出!$L$27/(基本属性!$A$27/(基本属性!$AS$27*1/3600))*材料产出!$D$27</f>
        <v>5.1951145206146264E-2</v>
      </c>
    </row>
    <row r="5049" spans="1:4" ht="16.5" hidden="1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313">
        <f>材料产出!$L$28/(基本属性!$A$28/(基本属性!$AS$28*1/3600))*材料产出!$D$28</f>
        <v>5.7186748391393483E-2</v>
      </c>
    </row>
    <row r="5050" spans="1:4" ht="16.5" hidden="1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313">
        <f>材料产出!$L$29/(基本属性!$A$29/(基本属性!$AS$29*1/3600))*材料产出!$D$29</f>
        <v>6.2673660529532549E-2</v>
      </c>
    </row>
    <row r="5051" spans="1:4" ht="16.5" hidden="1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313">
        <f>材料产出!$L$30/(基本属性!$A$30/(基本属性!$AS$30*1/3600))*材料产出!$D$30</f>
        <v>6.8411881620563483E-2</v>
      </c>
    </row>
    <row r="5052" spans="1:4" ht="16.5" hidden="1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313">
        <f>材料产出!$BD$4/(基本属性!$A$4/(基本属性!$AS$4*1/3600))*材料产出!$D$4</f>
        <v>3.2492470676928117E-5</v>
      </c>
    </row>
    <row r="5053" spans="1:4" ht="16.5" hidden="1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313">
        <f>材料产出!$BD$5/(基本属性!$A$5/(基本属性!$AS$5*1/3600))*材料产出!$D$5</f>
        <v>4.1123283200487156E-5</v>
      </c>
    </row>
    <row r="5054" spans="1:4" ht="16.5" hidden="1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313">
        <f>材料产出!$BD$6/(基本属性!$A$6/(基本属性!$AS$6*1/3600))*材料产出!$D$6</f>
        <v>5.0769485432700176E-5</v>
      </c>
    </row>
    <row r="5055" spans="1:4" ht="16.5" hidden="1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313">
        <f>材料产出!$BD$7/(基本属性!$A$7/(基本属性!$AS$7*1/3600))*材料产出!$D$7</f>
        <v>6.1431077373567218E-5</v>
      </c>
    </row>
    <row r="5056" spans="1:4" ht="16.5" hidden="1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313">
        <f>材料产出!$BD$8/(基本属性!$A$8/(基本属性!$AS$8*1/3600))*材料产出!$D$8</f>
        <v>7.3108059023088248E-5</v>
      </c>
    </row>
    <row r="5057" spans="1:4" ht="16.5" hidden="1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313">
        <f>材料产出!$BD$9/(基本属性!$A$9/(基本属性!$AS$9*1/3600))*材料产出!$D$9</f>
        <v>8.58004303812633E-5</v>
      </c>
    </row>
    <row r="5058" spans="1:4" ht="16.5" hidden="1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313">
        <f>材料产出!$BD$10/(基本属性!$A$10/(基本属性!$AS$10*1/3600))*材料产出!$D$10</f>
        <v>9.9508191448092334E-5</v>
      </c>
    </row>
    <row r="5059" spans="1:4" ht="16.5" hidden="1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313">
        <f>材料产出!$BD$11/(基本属性!$A$11/(基本属性!$AS$11*1/3600))*材料产出!$D$11</f>
        <v>1.1423134222357539E-4</v>
      </c>
    </row>
    <row r="5060" spans="1:4" ht="16.5" hidden="1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313">
        <f>材料产出!$BD$12/(基本属性!$A$12/(基本属性!$AS$12*1/3600))*材料产出!$D$12</f>
        <v>1.299698827077125E-4</v>
      </c>
    </row>
    <row r="5061" spans="1:4" ht="16.5" hidden="1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313">
        <f>材料产出!$BD$13/(基本属性!$A$13/(基本属性!$AS$13*1/3600))*材料产出!$D$13</f>
        <v>1.6449313280194857E-4</v>
      </c>
    </row>
    <row r="5062" spans="1:4" ht="16.5" hidden="1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313">
        <f>材料产出!$BD$14/(基本属性!$A$14/(基本属性!$AS$14*1/3600))*材料产出!$D$14</f>
        <v>2.0307794173080068E-4</v>
      </c>
    </row>
    <row r="5063" spans="1:4" ht="16.5" hidden="1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313">
        <f>材料产出!$BD$15/(基本属性!$A$15/(基本属性!$AS$15*1/3600))*材料产出!$D$15</f>
        <v>2.4572430949426887E-4</v>
      </c>
    </row>
    <row r="5064" spans="1:4" ht="16.5" hidden="1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313">
        <f>材料产出!$BD$16/(基本属性!$A$16/(基本属性!$AS$16*1/3600))*材料产出!$D$16</f>
        <v>3.1730928395437612E-4</v>
      </c>
    </row>
    <row r="5065" spans="1:4" ht="16.5" hidden="1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313">
        <f>材料产出!$BD$17/(基本属性!$A$17/(基本属性!$AS$17*1/3600))*材料产出!$D$17</f>
        <v>4.5692536889430145E-4</v>
      </c>
    </row>
    <row r="5066" spans="1:4" ht="16.5" hidden="1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313">
        <f>材料产出!$BD$18/(基本属性!$A$18/(基本属性!$AS$18*1/3600))*材料产出!$D$18</f>
        <v>6.2192619655057711E-4</v>
      </c>
    </row>
    <row r="5067" spans="1:4" ht="16.5" hidden="1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313">
        <f>材料产出!$BD$19/(基本属性!$A$19/(基本属性!$AS$19*1/3600))*材料产出!$D$19</f>
        <v>6.950342555736655E-4</v>
      </c>
    </row>
    <row r="5068" spans="1:4" ht="16.5" hidden="1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313">
        <f>材料产出!$BD$20/(基本属性!$A$20/(基本属性!$AS$20*1/3600))*材料产出!$D$20</f>
        <v>8.123117669232027E-4</v>
      </c>
    </row>
    <row r="5069" spans="1:4" ht="16.5" hidden="1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313">
        <f>材料产出!$BD$21/(基本属性!$A$21/(基本属性!$AS$21*1/3600))*材料产出!$D$21</f>
        <v>9.3872778565062603E-4</v>
      </c>
    </row>
    <row r="5070" spans="1:4" ht="16.5" hidden="1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313">
        <f>材料产出!$BD$22/(基本属性!$A$22/(基本属性!$AS$22*1/3600))*材料产出!$D$22</f>
        <v>1.0742823117559357E-3</v>
      </c>
    </row>
    <row r="5071" spans="1:4" ht="16.5" hidden="1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313">
        <f>材料产出!$BD$23/(基本属性!$A$23/(基本属性!$AS$23*1/3600))*材料产出!$D$23</f>
        <v>1.2189753452391315E-3</v>
      </c>
    </row>
    <row r="5072" spans="1:4" ht="16.5" hidden="1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313">
        <f>材料产出!$BD$24/(基本属性!$A$24/(基本属性!$AS$24*1/3600))*材料产出!$D$24</f>
        <v>1.3728068861002128E-3</v>
      </c>
    </row>
    <row r="5073" spans="1:4" ht="16.5" hidden="1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313">
        <f>材料产出!$BD$25/(基本属性!$A$25/(基本属性!$AS$25*1/3600))*材料产出!$D$25</f>
        <v>1.5357769343391804E-3</v>
      </c>
    </row>
    <row r="5074" spans="1:4" ht="16.5" hidden="1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313">
        <f>材料产出!$BD$26/(基本属性!$A$26/(基本属性!$AS$26*1/3600))*材料产出!$D$26</f>
        <v>1.7078854899560336E-3</v>
      </c>
    </row>
    <row r="5075" spans="1:4" ht="16.5" hidden="1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313">
        <f>材料产出!$BD$27/(基本属性!$A$27/(基本属性!$AS$27*1/3600))*材料产出!$D$27</f>
        <v>1.8891325529507732E-3</v>
      </c>
    </row>
    <row r="5076" spans="1:4" ht="16.5" hidden="1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313">
        <f>材料产出!$BD$28/(基本属性!$A$28/(基本属性!$AS$28*1/3600))*材料产出!$D$28</f>
        <v>2.0795181233233995E-3</v>
      </c>
    </row>
    <row r="5077" spans="1:4" ht="16.5" hidden="1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313">
        <f>材料产出!$BD$29/(基本属性!$A$29/(基本属性!$AS$29*1/3600))*材料产出!$D$29</f>
        <v>2.2790422010739108E-3</v>
      </c>
    </row>
    <row r="5078" spans="1:4" ht="16.5" hidden="1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313">
        <f>材料产出!$BD$30/(基本属性!$A$30/(基本属性!$AS$30*1/3600))*材料产出!$D$30</f>
        <v>2.4877047862023089E-3</v>
      </c>
    </row>
    <row r="5079" spans="1:4" ht="16.5" hidden="1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313">
        <f>材料产出!$AD$4/(基本属性!$A$4/(基本属性!$AS$4*1/3600))*材料产出!$D$4</f>
        <v>4.5400927223921538E-3</v>
      </c>
    </row>
    <row r="5080" spans="1:4" ht="16.5" hidden="1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313">
        <f>材料产出!$AD$5/(基本属性!$A$5/(基本属性!$AS$5*1/3600))*材料产出!$D$5</f>
        <v>5.7460548517775699E-3</v>
      </c>
    </row>
    <row r="5081" spans="1:4" ht="16.5" hidden="1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313">
        <f>材料产出!$AD$6/(基本属性!$A$6/(基本属性!$AS$6*1/3600))*材料产出!$D$6</f>
        <v>7.0938948787377396E-3</v>
      </c>
    </row>
    <row r="5082" spans="1:4" ht="16.5" hidden="1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313">
        <f>材料产出!$AD$7/(基本属性!$A$7/(基本属性!$AS$7*1/3600))*材料产出!$D$7</f>
        <v>8.5836128032726663E-3</v>
      </c>
    </row>
    <row r="5083" spans="1:4" ht="16.5" hidden="1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313">
        <f>材料产出!$AD$8/(基本属性!$A$8/(基本属性!$AS$8*1/3600))*材料产出!$D$8</f>
        <v>1.0215208625382343E-2</v>
      </c>
    </row>
    <row r="5084" spans="1:4" ht="16.5" hidden="1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313">
        <f>材料产出!$AD$9/(基本属性!$A$9/(基本属性!$AS$9*1/3600))*材料产出!$D$9</f>
        <v>1.1988682345066781E-2</v>
      </c>
    </row>
    <row r="5085" spans="1:4" ht="16.5" hidden="1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313">
        <f>材料产出!$AD$10/(基本属性!$A$10/(基本属性!$AS$10*1/3600))*材料产出!$D$10</f>
        <v>1.3904033962325969E-2</v>
      </c>
    </row>
    <row r="5086" spans="1:4" ht="16.5" hidden="1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313">
        <f>材料产出!$AD$11/(基本属性!$A$11/(基本属性!$AS$11*1/3600))*材料产出!$D$11</f>
        <v>1.5961263477159916E-2</v>
      </c>
    </row>
    <row r="5087" spans="1:4" ht="16.5" hidden="1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313">
        <f>材料产出!$AD$12/(基本属性!$A$12/(基本属性!$AS$12*1/3600))*材料产出!$D$12</f>
        <v>1.8160370889568619E-2</v>
      </c>
    </row>
    <row r="5088" spans="1:4" ht="16.5" hidden="1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313">
        <f>材料产出!$AD$13/(基本属性!$A$13/(基本属性!$AS$13*1/3600))*材料产出!$D$13</f>
        <v>2.2984219407110283E-2</v>
      </c>
    </row>
    <row r="5089" spans="1:4" ht="16.5" hidden="1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313">
        <f>材料产出!$AD$14/(基本属性!$A$14/(基本属性!$AS$14*1/3600))*材料产出!$D$14</f>
        <v>2.8375579514950958E-2</v>
      </c>
    </row>
    <row r="5090" spans="1:4" ht="16.5" hidden="1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313">
        <f>材料产出!$AD$15/(基本属性!$A$15/(基本属性!$AS$15*1/3600))*材料产出!$D$15</f>
        <v>3.4334451213090665E-2</v>
      </c>
    </row>
    <row r="5091" spans="1:4" ht="16.5" hidden="1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313">
        <f>材料产出!$AD$16/(基本属性!$A$16/(基本属性!$AS$16*1/3600))*材料产出!$D$16</f>
        <v>4.4336842992110874E-2</v>
      </c>
    </row>
    <row r="5092" spans="1:4" ht="16.5" hidden="1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313">
        <f>材料产出!$AD$17/(基本属性!$A$17/(基本属性!$AS$17*1/3600))*材料产出!$D$17</f>
        <v>6.3845053908639648E-2</v>
      </c>
    </row>
    <row r="5093" spans="1:4" ht="16.5" hidden="1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313">
        <f>材料产出!$AD$18/(基本属性!$A$18/(基本属性!$AS$18*1/3600))*材料产出!$D$18</f>
        <v>8.6900212264537299E-2</v>
      </c>
    </row>
    <row r="5094" spans="1:4" ht="16.5" hidden="1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313">
        <f>材料产出!$AD$19/(基本属性!$A$19/(基本属性!$AS$19*1/3600))*材料产出!$D$19</f>
        <v>9.7115420889919674E-2</v>
      </c>
    </row>
    <row r="5095" spans="1:4" ht="16.5" hidden="1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313">
        <f>材料产出!$AD$20/(基本属性!$A$20/(基本属性!$AS$20*1/3600))*材料产出!$D$20</f>
        <v>0.11350231805980383</v>
      </c>
    </row>
    <row r="5096" spans="1:4" ht="16.5" hidden="1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313">
        <f>材料产出!$AD$21/(基本属性!$A$21/(基本属性!$AS$21*1/3600))*材料产出!$D$21</f>
        <v>0.13116611630786079</v>
      </c>
    </row>
    <row r="5097" spans="1:4" ht="16.5" hidden="1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313">
        <f>材料产出!$AD$22/(基本属性!$A$22/(基本属性!$AS$22*1/3600))*材料产出!$D$22</f>
        <v>0.15010681563409056</v>
      </c>
    </row>
    <row r="5098" spans="1:4" ht="16.5" hidden="1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313">
        <f>材料产出!$AD$23/(基本属性!$A$23/(基本属性!$AS$23*1/3600))*材料产出!$D$23</f>
        <v>0.17032441603849319</v>
      </c>
    </row>
    <row r="5099" spans="1:4" ht="16.5" hidden="1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313">
        <f>材料产出!$AD$24/(基本属性!$A$24/(基本属性!$AS$24*1/3600))*材料产出!$D$24</f>
        <v>0.19181891752106847</v>
      </c>
    </row>
    <row r="5100" spans="1:4" ht="16.5" hidden="1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313">
        <f>材料产出!$AD$25/(基本属性!$A$25/(基本属性!$AS$25*1/3600))*材料产出!$D$25</f>
        <v>0.21459032008181664</v>
      </c>
    </row>
    <row r="5101" spans="1:4" ht="16.5" hidden="1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313">
        <f>材料产出!$AD$26/(基本属性!$A$26/(基本属性!$AS$26*1/3600))*材料产出!$D$26</f>
        <v>0.23863862372073757</v>
      </c>
    </row>
    <row r="5102" spans="1:4" ht="16.5" hidden="1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313">
        <f>材料产出!$AD$27/(基本属性!$A$27/(基本属性!$AS$27*1/3600))*材料产出!$D$27</f>
        <v>0.26396382843783123</v>
      </c>
    </row>
    <row r="5103" spans="1:4" ht="16.5" hidden="1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313">
        <f>材料产出!$AD$28/(基本属性!$A$28/(基本属性!$AS$28*1/3600))*材料产出!$D$28</f>
        <v>0.2905659342330979</v>
      </c>
    </row>
    <row r="5104" spans="1:4" ht="16.5" hidden="1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313">
        <f>材料产出!$AD$29/(基本属性!$A$29/(基本属性!$AS$29*1/3600))*材料产出!$D$29</f>
        <v>0.31844494110653715</v>
      </c>
    </row>
    <row r="5105" spans="1:4" ht="16.5" hidden="1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313">
        <f>材料产出!$AD$30/(基本属性!$A$30/(基本属性!$AS$30*1/3600))*材料产出!$D$30</f>
        <v>0.34760084905814931</v>
      </c>
    </row>
    <row r="5106" spans="1:4" ht="16.5" hidden="1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313">
        <f>材料产出!$Z$4/(基本属性!$A$4/(基本属性!$AS$4*1/3600))*材料产出!$D$4</f>
        <v>5.9121072885159561E-4</v>
      </c>
    </row>
    <row r="5107" spans="1:4" ht="16.5" hidden="1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313">
        <f>材料产出!$Z$5/(基本属性!$A$5/(基本属性!$AS$5*1/3600))*材料产出!$D$5</f>
        <v>7.4825107870280059E-4</v>
      </c>
    </row>
    <row r="5108" spans="1:4" ht="16.5" hidden="1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313">
        <f>材料产出!$Z$6/(基本属性!$A$6/(基本属性!$AS$6*1/3600))*材料产出!$D$6</f>
        <v>9.2376676383061792E-4</v>
      </c>
    </row>
    <row r="5109" spans="1:4" ht="16.5" hidden="1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313">
        <f>材料产出!$Z$7/(基本属性!$A$7/(基本属性!$AS$7*1/3600))*材料产出!$D$7</f>
        <v>1.1177577842350478E-3</v>
      </c>
    </row>
    <row r="5110" spans="1:4" ht="16.5" hidden="1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313">
        <f>材料产出!$Z$8/(基本属性!$A$8/(基本属性!$AS$8*1/3600))*材料产出!$D$8</f>
        <v>1.3302241399160896E-3</v>
      </c>
    </row>
    <row r="5111" spans="1:4" ht="16.5" hidden="1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313">
        <f>材料产出!$Z$9/(基本属性!$A$9/(基本属性!$AS$9*1/3600))*材料产出!$D$9</f>
        <v>1.5611658308737446E-3</v>
      </c>
    </row>
    <row r="5112" spans="1:4" ht="16.5" hidden="1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313">
        <f>材料产出!$Z$10/(基本属性!$A$10/(基本属性!$AS$10*1/3600))*材料产出!$D$10</f>
        <v>1.8105828571080107E-3</v>
      </c>
    </row>
    <row r="5113" spans="1:4" ht="16.5" hidden="1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313">
        <f>材料产出!$Z$11/(基本属性!$A$11/(基本属性!$AS$11*1/3600))*材料产出!$D$11</f>
        <v>2.0784752186188906E-3</v>
      </c>
    </row>
    <row r="5114" spans="1:4" ht="16.5" hidden="1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313">
        <f>材料产出!$Z$12/(基本属性!$A$12/(基本属性!$AS$12*1/3600))*材料产出!$D$12</f>
        <v>2.3648429154063825E-3</v>
      </c>
    </row>
    <row r="5115" spans="1:4" ht="16.5" hidden="1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313">
        <f>材料产出!$Z$13/(基本属性!$A$13/(基本属性!$AS$13*1/3600))*材料产出!$D$13</f>
        <v>2.9930043148112023E-3</v>
      </c>
    </row>
    <row r="5116" spans="1:4" ht="16.5" hidden="1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313">
        <f>材料产出!$Z$14/(基本属性!$A$14/(基本属性!$AS$14*1/3600))*材料产出!$D$14</f>
        <v>3.6950670553224712E-3</v>
      </c>
    </row>
    <row r="5117" spans="1:4" ht="16.5" hidden="1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313">
        <f>材料产出!$Z$15/(基本属性!$A$15/(基本属性!$AS$15*1/3600))*材料产出!$D$15</f>
        <v>4.4710311369401913E-3</v>
      </c>
    </row>
    <row r="5118" spans="1:4" ht="16.5" hidden="1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313">
        <f>材料产出!$Z$16/(基本属性!$A$16/(基本属性!$AS$16*1/3600))*材料产出!$D$16</f>
        <v>5.7735422739413613E-3</v>
      </c>
    </row>
    <row r="5119" spans="1:4" ht="16.5" hidden="1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313">
        <f>材料产出!$Z$17/(基本属性!$A$17/(基本属性!$AS$17*1/3600))*材料产出!$D$17</f>
        <v>8.3139008744755605E-3</v>
      </c>
    </row>
    <row r="5120" spans="1:4" ht="16.5" hidden="1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313">
        <f>材料产出!$Z$18/(基本属性!$A$18/(基本属性!$AS$18*1/3600))*材料产出!$D$18</f>
        <v>1.1316142856925069E-2</v>
      </c>
    </row>
    <row r="5121" spans="1:4" ht="16.5" hidden="1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313">
        <f>材料产出!$Z$19/(基本属性!$A$19/(基本属性!$AS$19*1/3600))*材料产出!$D$19</f>
        <v>1.2646366996841161E-2</v>
      </c>
    </row>
    <row r="5122" spans="1:4" ht="16.5" hidden="1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313">
        <f>材料产出!$Z$20/(基本属性!$A$20/(基本属性!$AS$20*1/3600))*材料产出!$D$20</f>
        <v>1.4780268221289885E-2</v>
      </c>
    </row>
    <row r="5123" spans="1:4" ht="16.5" hidden="1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313">
        <f>材料产出!$Z$21/(基本属性!$A$21/(基本属性!$AS$21*1/3600))*材料产出!$D$21</f>
        <v>1.7080447463228121E-2</v>
      </c>
    </row>
    <row r="5124" spans="1:4" ht="16.5" hidden="1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313">
        <f>材料产出!$Z$22/(基本属性!$A$22/(基本属性!$AS$22*1/3600))*材料产出!$D$22</f>
        <v>1.9546904722655873E-2</v>
      </c>
    </row>
    <row r="5125" spans="1:4" ht="16.5" hidden="1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313">
        <f>材料产出!$Z$23/(基本属性!$A$23/(基本属性!$AS$23*1/3600))*材料产出!$D$23</f>
        <v>2.2179639999573141E-2</v>
      </c>
    </row>
    <row r="5126" spans="1:4" ht="16.5" hidden="1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313">
        <f>材料产出!$Z$24/(基本属性!$A$24/(基本属性!$AS$24*1/3600))*材料产出!$D$24</f>
        <v>2.497865329397991E-2</v>
      </c>
    </row>
    <row r="5127" spans="1:4" ht="16.5" hidden="1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313">
        <f>材料产出!$Z$25/(基本属性!$A$25/(基本属性!$AS$25*1/3600))*材料产出!$D$25</f>
        <v>2.7943944605876195E-2</v>
      </c>
    </row>
    <row r="5128" spans="1:4" ht="16.5" hidden="1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313">
        <f>材料产出!$Z$26/(基本属性!$A$26/(基本属性!$AS$26*1/3600))*材料产出!$D$26</f>
        <v>3.1075513935261985E-2</v>
      </c>
    </row>
    <row r="5129" spans="1:4" ht="16.5" hidden="1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313">
        <f>材料产出!$Z$27/(基本属性!$A$27/(基本属性!$AS$27*1/3600))*材料产出!$D$27</f>
        <v>3.4373361282137284E-2</v>
      </c>
    </row>
    <row r="5130" spans="1:4" ht="16.5" hidden="1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313">
        <f>材料产出!$Z$28/(基本属性!$A$28/(基本属性!$AS$28*1/3600))*材料产出!$D$28</f>
        <v>3.7837486646502112E-2</v>
      </c>
    </row>
    <row r="5131" spans="1:4" ht="16.5" hidden="1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313">
        <f>材料产出!$Z$29/(基本属性!$A$29/(基本属性!$AS$29*1/3600))*材料产出!$D$29</f>
        <v>4.1467890028356443E-2</v>
      </c>
    </row>
    <row r="5132" spans="1:4" ht="16.5" hidden="1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313">
        <f>材料产出!$Z$30/(基本属性!$A$30/(基本属性!$AS$30*1/3600))*材料产出!$D$30</f>
        <v>4.5264571427700281E-2</v>
      </c>
    </row>
    <row r="5133" spans="1:4" ht="16.5" hidden="1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313">
        <f>参数调整!$K$36*怪物掉落配置方案!$D4107</f>
        <v>3.9591509730546516E-4</v>
      </c>
    </row>
    <row r="5134" spans="1:4" ht="16.5" hidden="1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313">
        <f>参数调整!$K$36*怪物掉落配置方案!$D4108</f>
        <v>5.0108004502722944E-4</v>
      </c>
    </row>
    <row r="5135" spans="1:4" ht="16.5" hidden="1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313">
        <f>参数调整!$K$36*怪物掉落配置方案!$D4109</f>
        <v>6.1861733953978931E-4</v>
      </c>
    </row>
    <row r="5136" spans="1:4" ht="16.5" hidden="1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313">
        <f>参数调整!$K$36*怪物掉落配置方案!$D4110</f>
        <v>7.485269808431451E-4</v>
      </c>
    </row>
    <row r="5137" spans="1:4" ht="16.5" hidden="1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313">
        <f>参数调整!$K$36*怪物掉落配置方案!$D4111</f>
        <v>8.9080896893729638E-4</v>
      </c>
    </row>
    <row r="5138" spans="1:4" ht="16.5" hidden="1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313">
        <f>参数调整!$K$36*怪物掉落配置方案!$D4112</f>
        <v>1.0454633038222438E-3</v>
      </c>
    </row>
    <row r="5139" spans="1:4" ht="16.5" hidden="1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313">
        <f>参数调整!$K$36*怪物掉落配置方案!$D4113</f>
        <v>1.2124899854979868E-3</v>
      </c>
    </row>
    <row r="5140" spans="1:4" ht="16.5" hidden="1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313">
        <f>参数调整!$K$36*怪物掉落配置方案!$D4114</f>
        <v>1.3918890139645258E-3</v>
      </c>
    </row>
    <row r="5141" spans="1:4" ht="16.5" hidden="1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313">
        <f>参数调整!$K$36*怪物掉落配置方案!$D4115</f>
        <v>1.5836603892218607E-3</v>
      </c>
    </row>
    <row r="5142" spans="1:4" ht="16.5" hidden="1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313">
        <f>参数调整!$K$36*怪物掉落配置方案!$D4116</f>
        <v>2.0043201801089173E-3</v>
      </c>
    </row>
    <row r="5143" spans="1:4" ht="16.5" hidden="1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313">
        <f>参数调整!$K$36*怪物掉落配置方案!$D4117</f>
        <v>2.4744693581591568E-3</v>
      </c>
    </row>
    <row r="5144" spans="1:4" ht="16.5" hidden="1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313">
        <f>参数调整!$K$36*怪物掉落配置方案!$D4118</f>
        <v>2.9941079233725804E-3</v>
      </c>
    </row>
    <row r="5145" spans="1:4" ht="16.5" hidden="1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313">
        <f>参数调整!$K$36*怪物掉落配置方案!$D4119</f>
        <v>3.8663583721236824E-3</v>
      </c>
    </row>
    <row r="5146" spans="1:4" ht="16.5" hidden="1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313">
        <f>参数调整!$K$36*怪物掉落配置方案!$D4120</f>
        <v>5.5675560558581024E-3</v>
      </c>
    </row>
    <row r="5147" spans="1:4" ht="16.5" hidden="1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313">
        <f>参数调整!$K$36*怪物掉落配置方案!$D4121</f>
        <v>7.5780624093624172E-3</v>
      </c>
    </row>
    <row r="5148" spans="1:4" ht="16.5" hidden="1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313">
        <f>参数调整!$K$36*怪物掉落配置方案!$D4122</f>
        <v>8.4688713782997155E-3</v>
      </c>
    </row>
    <row r="5149" spans="1:4" ht="16.5" hidden="1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313">
        <f>参数调整!$K$36*怪物掉落配置方案!$D4123</f>
        <v>9.8978774326366273E-3</v>
      </c>
    </row>
    <row r="5150" spans="1:4" ht="16.5" hidden="1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313">
        <f>参数调整!$K$36*怪物掉落配置方案!$D4124</f>
        <v>1.1438234608090701E-2</v>
      </c>
    </row>
    <row r="5151" spans="1:4" ht="16.5" hidden="1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313">
        <f>参数调整!$K$36*怪物掉落配置方案!$D4125</f>
        <v>1.3089942904661938E-2</v>
      </c>
    </row>
    <row r="5152" spans="1:4" ht="16.5" hidden="1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313">
        <f>参数调整!$K$36*怪物掉落配置方案!$D4126</f>
        <v>1.4853002322350341E-2</v>
      </c>
    </row>
    <row r="5153" spans="1:4" ht="16.5" hidden="1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313">
        <f>参数调整!$K$36*怪物掉落配置方案!$D4127</f>
        <v>1.6727412861155901E-2</v>
      </c>
    </row>
    <row r="5154" spans="1:4" ht="16.5" hidden="1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313">
        <f>参数调整!$K$36*怪物掉落配置方案!$D4128</f>
        <v>1.8713174521078624E-2</v>
      </c>
    </row>
    <row r="5155" spans="1:4" ht="16.5" hidden="1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313">
        <f>参数调整!$K$36*怪物掉落配置方案!$D4129</f>
        <v>2.0810287302118508E-2</v>
      </c>
    </row>
    <row r="5156" spans="1:4" ht="16.5" hidden="1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313">
        <f>参数调整!$K$36*怪物掉落配置方案!$D4130</f>
        <v>2.3018751204275552E-2</v>
      </c>
    </row>
    <row r="5157" spans="1:4" ht="16.5" hidden="1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313">
        <f>参数调整!$K$36*怪物掉落配置方案!$D4131</f>
        <v>2.5338566227549771E-2</v>
      </c>
    </row>
    <row r="5158" spans="1:4" ht="16.5" hidden="1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313">
        <f>参数调整!$K$36*怪物掉落配置方案!$D4132</f>
        <v>2.7769732371941139E-2</v>
      </c>
    </row>
    <row r="5159" spans="1:4" ht="16.5" hidden="1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313">
        <f>参数调整!$K$36*怪物掉落配置方案!$D4133</f>
        <v>3.0312249637449676E-2</v>
      </c>
    </row>
    <row r="5160" spans="1:4" ht="16.5" hidden="1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313">
        <f>参数调整!$K$36*怪物掉落配置方案!$D4134</f>
        <v>5.1885112559125089E-3</v>
      </c>
    </row>
    <row r="5161" spans="1:4" ht="16.5" hidden="1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313">
        <f>参数调整!$K$36*怪物掉落配置方案!$D4135</f>
        <v>6.5667095582642694E-3</v>
      </c>
    </row>
    <row r="5162" spans="1:4" ht="16.5" hidden="1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313">
        <f>参数调整!$K$36*怪物掉落配置方案!$D4136</f>
        <v>8.1070488373632937E-3</v>
      </c>
    </row>
    <row r="5163" spans="1:4" ht="16.5" hidden="1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313">
        <f>参数调整!$K$36*怪物掉落配置方案!$D4137</f>
        <v>9.8095290932095867E-3</v>
      </c>
    </row>
    <row r="5164" spans="1:4" ht="16.5" hidden="1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313">
        <f>参数调整!$K$36*怪物掉落配置方案!$D4138</f>
        <v>1.1674150325803139E-2</v>
      </c>
    </row>
    <row r="5165" spans="1:4" ht="16.5" hidden="1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313">
        <f>参数调整!$K$36*怪物掉落配置方案!$D4139</f>
        <v>1.3700912535143968E-2</v>
      </c>
    </row>
    <row r="5166" spans="1:4" ht="16.5" hidden="1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313">
        <f>参数调整!$K$36*怪物掉落配置方案!$D4140</f>
        <v>1.5889815721232051E-2</v>
      </c>
    </row>
    <row r="5167" spans="1:4" ht="16.5" hidden="1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313">
        <f>参数调整!$K$36*怪物掉落配置方案!$D4141</f>
        <v>1.8240859884067408E-2</v>
      </c>
    </row>
    <row r="5168" spans="1:4" ht="16.5" hidden="1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313">
        <f>参数调整!$K$36*怪物掉落配置方案!$D4142</f>
        <v>2.0754045023650036E-2</v>
      </c>
    </row>
    <row r="5169" spans="1:4" ht="16.5" hidden="1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313">
        <f>参数调整!$K$36*怪物掉落配置方案!$D4143</f>
        <v>2.6266838233057074E-2</v>
      </c>
    </row>
    <row r="5170" spans="1:4" ht="16.5" hidden="1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313">
        <f>参数调整!$K$36*怪物掉落配置方案!$D4144</f>
        <v>3.2428195349453168E-2</v>
      </c>
    </row>
    <row r="5171" spans="1:4" ht="16.5" hidden="1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313">
        <f>参数调整!$K$36*怪物掉落配置方案!$D4145</f>
        <v>3.9238116372838347E-2</v>
      </c>
    </row>
    <row r="5172" spans="1:4" ht="16.5" hidden="1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313">
        <f>参数调整!$K$36*怪物掉落配置方案!$D4146</f>
        <v>5.0669055233520582E-2</v>
      </c>
    </row>
    <row r="5173" spans="1:4" ht="16.5" hidden="1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313">
        <f>参数调整!$K$36*怪物掉落配置方案!$D4147</f>
        <v>7.2963439536269631E-2</v>
      </c>
    </row>
    <row r="5174" spans="1:4" ht="16.5" hidden="1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313">
        <f>参数调整!$K$36*怪物掉落配置方案!$D4148</f>
        <v>9.9311348257700327E-2</v>
      </c>
    </row>
    <row r="5175" spans="1:4" ht="16.5" hidden="1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313">
        <f>参数调整!$K$36*怪物掉落配置方案!$D4149</f>
        <v>0.1109854985835035</v>
      </c>
    </row>
    <row r="5176" spans="1:4" ht="16.5" hidden="1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313">
        <f>参数调整!$K$36*怪物掉落配置方案!$D4150</f>
        <v>0.12971278139781267</v>
      </c>
    </row>
    <row r="5177" spans="1:4" ht="16.5" hidden="1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313">
        <f>参数调整!$K$36*怪物掉落配置方案!$D4151</f>
        <v>0.14989933300284727</v>
      </c>
    </row>
    <row r="5178" spans="1:4" ht="16.5" hidden="1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313">
        <f>参数调整!$K$36*怪物掉落配置方案!$D4152</f>
        <v>0.17154515339860726</v>
      </c>
    </row>
    <row r="5179" spans="1:4" ht="16.5" hidden="1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313">
        <f>参数调整!$K$36*怪物掉落配置方案!$D4153</f>
        <v>0.1946502425850927</v>
      </c>
    </row>
    <row r="5180" spans="1:4" ht="16.5" hidden="1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313">
        <f>参数调整!$K$36*怪物掉落配置方案!$D4154</f>
        <v>0.21921460056230344</v>
      </c>
    </row>
    <row r="5181" spans="1:4" ht="16.5" hidden="1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313">
        <f>参数调整!$K$36*怪物掉落配置方案!$D4155</f>
        <v>0.24523822733023964</v>
      </c>
    </row>
    <row r="5182" spans="1:4" ht="16.5" hidden="1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313">
        <f>参数调整!$K$36*怪物掉落配置方案!$D4156</f>
        <v>0.27272112288890116</v>
      </c>
    </row>
    <row r="5183" spans="1:4" ht="16.5" hidden="1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313">
        <f>参数调整!$K$36*怪物掉落配置方案!$D4157</f>
        <v>0.30166328723828811</v>
      </c>
    </row>
    <row r="5184" spans="1:4" ht="16.5" hidden="1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313">
        <f>参数调整!$K$36*怪物掉落配置方案!$D4158</f>
        <v>0.33206472037840051</v>
      </c>
    </row>
    <row r="5185" spans="1:4" ht="16.5" hidden="1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313">
        <f>参数调整!$K$36*怪物掉落配置方案!$D4159</f>
        <v>0.36392542230923824</v>
      </c>
    </row>
    <row r="5186" spans="1:4" ht="16.5" hidden="1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313">
        <f>参数调整!$K$36*怪物掉落配置方案!$D4160</f>
        <v>0.39724539303080136</v>
      </c>
    </row>
    <row r="5187" spans="1:4" ht="16.5" hidden="1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313">
        <f>参数调整!$K$36*怪物掉落配置方案!$D4161</f>
        <v>67</v>
      </c>
    </row>
    <row r="5188" spans="1:4" ht="16.5" hidden="1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313">
        <f>参数调整!$K$36*怪物掉落配置方案!$D4162</f>
        <v>85</v>
      </c>
    </row>
    <row r="5189" spans="1:4" ht="16.5" hidden="1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313">
        <f>参数调整!$K$36*怪物掉落配置方案!$D4163</f>
        <v>105</v>
      </c>
    </row>
    <row r="5190" spans="1:4" ht="16.5" hidden="1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313">
        <f>参数调整!$K$36*怪物掉落配置方案!$D4164</f>
        <v>127</v>
      </c>
    </row>
    <row r="5191" spans="1:4" ht="16.5" hidden="1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313">
        <f>参数调整!$K$36*怪物掉落配置方案!$D4165</f>
        <v>151</v>
      </c>
    </row>
    <row r="5192" spans="1:4" ht="16.5" hidden="1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313">
        <f>参数调整!$K$36*怪物掉落配置方案!$D4166</f>
        <v>177</v>
      </c>
    </row>
    <row r="5193" spans="1:4" ht="16.5" hidden="1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313">
        <f>参数调整!$K$36*怪物掉落配置方案!$D4167</f>
        <v>206</v>
      </c>
    </row>
    <row r="5194" spans="1:4" ht="16.5" hidden="1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313">
        <f>参数调整!$K$36*怪物掉落配置方案!$D4168</f>
        <v>236</v>
      </c>
    </row>
    <row r="5195" spans="1:4" ht="16.5" hidden="1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313">
        <f>参数调整!$K$36*怪物掉落配置方案!$D4169</f>
        <v>268</v>
      </c>
    </row>
    <row r="5196" spans="1:4" ht="16.5" hidden="1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313">
        <f>参数调整!$K$36*怪物掉落配置方案!$D4170</f>
        <v>340</v>
      </c>
    </row>
    <row r="5197" spans="1:4" ht="16.5" hidden="1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313">
        <f>参数调整!$K$36*怪物掉落配置方案!$D4171</f>
        <v>419</v>
      </c>
    </row>
    <row r="5198" spans="1:4" ht="16.5" hidden="1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313">
        <f>参数调整!$K$36*怪物掉落配置方案!$D4172</f>
        <v>508</v>
      </c>
    </row>
    <row r="5199" spans="1:4" ht="16.5" hidden="1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313">
        <f>参数调整!$K$36*怪物掉落配置方案!$D4173</f>
        <v>655</v>
      </c>
    </row>
    <row r="5200" spans="1:4" ht="16.5" hidden="1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313">
        <f>参数调整!$K$36*怪物掉落配置方案!$D4174</f>
        <v>944</v>
      </c>
    </row>
    <row r="5201" spans="1:4" ht="16.5" hidden="1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313">
        <f>参数调整!$K$36*怪物掉落配置方案!$D4175</f>
        <v>1285</v>
      </c>
    </row>
    <row r="5202" spans="1:4" ht="16.5" hidden="1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313">
        <f>参数调整!$K$36*怪物掉落配置方案!$D4176</f>
        <v>1436</v>
      </c>
    </row>
    <row r="5203" spans="1:4" ht="16.5" hidden="1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313">
        <f>参数调整!$K$36*怪物掉落配置方案!$D4177</f>
        <v>1678</v>
      </c>
    </row>
    <row r="5204" spans="1:4" ht="16.5" hidden="1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313">
        <f>参数调整!$K$36*怪物掉落配置方案!$D4178</f>
        <v>1939</v>
      </c>
    </row>
    <row r="5205" spans="1:4" ht="16.5" hidden="1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313">
        <f>参数调整!$K$36*怪物掉落配置方案!$D4179</f>
        <v>2219</v>
      </c>
    </row>
    <row r="5206" spans="1:4" ht="16.5" hidden="1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313">
        <f>参数调整!$K$36*怪物掉落配置方案!$D4180</f>
        <v>2518</v>
      </c>
    </row>
    <row r="5207" spans="1:4" ht="16.5" hidden="1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313">
        <f>参数调整!$K$36*怪物掉落配置方案!$D4181</f>
        <v>2836</v>
      </c>
    </row>
    <row r="5208" spans="1:4" ht="16.5" hidden="1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313">
        <f>参数调整!$K$36*怪物掉落配置方案!$D4182</f>
        <v>3172</v>
      </c>
    </row>
    <row r="5209" spans="1:4" ht="16.5" hidden="1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313">
        <f>参数调整!$K$36*怪物掉落配置方案!$D4183</f>
        <v>3528</v>
      </c>
    </row>
    <row r="5210" spans="1:4" ht="16.5" hidden="1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313">
        <f>参数调整!$K$36*怪物掉落配置方案!$D4184</f>
        <v>3902</v>
      </c>
    </row>
    <row r="5211" spans="1:4" ht="16.5" hidden="1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313">
        <f>参数调整!$K$36*怪物掉落配置方案!$D4185</f>
        <v>4295</v>
      </c>
    </row>
    <row r="5212" spans="1:4" ht="16.5" hidden="1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313">
        <f>参数调整!$K$36*怪物掉落配置方案!$D4186</f>
        <v>4707</v>
      </c>
    </row>
    <row r="5213" spans="1:4" ht="16.5" hidden="1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313">
        <f>参数调整!$K$36*怪物掉落配置方案!$D4187</f>
        <v>5138</v>
      </c>
    </row>
    <row r="5214" spans="1:4" ht="16.5" hidden="1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313">
        <f>参数调整!$K$36*怪物掉落配置方案!$D4188</f>
        <v>8.1231176692320292E-6</v>
      </c>
    </row>
    <row r="5215" spans="1:4" ht="16.5" hidden="1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313">
        <f>参数调整!$K$36*怪物掉落配置方案!$D4189</f>
        <v>1.0280820800121789E-5</v>
      </c>
    </row>
    <row r="5216" spans="1:4" ht="16.5" hidden="1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313">
        <f>参数调整!$K$36*怪物掉落配置方案!$D4190</f>
        <v>1.2692371358175044E-5</v>
      </c>
    </row>
    <row r="5217" spans="1:4" ht="16.5" hidden="1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313">
        <f>参数调整!$K$36*怪物掉落配置方案!$D4191</f>
        <v>1.5357769343391804E-5</v>
      </c>
    </row>
    <row r="5218" spans="1:4" ht="16.5" hidden="1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313">
        <f>参数调整!$K$36*怪物掉落配置方案!$D4192</f>
        <v>1.8277014755772062E-5</v>
      </c>
    </row>
    <row r="5219" spans="1:4" ht="16.5" hidden="1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313">
        <f>参数调整!$K$36*怪物掉落配置方案!$D4193</f>
        <v>2.1450107595315825E-5</v>
      </c>
    </row>
    <row r="5220" spans="1:4" ht="16.5" hidden="1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313">
        <f>参数调整!$K$36*怪物掉落配置方案!$D4194</f>
        <v>2.4877047862023084E-5</v>
      </c>
    </row>
    <row r="5221" spans="1:4" ht="16.5" hidden="1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313">
        <f>参数调整!$K$36*怪物掉落配置方案!$D4195</f>
        <v>2.8557835555893848E-5</v>
      </c>
    </row>
    <row r="5222" spans="1:4" ht="16.5" hidden="1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313">
        <f>参数调整!$K$36*怪物掉落配置方案!$D4196</f>
        <v>3.2492470676928124E-5</v>
      </c>
    </row>
    <row r="5223" spans="1:4" ht="16.5" hidden="1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313">
        <f>参数调整!$K$36*怪物掉落配置方案!$D4197</f>
        <v>4.1123283200487142E-5</v>
      </c>
    </row>
    <row r="5224" spans="1:4" ht="16.5" hidden="1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313">
        <f>参数调整!$K$36*怪物掉落配置方案!$D4198</f>
        <v>5.0769485432700169E-5</v>
      </c>
    </row>
    <row r="5225" spans="1:4" ht="16.5" hidden="1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313">
        <f>参数调整!$K$36*怪物掉落配置方案!$D4199</f>
        <v>6.1431077373567218E-5</v>
      </c>
    </row>
    <row r="5226" spans="1:4" ht="16.5" hidden="1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313">
        <f>参数调整!$K$36*怪物掉落配置方案!$D4200</f>
        <v>7.932732098859403E-5</v>
      </c>
    </row>
    <row r="5227" spans="1:4" ht="16.5" hidden="1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313">
        <f>参数调整!$K$36*怪物掉落配置方案!$D4201</f>
        <v>1.1423134222357536E-4</v>
      </c>
    </row>
    <row r="5228" spans="1:4" ht="16.5" hidden="1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313">
        <f>参数调整!$K$36*怪物掉落配置方案!$D4202</f>
        <v>1.5548154913764428E-4</v>
      </c>
    </row>
    <row r="5229" spans="1:4" ht="16.5" hidden="1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313">
        <f>参数调整!$K$36*怪物掉落配置方案!$D4203</f>
        <v>1.7375856389341638E-4</v>
      </c>
    </row>
    <row r="5230" spans="1:4" ht="16.5" hidden="1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313">
        <f>参数调整!$K$36*怪物掉落配置方案!$D4204</f>
        <v>2.0307794173080068E-4</v>
      </c>
    </row>
    <row r="5231" spans="1:4" ht="16.5" hidden="1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313">
        <f>参数调整!$K$36*怪物掉落配置方案!$D4205</f>
        <v>2.3468194641265651E-4</v>
      </c>
    </row>
    <row r="5232" spans="1:4" ht="16.5" hidden="1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313">
        <f>参数调整!$K$36*怪物掉落配置方案!$D4206</f>
        <v>2.6857057793898393E-4</v>
      </c>
    </row>
    <row r="5233" spans="1:4" ht="16.5" hidden="1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313">
        <f>参数调整!$K$36*怪物掉落配置方案!$D4207</f>
        <v>3.0474383630978288E-4</v>
      </c>
    </row>
    <row r="5234" spans="1:4" ht="16.5" hidden="1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313">
        <f>参数调整!$K$36*怪物掉落配置方案!$D4208</f>
        <v>3.432017215250532E-4</v>
      </c>
    </row>
    <row r="5235" spans="1:4" ht="16.5" hidden="1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313">
        <f>参数调整!$K$36*怪物掉落配置方案!$D4209</f>
        <v>3.8394423358479511E-4</v>
      </c>
    </row>
    <row r="5236" spans="1:4" ht="16.5" hidden="1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313">
        <f>参数调整!$K$36*怪物掉落配置方案!$D4210</f>
        <v>4.2697137248900839E-4</v>
      </c>
    </row>
    <row r="5237" spans="1:4" ht="16.5" hidden="1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313">
        <f>参数调整!$K$36*怪物掉落配置方案!$D4211</f>
        <v>4.7228313823769331E-4</v>
      </c>
    </row>
    <row r="5238" spans="1:4" ht="16.5" hidden="1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313">
        <f>参数调整!$K$36*怪物掉落配置方案!$D4212</f>
        <v>5.1987953083084987E-4</v>
      </c>
    </row>
    <row r="5239" spans="1:4" ht="16.5" hidden="1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313">
        <f>参数调整!$K$36*怪物掉落配置方案!$D4213</f>
        <v>5.697605502684777E-4</v>
      </c>
    </row>
    <row r="5240" spans="1:4" ht="16.5" hidden="1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313">
        <f>参数调整!$K$36*怪物掉落配置方案!$D4214</f>
        <v>6.2192619655057721E-4</v>
      </c>
    </row>
    <row r="5241" spans="1:4" ht="16.5" hidden="1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313">
        <f>参数调整!$K$36*怪物掉落配置方案!$D4215</f>
        <v>0</v>
      </c>
    </row>
    <row r="5242" spans="1:4" ht="16.5" hidden="1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313">
        <f>参数调整!$K$36*怪物掉落配置方案!$D4216</f>
        <v>0</v>
      </c>
    </row>
    <row r="5243" spans="1:4" ht="16.5" hidden="1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313">
        <f>参数调整!$K$36*怪物掉落配置方案!$D4217</f>
        <v>0</v>
      </c>
    </row>
    <row r="5244" spans="1:4" ht="16.5" hidden="1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313">
        <f>参数调整!$K$36*怪物掉落配置方案!$D4218</f>
        <v>0</v>
      </c>
    </row>
    <row r="5245" spans="1:4" ht="16.5" hidden="1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313">
        <f>参数调整!$K$36*怪物掉落配置方案!$D4219</f>
        <v>0</v>
      </c>
    </row>
    <row r="5246" spans="1:4" ht="16.5" hidden="1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313">
        <f>参数调整!$K$36*怪物掉落配置方案!$D4220</f>
        <v>0</v>
      </c>
    </row>
    <row r="5247" spans="1:4" ht="16.5" hidden="1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313">
        <f>参数调整!$K$36*怪物掉落配置方案!$D4221</f>
        <v>0</v>
      </c>
    </row>
    <row r="5248" spans="1:4" ht="16.5" hidden="1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313">
        <f>参数调整!$K$36*怪物掉落配置方案!$D4222</f>
        <v>0</v>
      </c>
    </row>
    <row r="5249" spans="1:4" ht="16.5" hidden="1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313">
        <f>参数调整!$K$36*怪物掉落配置方案!$D4223</f>
        <v>0</v>
      </c>
    </row>
    <row r="5250" spans="1:4" ht="16.5" hidden="1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313">
        <f>参数调整!$K$36*怪物掉落配置方案!$D4224</f>
        <v>0</v>
      </c>
    </row>
    <row r="5251" spans="1:4" ht="16.5" hidden="1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313">
        <f>参数调整!$K$36*怪物掉落配置方案!$D4225</f>
        <v>0</v>
      </c>
    </row>
    <row r="5252" spans="1:4" ht="16.5" hidden="1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313">
        <f>参数调整!$K$36*怪物掉落配置方案!$D4226</f>
        <v>0</v>
      </c>
    </row>
    <row r="5253" spans="1:4" ht="16.5" hidden="1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313">
        <f>参数调整!$K$36*怪物掉落配置方案!$D4227</f>
        <v>0</v>
      </c>
    </row>
    <row r="5254" spans="1:4" ht="16.5" hidden="1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313">
        <f>参数调整!$K$36*怪物掉落配置方案!$D4228</f>
        <v>0</v>
      </c>
    </row>
    <row r="5255" spans="1:4" ht="16.5" hidden="1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313">
        <f>参数调整!$K$36*怪物掉落配置方案!$D4229</f>
        <v>0</v>
      </c>
    </row>
    <row r="5256" spans="1:4" ht="16.5" hidden="1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313">
        <f>参数调整!$K$36*怪物掉落配置方案!$D4230</f>
        <v>0</v>
      </c>
    </row>
    <row r="5257" spans="1:4" ht="16.5" hidden="1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313">
        <f>参数调整!$K$36*怪物掉落配置方案!$D4231</f>
        <v>0</v>
      </c>
    </row>
    <row r="5258" spans="1:4" ht="16.5" hidden="1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313">
        <f>参数调整!$K$36*怪物掉落配置方案!$D4232</f>
        <v>0</v>
      </c>
    </row>
    <row r="5259" spans="1:4" ht="16.5" hidden="1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313">
        <f>参数调整!$K$36*怪物掉落配置方案!$D4233</f>
        <v>0</v>
      </c>
    </row>
    <row r="5260" spans="1:4" ht="16.5" hidden="1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313">
        <f>参数调整!$K$36*怪物掉落配置方案!$D4234</f>
        <v>0</v>
      </c>
    </row>
    <row r="5261" spans="1:4" ht="16.5" hidden="1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313">
        <f>参数调整!$K$36*怪物掉落配置方案!$D4235</f>
        <v>0</v>
      </c>
    </row>
    <row r="5262" spans="1:4" ht="16.5" hidden="1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313">
        <f>参数调整!$K$36*怪物掉落配置方案!$D4236</f>
        <v>0</v>
      </c>
    </row>
    <row r="5263" spans="1:4" ht="16.5" hidden="1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313">
        <f>参数调整!$K$36*怪物掉落配置方案!$D4237</f>
        <v>0</v>
      </c>
    </row>
    <row r="5264" spans="1:4" ht="16.5" hidden="1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313">
        <f>参数调整!$K$36*怪物掉落配置方案!$D4238</f>
        <v>0</v>
      </c>
    </row>
    <row r="5265" spans="1:4" ht="16.5" hidden="1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313">
        <f>参数调整!$K$36*怪物掉落配置方案!$D4239</f>
        <v>0</v>
      </c>
    </row>
    <row r="5266" spans="1:4" ht="16.5" hidden="1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313">
        <f>参数调整!$K$36*怪物掉落配置方案!$D4240</f>
        <v>0</v>
      </c>
    </row>
    <row r="5267" spans="1:4" ht="16.5" hidden="1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313">
        <f>参数调整!$K$36*怪物掉落配置方案!$D4241</f>
        <v>0</v>
      </c>
    </row>
    <row r="5268" spans="1:4" ht="16.5" hidden="1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313">
        <f>参数调整!$K$36*怪物掉落配置方案!$D4242</f>
        <v>0</v>
      </c>
    </row>
    <row r="5269" spans="1:4" ht="16.5" hidden="1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313">
        <f>参数调整!$K$36*怪物掉落配置方案!$D4243</f>
        <v>0</v>
      </c>
    </row>
    <row r="5270" spans="1:4" ht="16.5" hidden="1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313">
        <f>参数调整!$K$36*怪物掉落配置方案!$D4244</f>
        <v>0</v>
      </c>
    </row>
    <row r="5271" spans="1:4" ht="16.5" hidden="1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313">
        <f>参数调整!$K$36*怪物掉落配置方案!$D4245</f>
        <v>0</v>
      </c>
    </row>
    <row r="5272" spans="1:4" ht="16.5" hidden="1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313">
        <f>参数调整!$K$36*怪物掉落配置方案!$D4246</f>
        <v>0</v>
      </c>
    </row>
    <row r="5273" spans="1:4" ht="16.5" hidden="1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313">
        <f>参数调整!$K$36*怪物掉落配置方案!$D4247</f>
        <v>0</v>
      </c>
    </row>
    <row r="5274" spans="1:4" ht="16.5" hidden="1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313">
        <f>参数调整!$K$36*怪物掉落配置方案!$D4248</f>
        <v>0</v>
      </c>
    </row>
    <row r="5275" spans="1:4" ht="16.5" hidden="1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313">
        <f>参数调整!$K$36*怪物掉落配置方案!$D4249</f>
        <v>0</v>
      </c>
    </row>
    <row r="5276" spans="1:4" ht="16.5" hidden="1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313">
        <f>参数调整!$K$36*怪物掉落配置方案!$D4250</f>
        <v>0</v>
      </c>
    </row>
    <row r="5277" spans="1:4" ht="16.5" hidden="1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313">
        <f>参数调整!$K$36*怪物掉落配置方案!$D4251</f>
        <v>0</v>
      </c>
    </row>
    <row r="5278" spans="1:4" ht="16.5" hidden="1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313">
        <f>参数调整!$K$36*怪物掉落配置方案!$D4252</f>
        <v>0</v>
      </c>
    </row>
    <row r="5279" spans="1:4" ht="16.5" hidden="1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313">
        <f>参数调整!$K$36*怪物掉落配置方案!$D4253</f>
        <v>0</v>
      </c>
    </row>
    <row r="5280" spans="1:4" ht="16.5" hidden="1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313">
        <f>参数调整!$K$36*怪物掉落配置方案!$D4254</f>
        <v>0</v>
      </c>
    </row>
    <row r="5281" spans="1:4" ht="16.5" hidden="1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313">
        <f>参数调整!$K$36*怪物掉落配置方案!$D4255</f>
        <v>0</v>
      </c>
    </row>
    <row r="5282" spans="1:4" ht="16.5" hidden="1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313">
        <f>参数调整!$K$36*怪物掉落配置方案!$D4256</f>
        <v>0</v>
      </c>
    </row>
    <row r="5283" spans="1:4" ht="16.5" hidden="1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313">
        <f>参数调整!$K$36*怪物掉落配置方案!$D4257</f>
        <v>0</v>
      </c>
    </row>
    <row r="5284" spans="1:4" ht="16.5" hidden="1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313">
        <f>参数调整!$K$36*怪物掉落配置方案!$D4258</f>
        <v>0</v>
      </c>
    </row>
    <row r="5285" spans="1:4" ht="16.5" hidden="1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313">
        <f>参数调整!$K$36*怪物掉落配置方案!$D4259</f>
        <v>0</v>
      </c>
    </row>
    <row r="5286" spans="1:4" ht="16.5" hidden="1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313">
        <f>参数调整!$K$36*怪物掉落配置方案!$D4260</f>
        <v>0</v>
      </c>
    </row>
    <row r="5287" spans="1:4" ht="16.5" hidden="1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313">
        <f>参数调整!$K$36*怪物掉落配置方案!$D4261</f>
        <v>0</v>
      </c>
    </row>
    <row r="5288" spans="1:4" ht="16.5" hidden="1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313">
        <f>参数调整!$K$36*怪物掉落配置方案!$D4262</f>
        <v>0</v>
      </c>
    </row>
    <row r="5289" spans="1:4" ht="16.5" hidden="1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313">
        <f>参数调整!$K$36*怪物掉落配置方案!$D4263</f>
        <v>0</v>
      </c>
    </row>
    <row r="5290" spans="1:4" ht="16.5" hidden="1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313">
        <f>参数调整!$K$36*怪物掉落配置方案!$D4264</f>
        <v>0</v>
      </c>
    </row>
    <row r="5291" spans="1:4" ht="16.5" hidden="1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313">
        <f>参数调整!$K$36*怪物掉落配置方案!$D4265</f>
        <v>0</v>
      </c>
    </row>
    <row r="5292" spans="1:4" ht="16.5" hidden="1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313">
        <f>参数调整!$K$36*怪物掉落配置方案!$D4266</f>
        <v>0</v>
      </c>
    </row>
    <row r="5293" spans="1:4" ht="16.5" hidden="1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313">
        <f>参数调整!$K$36*怪物掉落配置方案!$D4267</f>
        <v>0</v>
      </c>
    </row>
    <row r="5294" spans="1:4" ht="16.5" hidden="1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313">
        <f>参数调整!$K$36*怪物掉落配置方案!$D4268</f>
        <v>0</v>
      </c>
    </row>
    <row r="5295" spans="1:4" ht="16.5" hidden="1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313">
        <f>参数调整!$K$36*怪物掉落配置方案!$D4269</f>
        <v>0</v>
      </c>
    </row>
    <row r="5296" spans="1:4" ht="16.5" hidden="1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313">
        <f>参数调整!$K$36*怪物掉落配置方案!$D4270</f>
        <v>0</v>
      </c>
    </row>
    <row r="5297" spans="1:4" ht="16.5" hidden="1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313">
        <f>参数调整!$K$36*怪物掉落配置方案!$D4271</f>
        <v>0</v>
      </c>
    </row>
    <row r="5298" spans="1:4" ht="16.5" hidden="1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313">
        <f>参数调整!$K$36*怪物掉落配置方案!$D4272</f>
        <v>0</v>
      </c>
    </row>
    <row r="5299" spans="1:4" ht="16.5" hidden="1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313">
        <f>参数调整!$K$36*怪物掉落配置方案!$D4273</f>
        <v>0</v>
      </c>
    </row>
    <row r="5300" spans="1:4" ht="16.5" hidden="1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313">
        <f>参数调整!$K$36*怪物掉落配置方案!$D4274</f>
        <v>0</v>
      </c>
    </row>
    <row r="5301" spans="1:4" ht="16.5" hidden="1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313">
        <f>参数调整!$K$36*怪物掉落配置方案!$D4275</f>
        <v>0</v>
      </c>
    </row>
    <row r="5302" spans="1:4" ht="16.5" hidden="1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313">
        <f>参数调整!$K$36*怪物掉落配置方案!$D4276</f>
        <v>0</v>
      </c>
    </row>
    <row r="5303" spans="1:4" ht="16.5" hidden="1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313">
        <f>参数调整!$K$36*怪物掉落配置方案!$D4277</f>
        <v>0</v>
      </c>
    </row>
    <row r="5304" spans="1:4" ht="16.5" hidden="1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313">
        <f>参数调整!$K$36*怪物掉落配置方案!$D4278</f>
        <v>0</v>
      </c>
    </row>
    <row r="5305" spans="1:4" ht="16.5" hidden="1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313">
        <f>参数调整!$K$36*怪物掉落配置方案!$D4279</f>
        <v>0</v>
      </c>
    </row>
    <row r="5306" spans="1:4" ht="16.5" hidden="1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313">
        <f>参数调整!$K$36*怪物掉落配置方案!$D4280</f>
        <v>0</v>
      </c>
    </row>
    <row r="5307" spans="1:4" ht="16.5" hidden="1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313">
        <f>参数调整!$K$36*怪物掉落配置方案!$D4281</f>
        <v>0</v>
      </c>
    </row>
    <row r="5308" spans="1:4" ht="16.5" hidden="1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313">
        <f>参数调整!$K$36*怪物掉落配置方案!$D4282</f>
        <v>0</v>
      </c>
    </row>
    <row r="5309" spans="1:4" ht="16.5" hidden="1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313">
        <f>参数调整!$K$36*怪物掉落配置方案!$D4283</f>
        <v>0</v>
      </c>
    </row>
    <row r="5310" spans="1:4" ht="16.5" hidden="1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313">
        <f>参数调整!$K$36*怪物掉落配置方案!$D4284</f>
        <v>0</v>
      </c>
    </row>
    <row r="5311" spans="1:4" ht="16.5" hidden="1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313">
        <f>参数调整!$K$36*怪物掉落配置方案!$D4285</f>
        <v>0</v>
      </c>
    </row>
    <row r="5312" spans="1:4" ht="16.5" hidden="1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313">
        <f>参数调整!$K$36*怪物掉落配置方案!$D4286</f>
        <v>0</v>
      </c>
    </row>
    <row r="5313" spans="1:4" ht="16.5" hidden="1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313">
        <f>参数调整!$K$36*怪物掉落配置方案!$D4287</f>
        <v>0</v>
      </c>
    </row>
    <row r="5314" spans="1:4" ht="16.5" hidden="1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313">
        <f>参数调整!$K$36*怪物掉落配置方案!$D4288</f>
        <v>0</v>
      </c>
    </row>
    <row r="5315" spans="1:4" ht="16.5" hidden="1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313">
        <f>参数调整!$K$36*怪物掉落配置方案!$D4289</f>
        <v>0</v>
      </c>
    </row>
    <row r="5316" spans="1:4" ht="16.5" hidden="1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313">
        <f>参数调整!$K$36*怪物掉落配置方案!$D4290</f>
        <v>0</v>
      </c>
    </row>
    <row r="5317" spans="1:4" ht="16.5" hidden="1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313">
        <f>参数调整!$K$36*怪物掉落配置方案!$D4291</f>
        <v>0</v>
      </c>
    </row>
    <row r="5318" spans="1:4" ht="16.5" hidden="1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313">
        <f>参数调整!$K$36*怪物掉落配置方案!$D4292</f>
        <v>0</v>
      </c>
    </row>
    <row r="5319" spans="1:4" ht="16.5" hidden="1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313">
        <f>参数调整!$K$36*怪物掉落配置方案!$D4293</f>
        <v>0</v>
      </c>
    </row>
    <row r="5320" spans="1:4" ht="16.5" hidden="1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313">
        <f>参数调整!$K$36*怪物掉落配置方案!$D4294</f>
        <v>0</v>
      </c>
    </row>
    <row r="5321" spans="1:4" ht="16.5" hidden="1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313">
        <f>参数调整!$K$36*怪物掉落配置方案!$D4295</f>
        <v>0</v>
      </c>
    </row>
    <row r="5322" spans="1:4" ht="16.5" hidden="1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313">
        <f>参数调整!$K$36*怪物掉落配置方案!$D4296</f>
        <v>0</v>
      </c>
    </row>
    <row r="5323" spans="1:4" ht="16.5" hidden="1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313">
        <f>参数调整!$K$36*怪物掉落配置方案!$D4297</f>
        <v>0</v>
      </c>
    </row>
    <row r="5324" spans="1:4" ht="16.5" hidden="1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313">
        <f>参数调整!$K$36*怪物掉落配置方案!$D4298</f>
        <v>0</v>
      </c>
    </row>
    <row r="5325" spans="1:4" ht="16.5" hidden="1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313">
        <f>参数调整!$K$36*怪物掉落配置方案!$D4299</f>
        <v>0</v>
      </c>
    </row>
    <row r="5326" spans="1:4" ht="16.5" hidden="1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313">
        <f>参数调整!$K$36*怪物掉落配置方案!$D4300</f>
        <v>0</v>
      </c>
    </row>
    <row r="5327" spans="1:4" ht="16.5" hidden="1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313">
        <f>参数调整!$K$36*怪物掉落配置方案!$D4301</f>
        <v>0</v>
      </c>
    </row>
    <row r="5328" spans="1:4" ht="16.5" hidden="1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313">
        <f>参数调整!$K$36*怪物掉落配置方案!$D4302</f>
        <v>0</v>
      </c>
    </row>
    <row r="5329" spans="1:4" ht="16.5" hidden="1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313">
        <f>参数调整!$K$36*怪物掉落配置方案!$D4303</f>
        <v>0</v>
      </c>
    </row>
    <row r="5330" spans="1:4" ht="16.5" hidden="1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313">
        <f>参数调整!$K$36*怪物掉落配置方案!$D4304</f>
        <v>0</v>
      </c>
    </row>
    <row r="5331" spans="1:4" ht="16.5" hidden="1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313">
        <f>参数调整!$K$36*怪物掉落配置方案!$D4305</f>
        <v>0</v>
      </c>
    </row>
    <row r="5332" spans="1:4" ht="16.5" hidden="1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313">
        <f>参数调整!$K$36*怪物掉落配置方案!$D4306</f>
        <v>0</v>
      </c>
    </row>
    <row r="5333" spans="1:4" ht="16.5" hidden="1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313">
        <f>参数调整!$K$36*怪物掉落配置方案!$D4307</f>
        <v>0</v>
      </c>
    </row>
    <row r="5334" spans="1:4" ht="16.5" hidden="1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313">
        <f>参数调整!$K$36*怪物掉落配置方案!$D4308</f>
        <v>0</v>
      </c>
    </row>
    <row r="5335" spans="1:4" ht="16.5" hidden="1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313">
        <f>参数调整!$K$36*怪物掉落配置方案!$D4309</f>
        <v>0</v>
      </c>
    </row>
    <row r="5336" spans="1:4" ht="16.5" hidden="1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313">
        <f>参数调整!$K$36*怪物掉落配置方案!$D4310</f>
        <v>0</v>
      </c>
    </row>
    <row r="5337" spans="1:4" ht="16.5" hidden="1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313">
        <f>参数调整!$K$36*怪物掉落配置方案!$D4311</f>
        <v>0</v>
      </c>
    </row>
    <row r="5338" spans="1:4" ht="16.5" hidden="1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313">
        <f>参数调整!$K$36*怪物掉落配置方案!$D4312</f>
        <v>0</v>
      </c>
    </row>
    <row r="5339" spans="1:4" ht="16.5" hidden="1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313">
        <f>参数调整!$K$36*怪物掉落配置方案!$D4313</f>
        <v>0</v>
      </c>
    </row>
    <row r="5340" spans="1:4" ht="16.5" hidden="1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313">
        <f>参数调整!$K$36*怪物掉落配置方案!$D4314</f>
        <v>0</v>
      </c>
    </row>
    <row r="5341" spans="1:4" ht="16.5" hidden="1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313">
        <f>参数调整!$K$36*怪物掉落配置方案!$D4315</f>
        <v>0</v>
      </c>
    </row>
    <row r="5342" spans="1:4" ht="16.5" hidden="1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313">
        <f>参数调整!$K$36*怪物掉落配置方案!$D4316</f>
        <v>0</v>
      </c>
    </row>
    <row r="5343" spans="1:4" ht="16.5" hidden="1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313">
        <f>参数调整!$K$36*怪物掉落配置方案!$D4317</f>
        <v>0</v>
      </c>
    </row>
    <row r="5344" spans="1:4" ht="16.5" hidden="1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313">
        <f>参数调整!$K$36*怪物掉落配置方案!$D4318</f>
        <v>0</v>
      </c>
    </row>
    <row r="5345" spans="1:4" ht="16.5" hidden="1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313">
        <f>参数调整!$K$36*怪物掉落配置方案!$D4319</f>
        <v>0</v>
      </c>
    </row>
    <row r="5346" spans="1:4" ht="16.5" hidden="1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313">
        <f>参数调整!$K$36*怪物掉落配置方案!$D4320</f>
        <v>0</v>
      </c>
    </row>
    <row r="5347" spans="1:4" ht="16.5" hidden="1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313">
        <f>参数调整!$K$36*怪物掉落配置方案!$D4321</f>
        <v>0</v>
      </c>
    </row>
    <row r="5348" spans="1:4" ht="16.5" hidden="1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313">
        <f>参数调整!$K$36*怪物掉落配置方案!$D4322</f>
        <v>0</v>
      </c>
    </row>
    <row r="5349" spans="1:4" ht="16.5" hidden="1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313">
        <f>参数调整!$K$36*怪物掉落配置方案!$D4323</f>
        <v>0</v>
      </c>
    </row>
    <row r="5350" spans="1:4" ht="16.5" hidden="1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313">
        <f>参数调整!$K$36*怪物掉落配置方案!$D4324</f>
        <v>0</v>
      </c>
    </row>
    <row r="5351" spans="1:4" ht="16.5" hidden="1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313">
        <f>参数调整!$K$36*怪物掉落配置方案!$D4325</f>
        <v>0</v>
      </c>
    </row>
    <row r="5352" spans="1:4" ht="16.5" hidden="1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313">
        <f>参数调整!$K$36*怪物掉落配置方案!$D4326</f>
        <v>0</v>
      </c>
    </row>
    <row r="5353" spans="1:4" ht="16.5" hidden="1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313">
        <f>参数调整!$K$36*怪物掉落配置方案!$D4327</f>
        <v>0</v>
      </c>
    </row>
    <row r="5354" spans="1:4" ht="16.5" hidden="1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313">
        <f>参数调整!$K$36*怪物掉落配置方案!$D4328</f>
        <v>0</v>
      </c>
    </row>
    <row r="5355" spans="1:4" ht="16.5" hidden="1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313">
        <f>参数调整!$K$36*怪物掉落配置方案!$D4329</f>
        <v>0</v>
      </c>
    </row>
    <row r="5356" spans="1:4" ht="16.5" hidden="1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313">
        <f>参数调整!$K$36*怪物掉落配置方案!$D4330</f>
        <v>0</v>
      </c>
    </row>
    <row r="5357" spans="1:4" ht="16.5" hidden="1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313">
        <f>参数调整!$K$36*怪物掉落配置方案!$D4331</f>
        <v>0</v>
      </c>
    </row>
    <row r="5358" spans="1:4" ht="16.5" hidden="1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313">
        <f>参数调整!$K$36*怪物掉落配置方案!$D4332</f>
        <v>0</v>
      </c>
    </row>
    <row r="5359" spans="1:4" ht="16.5" hidden="1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313">
        <f>参数调整!$K$36*怪物掉落配置方案!$D4333</f>
        <v>0</v>
      </c>
    </row>
    <row r="5360" spans="1:4" ht="16.5" hidden="1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313">
        <f>参数调整!$K$36*怪物掉落配置方案!$D4334</f>
        <v>0</v>
      </c>
    </row>
    <row r="5361" spans="1:4" ht="16.5" hidden="1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313">
        <f>参数调整!$K$36*怪物掉落配置方案!$D4335</f>
        <v>0</v>
      </c>
    </row>
    <row r="5362" spans="1:4" ht="16.5" hidden="1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313">
        <f>参数调整!$K$36*怪物掉落配置方案!$D4336</f>
        <v>0</v>
      </c>
    </row>
    <row r="5363" spans="1:4" ht="16.5" hidden="1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313">
        <f>参数调整!$K$36*怪物掉落配置方案!$D4337</f>
        <v>0</v>
      </c>
    </row>
    <row r="5364" spans="1:4" ht="16.5" hidden="1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313">
        <f>参数调整!$K$36*怪物掉落配置方案!$D4338</f>
        <v>0</v>
      </c>
    </row>
    <row r="5365" spans="1:4" ht="16.5" hidden="1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313">
        <f>参数调整!$K$36*怪物掉落配置方案!$D4339</f>
        <v>0</v>
      </c>
    </row>
    <row r="5366" spans="1:4" ht="16.5" hidden="1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313">
        <f>参数调整!$K$36*怪物掉落配置方案!$D4340</f>
        <v>0</v>
      </c>
    </row>
    <row r="5367" spans="1:4" ht="16.5" hidden="1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313">
        <f>参数调整!$K$36*怪物掉落配置方案!$D4341</f>
        <v>0</v>
      </c>
    </row>
    <row r="5368" spans="1:4" ht="16.5" hidden="1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313">
        <f>参数调整!$K$36*怪物掉落配置方案!$D4342</f>
        <v>0</v>
      </c>
    </row>
    <row r="5369" spans="1:4" ht="16.5" hidden="1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313">
        <f>参数调整!$K$36*怪物掉落配置方案!$D4343</f>
        <v>0</v>
      </c>
    </row>
    <row r="5370" spans="1:4" ht="16.5" hidden="1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313">
        <f>参数调整!$K$36*怪物掉落配置方案!$D4344</f>
        <v>0</v>
      </c>
    </row>
    <row r="5371" spans="1:4" ht="16.5" hidden="1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313">
        <f>参数调整!$K$36*怪物掉落配置方案!$D4345</f>
        <v>0</v>
      </c>
    </row>
    <row r="5372" spans="1:4" ht="16.5" hidden="1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313">
        <f>参数调整!$K$36*怪物掉落配置方案!$D4346</f>
        <v>0</v>
      </c>
    </row>
    <row r="5373" spans="1:4" ht="16.5" hidden="1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313">
        <f>参数调整!$K$36*怪物掉落配置方案!$D4347</f>
        <v>0</v>
      </c>
    </row>
    <row r="5374" spans="1:4" ht="16.5" hidden="1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313">
        <f>参数调整!$K$36*怪物掉落配置方案!$D4348</f>
        <v>0</v>
      </c>
    </row>
    <row r="5375" spans="1:4" ht="16.5" hidden="1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313">
        <f>参数调整!$K$36*怪物掉落配置方案!$D4349</f>
        <v>0</v>
      </c>
    </row>
    <row r="5376" spans="1:4" ht="16.5" hidden="1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313">
        <f>参数调整!$K$36*怪物掉落配置方案!$D4350</f>
        <v>0</v>
      </c>
    </row>
    <row r="5377" spans="1:4" ht="16.5" hidden="1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313">
        <f>参数调整!$K$36*怪物掉落配置方案!$D4351</f>
        <v>0</v>
      </c>
    </row>
    <row r="5378" spans="1:4" ht="16.5" hidden="1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313">
        <f>参数调整!$K$36*怪物掉落配置方案!$D4352</f>
        <v>0</v>
      </c>
    </row>
    <row r="5379" spans="1:4" ht="16.5" hidden="1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313">
        <f>参数调整!$K$36*怪物掉落配置方案!$D4353</f>
        <v>0</v>
      </c>
    </row>
    <row r="5380" spans="1:4" ht="16.5" hidden="1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313">
        <f>参数调整!$K$36*怪物掉落配置方案!$D4354</f>
        <v>0</v>
      </c>
    </row>
    <row r="5381" spans="1:4" ht="16.5" hidden="1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313">
        <f>参数调整!$K$36*怪物掉落配置方案!$D4355</f>
        <v>0</v>
      </c>
    </row>
    <row r="5382" spans="1:4" ht="16.5" hidden="1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313">
        <f>参数调整!$K$36*怪物掉落配置方案!$D4356</f>
        <v>0</v>
      </c>
    </row>
    <row r="5383" spans="1:4" ht="16.5" hidden="1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313">
        <f>参数调整!$K$36*怪物掉落配置方案!$D4357</f>
        <v>0</v>
      </c>
    </row>
    <row r="5384" spans="1:4" ht="16.5" hidden="1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313">
        <f>参数调整!$K$36*怪物掉落配置方案!$D4358</f>
        <v>0</v>
      </c>
    </row>
    <row r="5385" spans="1:4" ht="16.5" hidden="1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313">
        <f>参数调整!$K$36*怪物掉落配置方案!$D4359</f>
        <v>0</v>
      </c>
    </row>
    <row r="5386" spans="1:4" ht="16.5" hidden="1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313">
        <f>参数调整!$K$36*怪物掉落配置方案!$D4360</f>
        <v>0</v>
      </c>
    </row>
    <row r="5387" spans="1:4" ht="16.5" hidden="1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313">
        <f>参数调整!$K$36*怪物掉落配置方案!$D4361</f>
        <v>0</v>
      </c>
    </row>
    <row r="5388" spans="1:4" ht="16.5" hidden="1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313">
        <f>参数调整!$K$36*怪物掉落配置方案!$D4362</f>
        <v>0</v>
      </c>
    </row>
    <row r="5389" spans="1:4" ht="16.5" hidden="1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313">
        <f>参数调整!$K$36*怪物掉落配置方案!$D4363</f>
        <v>0</v>
      </c>
    </row>
    <row r="5390" spans="1:4" ht="16.5" hidden="1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313">
        <f>参数调整!$K$36*怪物掉落配置方案!$D4364</f>
        <v>0</v>
      </c>
    </row>
    <row r="5391" spans="1:4" ht="16.5" hidden="1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313">
        <f>参数调整!$K$36*怪物掉落配置方案!$D4365</f>
        <v>0</v>
      </c>
    </row>
    <row r="5392" spans="1:4" ht="16.5" hidden="1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313">
        <f>参数调整!$K$36*怪物掉落配置方案!$D4366</f>
        <v>0</v>
      </c>
    </row>
    <row r="5393" spans="1:4" ht="16.5" hidden="1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313">
        <f>参数调整!$K$36*怪物掉落配置方案!$D4367</f>
        <v>0</v>
      </c>
    </row>
    <row r="5394" spans="1:4" ht="16.5" hidden="1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313">
        <f>参数调整!$K$36*怪物掉落配置方案!$D4368</f>
        <v>0</v>
      </c>
    </row>
    <row r="5395" spans="1:4" ht="16.5" hidden="1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313">
        <f>参数调整!$K$36*怪物掉落配置方案!$D4369</f>
        <v>0</v>
      </c>
    </row>
    <row r="5396" spans="1:4" ht="16.5" hidden="1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313">
        <f>参数调整!$K$36*怪物掉落配置方案!$D4370</f>
        <v>0</v>
      </c>
    </row>
    <row r="5397" spans="1:4" ht="16.5" hidden="1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313">
        <f>参数调整!$K$36*怪物掉落配置方案!$D4371</f>
        <v>0</v>
      </c>
    </row>
    <row r="5398" spans="1:4" ht="16.5" hidden="1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313">
        <f>参数调整!$K$36*怪物掉落配置方案!$D4372</f>
        <v>0</v>
      </c>
    </row>
    <row r="5399" spans="1:4" ht="16.5" hidden="1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313">
        <f>参数调整!$K$36*怪物掉落配置方案!$D4373</f>
        <v>0</v>
      </c>
    </row>
    <row r="5400" spans="1:4" ht="16.5" hidden="1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313">
        <f>参数调整!$K$36*怪物掉落配置方案!$D4374</f>
        <v>0</v>
      </c>
    </row>
    <row r="5401" spans="1:4" ht="16.5" hidden="1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313">
        <f>参数调整!$K$36*怪物掉落配置方案!$D4375</f>
        <v>0</v>
      </c>
    </row>
    <row r="5402" spans="1:4" ht="16.5" hidden="1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313">
        <f>参数调整!$K$36*怪物掉落配置方案!$D4376</f>
        <v>0</v>
      </c>
    </row>
    <row r="5403" spans="1:4" ht="16.5" hidden="1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313">
        <f>参数调整!$K$36*怪物掉落配置方案!$D4377</f>
        <v>0</v>
      </c>
    </row>
    <row r="5404" spans="1:4" ht="16.5" hidden="1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313">
        <f>参数调整!$K$36*怪物掉落配置方案!$D4378</f>
        <v>0</v>
      </c>
    </row>
    <row r="5405" spans="1:4" ht="16.5" hidden="1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313">
        <f>参数调整!$K$36*怪物掉落配置方案!$D4379</f>
        <v>0</v>
      </c>
    </row>
    <row r="5406" spans="1:4" ht="16.5" hidden="1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313">
        <f>参数调整!$K$36*怪物掉落配置方案!$D4380</f>
        <v>0</v>
      </c>
    </row>
    <row r="5407" spans="1:4" ht="16.5" hidden="1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313">
        <f>参数调整!$K$36*怪物掉落配置方案!$D4381</f>
        <v>0</v>
      </c>
    </row>
    <row r="5408" spans="1:4" ht="16.5" hidden="1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313">
        <f>参数调整!$K$36*怪物掉落配置方案!$D4382</f>
        <v>0</v>
      </c>
    </row>
    <row r="5409" spans="1:4" ht="16.5" hidden="1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313">
        <f>参数调整!$K$36*怪物掉落配置方案!$D4383</f>
        <v>0</v>
      </c>
    </row>
    <row r="5410" spans="1:4" ht="16.5" hidden="1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313">
        <f>参数调整!$K$36*怪物掉落配置方案!$D4384</f>
        <v>0</v>
      </c>
    </row>
    <row r="5411" spans="1:4" ht="16.5" hidden="1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313">
        <f>参数调整!$K$36*怪物掉落配置方案!$D4385</f>
        <v>0</v>
      </c>
    </row>
    <row r="5412" spans="1:4" ht="16.5" hidden="1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313">
        <f>参数调整!$K$36*怪物掉落配置方案!$D4386</f>
        <v>0</v>
      </c>
    </row>
    <row r="5413" spans="1:4" ht="16.5" hidden="1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313">
        <f>参数调整!$K$36*怪物掉落配置方案!$D4387</f>
        <v>0</v>
      </c>
    </row>
    <row r="5414" spans="1:4" ht="16.5" hidden="1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313">
        <f>参数调整!$K$36*怪物掉落配置方案!$D4388</f>
        <v>0</v>
      </c>
    </row>
    <row r="5415" spans="1:4" ht="16.5" hidden="1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313">
        <f>参数调整!$K$36*怪物掉落配置方案!$D4389</f>
        <v>0</v>
      </c>
    </row>
    <row r="5416" spans="1:4" ht="16.5" hidden="1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313">
        <f>参数调整!$K$36*怪物掉落配置方案!$D4390</f>
        <v>0</v>
      </c>
    </row>
    <row r="5417" spans="1:4" ht="16.5" hidden="1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313">
        <f>参数调整!$K$36*怪物掉落配置方案!$D4391</f>
        <v>0</v>
      </c>
    </row>
    <row r="5418" spans="1:4" ht="16.5" hidden="1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313">
        <f>参数调整!$K$36*怪物掉落配置方案!$D4392</f>
        <v>0</v>
      </c>
    </row>
    <row r="5419" spans="1:4" ht="16.5" hidden="1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313">
        <f>参数调整!$K$36*怪物掉落配置方案!$D4393</f>
        <v>0</v>
      </c>
    </row>
    <row r="5420" spans="1:4" ht="16.5" hidden="1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313">
        <f>参数调整!$K$36*怪物掉落配置方案!$D4394</f>
        <v>0</v>
      </c>
    </row>
    <row r="5421" spans="1:4" ht="16.5" hidden="1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313">
        <f>参数调整!$K$36*怪物掉落配置方案!$D4395</f>
        <v>0</v>
      </c>
    </row>
    <row r="5422" spans="1:4" ht="16.5" hidden="1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313">
        <f>参数调整!$K$36*怪物掉落配置方案!$D4396</f>
        <v>0</v>
      </c>
    </row>
    <row r="5423" spans="1:4" ht="16.5" hidden="1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313">
        <f>参数调整!$K$36*怪物掉落配置方案!$D4397</f>
        <v>0</v>
      </c>
    </row>
    <row r="5424" spans="1:4" ht="16.5" hidden="1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313">
        <f>参数调整!$K$36*怪物掉落配置方案!$D4398</f>
        <v>0</v>
      </c>
    </row>
    <row r="5425" spans="1:4" ht="16.5" hidden="1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313">
        <f>参数调整!$K$36*怪物掉落配置方案!$D4399</f>
        <v>0</v>
      </c>
    </row>
    <row r="5426" spans="1:4" ht="16.5" hidden="1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313">
        <f>参数调整!$K$36*怪物掉落配置方案!$D4400</f>
        <v>0</v>
      </c>
    </row>
    <row r="5427" spans="1:4" ht="16.5" hidden="1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313">
        <f>参数调整!$K$36*怪物掉落配置方案!$D4401</f>
        <v>0</v>
      </c>
    </row>
    <row r="5428" spans="1:4" ht="16.5" hidden="1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313">
        <f>参数调整!$K$36*怪物掉落配置方案!$D4402</f>
        <v>0</v>
      </c>
    </row>
    <row r="5429" spans="1:4" ht="16.5" hidden="1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313">
        <f>参数调整!$K$36*怪物掉落配置方案!$D4403</f>
        <v>0</v>
      </c>
    </row>
    <row r="5430" spans="1:4" ht="16.5" hidden="1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313">
        <f>参数调整!$K$36*怪物掉落配置方案!$D4404</f>
        <v>0</v>
      </c>
    </row>
    <row r="5431" spans="1:4" ht="16.5" hidden="1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313">
        <f>参数调整!$K$36*怪物掉落配置方案!$D4405</f>
        <v>0</v>
      </c>
    </row>
    <row r="5432" spans="1:4" ht="16.5" hidden="1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313">
        <f>参数调整!$K$36*怪物掉落配置方案!$D4406</f>
        <v>0</v>
      </c>
    </row>
    <row r="5433" spans="1:4" ht="16.5" hidden="1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313">
        <f>参数调整!$K$36*怪物掉落配置方案!$D4407</f>
        <v>0</v>
      </c>
    </row>
    <row r="5434" spans="1:4" ht="16.5" hidden="1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313">
        <f>参数调整!$K$36*怪物掉落配置方案!$D4408</f>
        <v>0</v>
      </c>
    </row>
    <row r="5435" spans="1:4" ht="16.5" hidden="1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313">
        <f>参数调整!$K$36*怪物掉落配置方案!$D4409</f>
        <v>0</v>
      </c>
    </row>
    <row r="5436" spans="1:4" ht="16.5" hidden="1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313">
        <f>参数调整!$K$36*怪物掉落配置方案!$D4410</f>
        <v>0</v>
      </c>
    </row>
    <row r="5437" spans="1:4" ht="16.5" hidden="1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313">
        <f>参数调整!$K$36*怪物掉落配置方案!$D4411</f>
        <v>0</v>
      </c>
    </row>
    <row r="5438" spans="1:4" ht="16.5" hidden="1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313">
        <f>参数调整!$K$36*怪物掉落配置方案!$D4412</f>
        <v>0</v>
      </c>
    </row>
    <row r="5439" spans="1:4" ht="16.5" hidden="1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313">
        <f>参数调整!$K$36*怪物掉落配置方案!$D4413</f>
        <v>0</v>
      </c>
    </row>
    <row r="5440" spans="1:4" ht="16.5" hidden="1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313">
        <f>参数调整!$K$36*怪物掉落配置方案!$D4414</f>
        <v>0</v>
      </c>
    </row>
    <row r="5441" spans="1:4" ht="16.5" hidden="1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313">
        <f>参数调整!$K$36*怪物掉落配置方案!$D4415</f>
        <v>0</v>
      </c>
    </row>
    <row r="5442" spans="1:4" ht="16.5" hidden="1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313">
        <f>参数调整!$K$36*怪物掉落配置方案!$D4416</f>
        <v>0</v>
      </c>
    </row>
    <row r="5443" spans="1:4" ht="16.5" hidden="1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313">
        <f>参数调整!$K$36*怪物掉落配置方案!$D4417</f>
        <v>0</v>
      </c>
    </row>
    <row r="5444" spans="1:4" ht="16.5" hidden="1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313">
        <f>参数调整!$K$36*怪物掉落配置方案!$D4418</f>
        <v>0</v>
      </c>
    </row>
    <row r="5445" spans="1:4" ht="16.5" hidden="1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313">
        <f>参数调整!$K$36*怪物掉落配置方案!$D4419</f>
        <v>0</v>
      </c>
    </row>
    <row r="5446" spans="1:4" ht="16.5" hidden="1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313">
        <f>参数调整!$K$36*怪物掉落配置方案!$D4420</f>
        <v>0</v>
      </c>
    </row>
    <row r="5447" spans="1:4" ht="16.5" hidden="1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313">
        <f>参数调整!$K$36*怪物掉落配置方案!$D4421</f>
        <v>0</v>
      </c>
    </row>
    <row r="5448" spans="1:4" ht="16.5" hidden="1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313">
        <f>参数调整!$K$36*怪物掉落配置方案!$D4422</f>
        <v>0</v>
      </c>
    </row>
    <row r="5449" spans="1:4" ht="16.5" hidden="1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313">
        <f>参数调整!$K$36*怪物掉落配置方案!$D4423</f>
        <v>0</v>
      </c>
    </row>
    <row r="5450" spans="1:4" ht="16.5" hidden="1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313">
        <f>参数调整!$K$36*怪物掉落配置方案!$D4424</f>
        <v>0</v>
      </c>
    </row>
    <row r="5451" spans="1:4" ht="16.5" hidden="1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313">
        <f>参数调整!$K$36*怪物掉落配置方案!$D4425</f>
        <v>0</v>
      </c>
    </row>
    <row r="5452" spans="1:4" ht="16.5" hidden="1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313">
        <f>参数调整!$K$36*怪物掉落配置方案!$D4426</f>
        <v>0</v>
      </c>
    </row>
    <row r="5453" spans="1:4" ht="16.5" hidden="1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313">
        <f>参数调整!$K$36*怪物掉落配置方案!$D4427</f>
        <v>0</v>
      </c>
    </row>
    <row r="5454" spans="1:4" ht="16.5" hidden="1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313">
        <f>参数调整!$K$36*怪物掉落配置方案!$D4428</f>
        <v>0</v>
      </c>
    </row>
    <row r="5455" spans="1:4" ht="16.5" hidden="1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313">
        <f>参数调整!$K$36*怪物掉落配置方案!$D4429</f>
        <v>0</v>
      </c>
    </row>
    <row r="5456" spans="1:4" ht="16.5" hidden="1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313">
        <f>参数调整!$K$36*怪物掉落配置方案!$D4430</f>
        <v>0</v>
      </c>
    </row>
    <row r="5457" spans="1:4" ht="16.5" hidden="1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313">
        <f>参数调整!$K$36*怪物掉落配置方案!$D4431</f>
        <v>0</v>
      </c>
    </row>
    <row r="5458" spans="1:4" ht="16.5" hidden="1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313">
        <f>参数调整!$K$36*怪物掉落配置方案!$D4432</f>
        <v>0</v>
      </c>
    </row>
    <row r="5459" spans="1:4" ht="16.5" hidden="1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313">
        <f>参数调整!$K$36*怪物掉落配置方案!$D4433</f>
        <v>0</v>
      </c>
    </row>
    <row r="5460" spans="1:4" ht="16.5" hidden="1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313">
        <f>参数调整!$K$36*怪物掉落配置方案!$D4434</f>
        <v>0</v>
      </c>
    </row>
    <row r="5461" spans="1:4" ht="16.5" hidden="1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313">
        <f>参数调整!$K$36*怪物掉落配置方案!$D4435</f>
        <v>0</v>
      </c>
    </row>
    <row r="5462" spans="1:4" ht="16.5" hidden="1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313">
        <f>参数调整!$K$36*怪物掉落配置方案!$D4436</f>
        <v>0</v>
      </c>
    </row>
    <row r="5463" spans="1:4" ht="16.5" hidden="1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313">
        <f>参数调整!$K$36*怪物掉落配置方案!$D4437</f>
        <v>0</v>
      </c>
    </row>
    <row r="5464" spans="1:4" ht="16.5" hidden="1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313">
        <f>参数调整!$K$36*怪物掉落配置方案!$D4438</f>
        <v>0</v>
      </c>
    </row>
    <row r="5465" spans="1:4" ht="16.5" hidden="1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313">
        <f>参数调整!$K$36*怪物掉落配置方案!$D4439</f>
        <v>0</v>
      </c>
    </row>
    <row r="5466" spans="1:4" ht="16.5" hidden="1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313">
        <f>参数调整!$K$36*怪物掉落配置方案!$D4440</f>
        <v>0</v>
      </c>
    </row>
    <row r="5467" spans="1:4" ht="16.5" hidden="1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313">
        <f>参数调整!$K$36*怪物掉落配置方案!$D4441</f>
        <v>0</v>
      </c>
    </row>
    <row r="5468" spans="1:4" ht="16.5" hidden="1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313">
        <f>参数调整!$K$36*怪物掉落配置方案!$D4442</f>
        <v>0</v>
      </c>
    </row>
    <row r="5469" spans="1:4" ht="16.5" hidden="1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313">
        <f>参数调整!$K$36*怪物掉落配置方案!$D4443</f>
        <v>0</v>
      </c>
    </row>
    <row r="5470" spans="1:4" ht="16.5" hidden="1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313">
        <f>参数调整!$K$36*怪物掉落配置方案!$D4444</f>
        <v>0</v>
      </c>
    </row>
    <row r="5471" spans="1:4" ht="16.5" hidden="1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313">
        <f>参数调整!$K$36*怪物掉落配置方案!$D4445</f>
        <v>0</v>
      </c>
    </row>
    <row r="5472" spans="1:4" ht="16.5" hidden="1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313">
        <f>参数调整!$K$36*怪物掉落配置方案!$D4446</f>
        <v>0</v>
      </c>
    </row>
    <row r="5473" spans="1:4" ht="16.5" hidden="1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313">
        <f>参数调整!$K$36*怪物掉落配置方案!$D4447</f>
        <v>0</v>
      </c>
    </row>
    <row r="5474" spans="1:4" ht="16.5" hidden="1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313">
        <f>参数调整!$K$36*怪物掉落配置方案!$D4448</f>
        <v>0</v>
      </c>
    </row>
    <row r="5475" spans="1:4" ht="16.5" hidden="1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313">
        <f>参数调整!$K$36*怪物掉落配置方案!$D4449</f>
        <v>0</v>
      </c>
    </row>
    <row r="5476" spans="1:4" ht="16.5" hidden="1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313">
        <f>参数调整!$K$36*怪物掉落配置方案!$D4450</f>
        <v>0</v>
      </c>
    </row>
    <row r="5477" spans="1:4" ht="16.5" hidden="1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313">
        <f>参数调整!$K$36*怪物掉落配置方案!$D4451</f>
        <v>0</v>
      </c>
    </row>
    <row r="5478" spans="1:4" ht="16.5" hidden="1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313">
        <f>参数调整!$K$36*怪物掉落配置方案!$D4452</f>
        <v>0</v>
      </c>
    </row>
    <row r="5479" spans="1:4" ht="16.5" hidden="1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313">
        <f>参数调整!$K$36*怪物掉落配置方案!$D4453</f>
        <v>0</v>
      </c>
    </row>
    <row r="5480" spans="1:4" ht="16.5" hidden="1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313">
        <f>参数调整!$K$36*怪物掉落配置方案!$D4454</f>
        <v>0</v>
      </c>
    </row>
    <row r="5481" spans="1:4" ht="16.5" hidden="1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313">
        <f>参数调整!$K$36*怪物掉落配置方案!$D4455</f>
        <v>0</v>
      </c>
    </row>
    <row r="5482" spans="1:4" ht="16.5" hidden="1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313">
        <f>参数调整!$K$36*怪物掉落配置方案!$D4456</f>
        <v>0</v>
      </c>
    </row>
    <row r="5483" spans="1:4" ht="16.5" hidden="1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313">
        <f>参数调整!$K$36*怪物掉落配置方案!$D4457</f>
        <v>0</v>
      </c>
    </row>
    <row r="5484" spans="1:4" ht="16.5" hidden="1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313">
        <f>参数调整!$K$36*怪物掉落配置方案!$D4458</f>
        <v>0</v>
      </c>
    </row>
    <row r="5485" spans="1:4" ht="16.5" hidden="1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313">
        <f>参数调整!$K$36*怪物掉落配置方案!$D4459</f>
        <v>0</v>
      </c>
    </row>
    <row r="5486" spans="1:4" ht="16.5" hidden="1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313">
        <f>参数调整!$K$36*怪物掉落配置方案!$D4460</f>
        <v>0</v>
      </c>
    </row>
    <row r="5487" spans="1:4" ht="16.5" hidden="1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313">
        <f>参数调整!$K$36*怪物掉落配置方案!$D4461</f>
        <v>0</v>
      </c>
    </row>
    <row r="5488" spans="1:4" ht="16.5" hidden="1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313">
        <f>参数调整!$K$36*怪物掉落配置方案!$D4462</f>
        <v>0</v>
      </c>
    </row>
    <row r="5489" spans="1:4" ht="16.5" hidden="1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313">
        <f>参数调整!$K$36*怪物掉落配置方案!$D4463</f>
        <v>0</v>
      </c>
    </row>
    <row r="5490" spans="1:4" ht="16.5" hidden="1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313">
        <f>参数调整!$K$36*怪物掉落配置方案!$D4464</f>
        <v>0</v>
      </c>
    </row>
    <row r="5491" spans="1:4" ht="16.5" hidden="1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313">
        <f>参数调整!$K$36*怪物掉落配置方案!$D4465</f>
        <v>0</v>
      </c>
    </row>
    <row r="5492" spans="1:4" ht="16.5" hidden="1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313">
        <f>参数调整!$K$36*怪物掉落配置方案!$D4466</f>
        <v>0</v>
      </c>
    </row>
    <row r="5493" spans="1:4" ht="16.5" hidden="1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313">
        <f>参数调整!$K$36*怪物掉落配置方案!$D4467</f>
        <v>0</v>
      </c>
    </row>
    <row r="5494" spans="1:4" ht="16.5" hidden="1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313">
        <f>参数调整!$K$36*怪物掉落配置方案!$D4468</f>
        <v>0</v>
      </c>
    </row>
    <row r="5495" spans="1:4" ht="16.5" hidden="1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313">
        <f>参数调整!$K$36*怪物掉落配置方案!$D4469</f>
        <v>0</v>
      </c>
    </row>
    <row r="5496" spans="1:4" ht="16.5" hidden="1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313">
        <f>参数调整!$K$36*怪物掉落配置方案!$D4470</f>
        <v>0</v>
      </c>
    </row>
    <row r="5497" spans="1:4" ht="16.5" hidden="1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313">
        <f>参数调整!$K$36*怪物掉落配置方案!$D4471</f>
        <v>0</v>
      </c>
    </row>
    <row r="5498" spans="1:4" ht="16.5" hidden="1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313">
        <f>参数调整!$K$36*怪物掉落配置方案!$D4472</f>
        <v>0</v>
      </c>
    </row>
    <row r="5499" spans="1:4" ht="16.5" hidden="1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313">
        <f>参数调整!$K$36*怪物掉落配置方案!$D4473</f>
        <v>0</v>
      </c>
    </row>
    <row r="5500" spans="1:4" ht="16.5" hidden="1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313">
        <f>参数调整!$K$36*怪物掉落配置方案!$D4474</f>
        <v>0</v>
      </c>
    </row>
    <row r="5501" spans="1:4" ht="16.5" hidden="1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313">
        <f>参数调整!$K$36*怪物掉落配置方案!$D4475</f>
        <v>0</v>
      </c>
    </row>
    <row r="5502" spans="1:4" ht="16.5" hidden="1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313">
        <f>参数调整!$K$36*怪物掉落配置方案!$D4476</f>
        <v>0</v>
      </c>
    </row>
    <row r="5503" spans="1:4" ht="16.5" hidden="1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313">
        <f>参数调整!$K$36*怪物掉落配置方案!$D4477</f>
        <v>0</v>
      </c>
    </row>
    <row r="5504" spans="1:4" ht="16.5" hidden="1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313">
        <f>参数调整!$K$36*怪物掉落配置方案!$D4478</f>
        <v>0</v>
      </c>
    </row>
    <row r="5505" spans="1:4" ht="16.5" hidden="1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313">
        <f>参数调整!$K$36*怪物掉落配置方案!$D4479</f>
        <v>0</v>
      </c>
    </row>
    <row r="5506" spans="1:4" ht="16.5" hidden="1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313">
        <f>参数调整!$K$36*怪物掉落配置方案!$D4480</f>
        <v>0</v>
      </c>
    </row>
    <row r="5507" spans="1:4" ht="16.5" hidden="1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313">
        <f>参数调整!$K$36*怪物掉落配置方案!$D4481</f>
        <v>0</v>
      </c>
    </row>
    <row r="5508" spans="1:4" ht="16.5" hidden="1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313">
        <f>参数调整!$K$36*怪物掉落配置方案!$D4482</f>
        <v>0</v>
      </c>
    </row>
    <row r="5509" spans="1:4" ht="16.5" hidden="1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313">
        <f>参数调整!$K$36*怪物掉落配置方案!$D4483</f>
        <v>0</v>
      </c>
    </row>
    <row r="5510" spans="1:4" ht="16.5" hidden="1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313">
        <f>参数调整!$K$36*怪物掉落配置方案!$D4484</f>
        <v>0</v>
      </c>
    </row>
    <row r="5511" spans="1:4" ht="16.5" hidden="1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313">
        <f>参数调整!$K$36*怪物掉落配置方案!$D4485</f>
        <v>2.2700463611960769E-3</v>
      </c>
    </row>
    <row r="5512" spans="1:4" ht="16.5" hidden="1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313">
        <f>参数调整!$K$36*怪物掉落配置方案!$D4486</f>
        <v>2.873027425888785E-3</v>
      </c>
    </row>
    <row r="5513" spans="1:4" ht="16.5" hidden="1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313">
        <f>参数调整!$K$36*怪物掉落配置方案!$D4487</f>
        <v>3.5469474393688698E-3</v>
      </c>
    </row>
    <row r="5514" spans="1:4" ht="16.5" hidden="1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313">
        <f>参数调整!$K$36*怪物掉落配置方案!$D4488</f>
        <v>4.2918064016363331E-3</v>
      </c>
    </row>
    <row r="5515" spans="1:4" ht="16.5" hidden="1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313">
        <f>参数调整!$K$36*怪物掉落配置方案!$D4489</f>
        <v>5.1076043126911715E-3</v>
      </c>
    </row>
    <row r="5516" spans="1:4" ht="16.5" hidden="1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313">
        <f>参数调整!$K$36*怪物掉落配置方案!$D4490</f>
        <v>5.9943411725333906E-3</v>
      </c>
    </row>
    <row r="5517" spans="1:4" ht="16.5" hidden="1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313">
        <f>参数调整!$K$36*怪物掉落配置方案!$D4491</f>
        <v>6.9520169811629843E-3</v>
      </c>
    </row>
    <row r="5518" spans="1:4" ht="16.5" hidden="1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313">
        <f>参数调整!$K$36*怪物掉落配置方案!$D4492</f>
        <v>7.9806317385799578E-3</v>
      </c>
    </row>
    <row r="5519" spans="1:4" ht="16.5" hidden="1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313">
        <f>参数调整!$K$36*怪物掉落配置方案!$D4493</f>
        <v>9.0801854447843094E-3</v>
      </c>
    </row>
    <row r="5520" spans="1:4" ht="16.5" hidden="1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313">
        <f>参数调整!$K$36*怪物掉落配置方案!$D4494</f>
        <v>1.1492109703555142E-2</v>
      </c>
    </row>
    <row r="5521" spans="1:4" ht="16.5" hidden="1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313">
        <f>参数调整!$K$36*怪物掉落配置方案!$D4495</f>
        <v>1.4187789757475479E-2</v>
      </c>
    </row>
    <row r="5522" spans="1:4" ht="16.5" hidden="1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313">
        <f>参数调整!$K$36*怪物掉落配置方案!$D4496</f>
        <v>1.7167225606545333E-2</v>
      </c>
    </row>
    <row r="5523" spans="1:4" ht="16.5" hidden="1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313">
        <f>参数调整!$K$36*怪物掉落配置方案!$D4497</f>
        <v>2.2168421496055437E-2</v>
      </c>
    </row>
    <row r="5524" spans="1:4" ht="16.5" hidden="1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313">
        <f>参数调整!$K$36*怪物掉落配置方案!$D4498</f>
        <v>3.1922526954319824E-2</v>
      </c>
    </row>
    <row r="5525" spans="1:4" ht="16.5" hidden="1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313">
        <f>参数调整!$K$36*怪物掉落配置方案!$D4499</f>
        <v>4.345010613226865E-2</v>
      </c>
    </row>
    <row r="5526" spans="1:4" ht="16.5" hidden="1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313">
        <f>参数调整!$K$36*怪物掉落配置方案!$D4500</f>
        <v>4.8557710444959837E-2</v>
      </c>
    </row>
    <row r="5527" spans="1:4" ht="16.5" hidden="1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313">
        <f>参数调整!$K$36*怪物掉落配置方案!$D4501</f>
        <v>5.6751159029901917E-2</v>
      </c>
    </row>
    <row r="5528" spans="1:4" ht="16.5" hidden="1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313">
        <f>参数调整!$K$36*怪物掉落配置方案!$D4502</f>
        <v>6.5583058153930396E-2</v>
      </c>
    </row>
    <row r="5529" spans="1:4" ht="16.5" hidden="1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313">
        <f>参数调整!$K$36*怪物掉落配置方案!$D4503</f>
        <v>7.5053407817045281E-2</v>
      </c>
    </row>
    <row r="5530" spans="1:4" ht="16.5" hidden="1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313">
        <f>参数调整!$K$36*怪物掉落配置方案!$D4504</f>
        <v>8.5162208019246594E-2</v>
      </c>
    </row>
    <row r="5531" spans="1:4" ht="16.5" hidden="1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313">
        <f>参数调整!$K$36*怪物掉落配置方案!$D4505</f>
        <v>9.5909458760534236E-2</v>
      </c>
    </row>
    <row r="5532" spans="1:4" ht="16.5" hidden="1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313">
        <f>参数调整!$K$36*怪物掉落配置方案!$D4506</f>
        <v>0.10729516004090832</v>
      </c>
    </row>
    <row r="5533" spans="1:4" ht="16.5" hidden="1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313">
        <f>参数调整!$K$36*怪物掉落配置方案!$D4507</f>
        <v>0.11931931186036879</v>
      </c>
    </row>
    <row r="5534" spans="1:4" ht="16.5" hidden="1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313">
        <f>参数调整!$K$36*怪物掉落配置方案!$D4508</f>
        <v>0.13198191421891561</v>
      </c>
    </row>
    <row r="5535" spans="1:4" ht="16.5" hidden="1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313">
        <f>参数调整!$K$36*怪物掉落配置方案!$D4509</f>
        <v>0.14528296711654895</v>
      </c>
    </row>
    <row r="5536" spans="1:4" ht="16.5" hidden="1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313">
        <f>参数调整!$K$36*怪物掉落配置方案!$D4510</f>
        <v>0.15922247055326857</v>
      </c>
    </row>
    <row r="5537" spans="1:4" ht="16.5" hidden="1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313">
        <f>参数调整!$K$36*怪物掉落配置方案!$D4511</f>
        <v>0.17380042452907465</v>
      </c>
    </row>
    <row r="5538" spans="1:4" ht="16.5" hidden="1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313">
        <f>参数调整!$K$36*怪物掉落配置方案!$D4512</f>
        <v>5.9121072885159561E-4</v>
      </c>
    </row>
    <row r="5539" spans="1:4" ht="16.5" hidden="1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313">
        <f>参数调整!$K$36*怪物掉落配置方案!$D4513</f>
        <v>7.4825107870280059E-4</v>
      </c>
    </row>
    <row r="5540" spans="1:4" ht="16.5" hidden="1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313">
        <f>参数调整!$K$36*怪物掉落配置方案!$D4514</f>
        <v>9.2376676383061792E-4</v>
      </c>
    </row>
    <row r="5541" spans="1:4" ht="16.5" hidden="1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313">
        <f>参数调整!$K$36*怪物掉落配置方案!$D4515</f>
        <v>1.1177577842350478E-3</v>
      </c>
    </row>
    <row r="5542" spans="1:4" ht="16.5" hidden="1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313">
        <f>参数调整!$K$36*怪物掉落配置方案!$D4516</f>
        <v>1.3302241399160896E-3</v>
      </c>
    </row>
    <row r="5543" spans="1:4" ht="16.5" hidden="1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313">
        <f>参数调整!$K$36*怪物掉落配置方案!$D4517</f>
        <v>1.5611658308737446E-3</v>
      </c>
    </row>
    <row r="5544" spans="1:4" ht="16.5" hidden="1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313">
        <f>参数调整!$K$36*怪物掉落配置方案!$D4518</f>
        <v>1.8105828571080107E-3</v>
      </c>
    </row>
    <row r="5545" spans="1:4" ht="16.5" hidden="1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313">
        <f>参数调整!$K$36*怪物掉落配置方案!$D4519</f>
        <v>2.0784752186188906E-3</v>
      </c>
    </row>
    <row r="5546" spans="1:4" ht="16.5" hidden="1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313">
        <f>参数调整!$K$36*怪物掉落配置方案!$D4520</f>
        <v>2.3648429154063825E-3</v>
      </c>
    </row>
    <row r="5547" spans="1:4" ht="16.5" hidden="1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313">
        <f>参数调整!$K$36*怪物掉落配置方案!$D4521</f>
        <v>2.9930043148112023E-3</v>
      </c>
    </row>
    <row r="5548" spans="1:4" ht="16.5" hidden="1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313">
        <f>参数调整!$K$36*怪物掉落配置方案!$D4522</f>
        <v>3.6950670553224712E-3</v>
      </c>
    </row>
    <row r="5549" spans="1:4" ht="16.5" hidden="1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313">
        <f>参数调整!$K$36*怪物掉落配置方案!$D4523</f>
        <v>4.4710311369401913E-3</v>
      </c>
    </row>
    <row r="5550" spans="1:4" ht="16.5" hidden="1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313">
        <f>参数调整!$K$36*怪物掉落配置方案!$D4524</f>
        <v>5.7735422739413613E-3</v>
      </c>
    </row>
    <row r="5551" spans="1:4" ht="16.5" hidden="1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313">
        <f>参数调整!$K$36*怪物掉落配置方案!$D4525</f>
        <v>8.3139008744755605E-3</v>
      </c>
    </row>
    <row r="5552" spans="1:4" ht="16.5" hidden="1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313">
        <f>参数调整!$K$36*怪物掉落配置方案!$D4526</f>
        <v>1.1316142856925069E-2</v>
      </c>
    </row>
    <row r="5553" spans="1:4" ht="16.5" hidden="1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313">
        <f>参数调整!$K$36*怪物掉落配置方案!$D4527</f>
        <v>1.2646366996841161E-2</v>
      </c>
    </row>
    <row r="5554" spans="1:4" ht="16.5" hidden="1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313">
        <f>参数调整!$K$36*怪物掉落配置方案!$D4528</f>
        <v>1.4780268221289885E-2</v>
      </c>
    </row>
    <row r="5555" spans="1:4" ht="16.5" hidden="1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313">
        <f>参数调整!$K$36*怪物掉落配置方案!$D4529</f>
        <v>1.7080447463228121E-2</v>
      </c>
    </row>
    <row r="5556" spans="1:4" ht="16.5" hidden="1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313">
        <f>参数调整!$K$36*怪物掉落配置方案!$D4530</f>
        <v>1.9546904722655873E-2</v>
      </c>
    </row>
    <row r="5557" spans="1:4" ht="16.5" hidden="1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313">
        <f>参数调整!$K$36*怪物掉落配置方案!$D4531</f>
        <v>2.2179639999573141E-2</v>
      </c>
    </row>
    <row r="5558" spans="1:4" ht="16.5" hidden="1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313">
        <f>参数调整!$K$36*怪物掉落配置方案!$D4532</f>
        <v>2.497865329397991E-2</v>
      </c>
    </row>
    <row r="5559" spans="1:4" ht="16.5" hidden="1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313">
        <f>参数调整!$K$36*怪物掉落配置方案!$D4533</f>
        <v>2.7943944605876195E-2</v>
      </c>
    </row>
    <row r="5560" spans="1:4" ht="16.5" hidden="1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313">
        <f>参数调整!$K$36*怪物掉落配置方案!$D4534</f>
        <v>3.1075513935261985E-2</v>
      </c>
    </row>
    <row r="5561" spans="1:4" ht="16.5" hidden="1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313">
        <f>参数调整!$K$36*怪物掉落配置方案!$D4535</f>
        <v>3.4373361282137284E-2</v>
      </c>
    </row>
    <row r="5562" spans="1:4" ht="16.5" hidden="1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313">
        <f>参数调整!$K$36*怪物掉落配置方案!$D4536</f>
        <v>3.7837486646502112E-2</v>
      </c>
    </row>
    <row r="5563" spans="1:4" ht="16.5" hidden="1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313">
        <f>参数调整!$K$36*怪物掉落配置方案!$D4537</f>
        <v>4.1467890028356443E-2</v>
      </c>
    </row>
    <row r="5564" spans="1:4" ht="16.5" hidden="1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313">
        <f>参数调整!$K$36*怪物掉落配置方案!$D4538</f>
        <v>4.5264571427700281E-2</v>
      </c>
    </row>
    <row r="5565" spans="1:4" ht="16.5" hidden="1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313">
        <f>参数调整!$K$36*怪物掉落配置方案!$D4539</f>
        <v>8.1231176692320292E-6</v>
      </c>
    </row>
    <row r="5566" spans="1:4" ht="16.5" hidden="1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313">
        <f>参数调整!$K$36*怪物掉落配置方案!$D4540</f>
        <v>1.0280820800121789E-5</v>
      </c>
    </row>
    <row r="5567" spans="1:4" ht="16.5" hidden="1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313">
        <f>参数调整!$K$36*怪物掉落配置方案!$D4541</f>
        <v>1.2692371358175044E-5</v>
      </c>
    </row>
    <row r="5568" spans="1:4" ht="16.5" hidden="1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313">
        <f>参数调整!$K$36*怪物掉落配置方案!$D4542</f>
        <v>1.5357769343391804E-5</v>
      </c>
    </row>
    <row r="5569" spans="1:4" ht="16.5" hidden="1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313">
        <f>参数调整!$K$36*怪物掉落配置方案!$D4543</f>
        <v>1.8277014755772062E-5</v>
      </c>
    </row>
    <row r="5570" spans="1:4" ht="16.5" hidden="1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313">
        <f>参数调整!$K$36*怪物掉落配置方案!$D4544</f>
        <v>2.1450107595315825E-5</v>
      </c>
    </row>
    <row r="5571" spans="1:4" ht="16.5" hidden="1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313">
        <f>参数调整!$K$36*怪物掉落配置方案!$D4545</f>
        <v>2.4877047862023084E-5</v>
      </c>
    </row>
    <row r="5572" spans="1:4" ht="16.5" hidden="1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313">
        <f>参数调整!$K$36*怪物掉落配置方案!$D4546</f>
        <v>2.8557835555893848E-5</v>
      </c>
    </row>
    <row r="5573" spans="1:4" ht="16.5" hidden="1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313">
        <f>参数调整!$K$36*怪物掉落配置方案!$D4547</f>
        <v>3.2492470676928124E-5</v>
      </c>
    </row>
    <row r="5574" spans="1:4" ht="16.5" hidden="1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313">
        <f>参数调整!$K$36*怪物掉落配置方案!$D4548</f>
        <v>4.1123283200487142E-5</v>
      </c>
    </row>
    <row r="5575" spans="1:4" ht="16.5" hidden="1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313">
        <f>参数调整!$K$36*怪物掉落配置方案!$D4549</f>
        <v>5.0769485432700169E-5</v>
      </c>
    </row>
    <row r="5576" spans="1:4" ht="16.5" hidden="1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313">
        <f>参数调整!$K$36*怪物掉落配置方案!$D4550</f>
        <v>6.1431077373567218E-5</v>
      </c>
    </row>
    <row r="5577" spans="1:4" ht="16.5" hidden="1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313">
        <f>参数调整!$K$36*怪物掉落配置方案!$D4551</f>
        <v>7.932732098859403E-5</v>
      </c>
    </row>
    <row r="5578" spans="1:4" ht="16.5" hidden="1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313">
        <f>参数调整!$K$36*怪物掉落配置方案!$D4552</f>
        <v>1.1423134222357536E-4</v>
      </c>
    </row>
    <row r="5579" spans="1:4" ht="16.5" hidden="1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313">
        <f>参数调整!$K$36*怪物掉落配置方案!$D4553</f>
        <v>1.5548154913764428E-4</v>
      </c>
    </row>
    <row r="5580" spans="1:4" ht="16.5" hidden="1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313">
        <f>参数调整!$K$36*怪物掉落配置方案!$D4554</f>
        <v>1.7375856389341638E-4</v>
      </c>
    </row>
    <row r="5581" spans="1:4" ht="16.5" hidden="1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313">
        <f>参数调整!$K$36*怪物掉落配置方案!$D4555</f>
        <v>2.0307794173080068E-4</v>
      </c>
    </row>
    <row r="5582" spans="1:4" ht="16.5" hidden="1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313">
        <f>参数调整!$K$36*怪物掉落配置方案!$D4556</f>
        <v>2.3468194641265651E-4</v>
      </c>
    </row>
    <row r="5583" spans="1:4" ht="16.5" hidden="1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313">
        <f>参数调整!$K$36*怪物掉落配置方案!$D4557</f>
        <v>2.6857057793898393E-4</v>
      </c>
    </row>
    <row r="5584" spans="1:4" ht="16.5" hidden="1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313">
        <f>参数调整!$K$36*怪物掉落配置方案!$D4558</f>
        <v>3.0474383630978288E-4</v>
      </c>
    </row>
    <row r="5585" spans="1:4" ht="16.5" hidden="1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313">
        <f>参数调整!$K$36*怪物掉落配置方案!$D4559</f>
        <v>3.432017215250532E-4</v>
      </c>
    </row>
    <row r="5586" spans="1:4" ht="16.5" hidden="1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313">
        <f>参数调整!$K$36*怪物掉落配置方案!$D4560</f>
        <v>3.8394423358479511E-4</v>
      </c>
    </row>
    <row r="5587" spans="1:4" ht="16.5" hidden="1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313">
        <f>参数调整!$K$36*怪物掉落配置方案!$D4561</f>
        <v>4.2697137248900839E-4</v>
      </c>
    </row>
    <row r="5588" spans="1:4" ht="16.5" hidden="1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313">
        <f>参数调整!$K$36*怪物掉落配置方案!$D4562</f>
        <v>4.7228313823769331E-4</v>
      </c>
    </row>
    <row r="5589" spans="1:4" ht="16.5" hidden="1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313">
        <f>参数调整!$K$36*怪物掉落配置方案!$D4563</f>
        <v>5.1987953083084987E-4</v>
      </c>
    </row>
    <row r="5590" spans="1:4" ht="16.5" hidden="1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313">
        <f>参数调整!$K$36*怪物掉落配置方案!$D4564</f>
        <v>5.697605502684777E-4</v>
      </c>
    </row>
    <row r="5591" spans="1:4" ht="16.5" hidden="1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313">
        <f>参数调整!$K$36*怪物掉落配置方案!$D4565</f>
        <v>6.2192619655057721E-4</v>
      </c>
    </row>
    <row r="5592" spans="1:4" ht="16.5" hidden="1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313">
        <f>参数调整!$K$36*怪物掉落配置方案!$D4566</f>
        <v>0</v>
      </c>
    </row>
    <row r="5593" spans="1:4" ht="16.5" hidden="1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313">
        <f>参数调整!$K$36*怪物掉落配置方案!$D4567</f>
        <v>0</v>
      </c>
    </row>
    <row r="5594" spans="1:4" ht="16.5" hidden="1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313">
        <f>参数调整!$K$36*怪物掉落配置方案!$D4568</f>
        <v>0</v>
      </c>
    </row>
    <row r="5595" spans="1:4" ht="16.5" hidden="1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313">
        <f>参数调整!$K$36*怪物掉落配置方案!$D4569</f>
        <v>0</v>
      </c>
    </row>
    <row r="5596" spans="1:4" ht="16.5" hidden="1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313">
        <f>参数调整!$K$36*怪物掉落配置方案!$D4570</f>
        <v>0</v>
      </c>
    </row>
    <row r="5597" spans="1:4" ht="16.5" hidden="1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313">
        <f>参数调整!$K$36*怪物掉落配置方案!$D4571</f>
        <v>0</v>
      </c>
    </row>
    <row r="5598" spans="1:4" ht="16.5" hidden="1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313">
        <f>参数调整!$K$36*怪物掉落配置方案!$D4572</f>
        <v>0</v>
      </c>
    </row>
    <row r="5599" spans="1:4" ht="16.5" hidden="1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313">
        <f>参数调整!$K$36*怪物掉落配置方案!$D4573</f>
        <v>0</v>
      </c>
    </row>
    <row r="5600" spans="1:4" ht="16.5" hidden="1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313">
        <f>参数调整!$K$36*怪物掉落配置方案!$D4574</f>
        <v>0</v>
      </c>
    </row>
    <row r="5601" spans="1:4" ht="16.5" hidden="1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313">
        <f>参数调整!$K$36*怪物掉落配置方案!$D4575</f>
        <v>0</v>
      </c>
    </row>
    <row r="5602" spans="1:4" ht="16.5" hidden="1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313">
        <f>参数调整!$K$36*怪物掉落配置方案!$D4576</f>
        <v>0</v>
      </c>
    </row>
    <row r="5603" spans="1:4" ht="16.5" hidden="1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313">
        <f>参数调整!$K$36*怪物掉落配置方案!$D4577</f>
        <v>0</v>
      </c>
    </row>
    <row r="5604" spans="1:4" ht="16.5" hidden="1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313">
        <f>参数调整!$K$36*怪物掉落配置方案!$D4578</f>
        <v>0</v>
      </c>
    </row>
    <row r="5605" spans="1:4" ht="16.5" hidden="1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313">
        <f>参数调整!$K$36*怪物掉落配置方案!$D4579</f>
        <v>0</v>
      </c>
    </row>
    <row r="5606" spans="1:4" ht="16.5" hidden="1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313">
        <f>参数调整!$K$36*怪物掉落配置方案!$D4580</f>
        <v>0</v>
      </c>
    </row>
    <row r="5607" spans="1:4" ht="16.5" hidden="1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313">
        <f>参数调整!$K$36*怪物掉落配置方案!$D4581</f>
        <v>0</v>
      </c>
    </row>
    <row r="5608" spans="1:4" ht="16.5" hidden="1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313">
        <f>参数调整!$K$36*怪物掉落配置方案!$D4582</f>
        <v>0</v>
      </c>
    </row>
    <row r="5609" spans="1:4" ht="16.5" hidden="1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313">
        <f>参数调整!$K$36*怪物掉落配置方案!$D4583</f>
        <v>0</v>
      </c>
    </row>
    <row r="5610" spans="1:4" ht="16.5" hidden="1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313">
        <f>参数调整!$K$36*怪物掉落配置方案!$D4584</f>
        <v>0</v>
      </c>
    </row>
    <row r="5611" spans="1:4" ht="16.5" hidden="1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313">
        <f>参数调整!$K$36*怪物掉落配置方案!$D4585</f>
        <v>0</v>
      </c>
    </row>
    <row r="5612" spans="1:4" ht="16.5" hidden="1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313">
        <f>参数调整!$K$36*怪物掉落配置方案!$D4586</f>
        <v>0</v>
      </c>
    </row>
    <row r="5613" spans="1:4" ht="16.5" hidden="1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313">
        <f>参数调整!$K$36*怪物掉落配置方案!$D4587</f>
        <v>0</v>
      </c>
    </row>
    <row r="5614" spans="1:4" ht="16.5" hidden="1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313">
        <f>参数调整!$K$36*怪物掉落配置方案!$D4588</f>
        <v>0</v>
      </c>
    </row>
    <row r="5615" spans="1:4" ht="16.5" hidden="1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313">
        <f>参数调整!$K$36*怪物掉落配置方案!$D4589</f>
        <v>0</v>
      </c>
    </row>
    <row r="5616" spans="1:4" ht="16.5" hidden="1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313">
        <f>参数调整!$K$36*怪物掉落配置方案!$D4590</f>
        <v>0</v>
      </c>
    </row>
    <row r="5617" spans="1:4" ht="16.5" hidden="1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313">
        <f>参数调整!$K$36*怪物掉落配置方案!$D4591</f>
        <v>0</v>
      </c>
    </row>
    <row r="5618" spans="1:4" ht="16.5" hidden="1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313">
        <f>参数调整!$K$36*怪物掉落配置方案!$D4592</f>
        <v>0</v>
      </c>
    </row>
    <row r="5619" spans="1:4" ht="16.5" hidden="1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313">
        <f>参数调整!$K$36*怪物掉落配置方案!$D4593</f>
        <v>4.0615588346160145E-5</v>
      </c>
    </row>
    <row r="5620" spans="1:4" ht="16.5" hidden="1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313">
        <f>参数调整!$K$36*怪物掉落配置方案!$D4594</f>
        <v>5.1404104000608938E-5</v>
      </c>
    </row>
    <row r="5621" spans="1:4" ht="16.5" hidden="1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313">
        <f>参数调整!$K$36*怪物掉落配置方案!$D4595</f>
        <v>6.3461856790875221E-5</v>
      </c>
    </row>
    <row r="5622" spans="1:4" ht="16.5" hidden="1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313">
        <f>参数调整!$K$36*怪物掉落配置方案!$D4596</f>
        <v>7.6788846716959022E-5</v>
      </c>
    </row>
    <row r="5623" spans="1:4" ht="16.5" hidden="1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313">
        <f>参数调整!$K$36*怪物掉落配置方案!$D4597</f>
        <v>9.1385073778860307E-5</v>
      </c>
    </row>
    <row r="5624" spans="1:4" ht="16.5" hidden="1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313">
        <f>参数调整!$K$36*怪物掉落配置方案!$D4598</f>
        <v>1.0725053797657913E-4</v>
      </c>
    </row>
    <row r="5625" spans="1:4" ht="16.5" hidden="1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313">
        <f>参数调整!$K$36*怪物掉落配置方案!$D4599</f>
        <v>1.2438523931011542E-4</v>
      </c>
    </row>
    <row r="5626" spans="1:4" ht="16.5" hidden="1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313">
        <f>参数调整!$K$36*怪物掉落配置方案!$D4600</f>
        <v>1.4278917777946925E-4</v>
      </c>
    </row>
    <row r="5627" spans="1:4" ht="16.5" hidden="1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313">
        <f>参数调整!$K$36*怪物掉落配置方案!$D4601</f>
        <v>1.6246235338464061E-4</v>
      </c>
    </row>
    <row r="5628" spans="1:4" ht="16.5" hidden="1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313">
        <f>参数调整!$K$36*怪物掉落配置方案!$D4602</f>
        <v>2.0561641600243572E-4</v>
      </c>
    </row>
    <row r="5629" spans="1:4" ht="16.5" hidden="1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313">
        <f>参数调整!$K$36*怪物掉落配置方案!$D4603</f>
        <v>2.5384742716350088E-4</v>
      </c>
    </row>
    <row r="5630" spans="1:4" ht="16.5" hidden="1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313">
        <f>参数调整!$K$36*怪物掉落配置方案!$D4604</f>
        <v>3.0715538686783609E-4</v>
      </c>
    </row>
    <row r="5631" spans="1:4" ht="16.5" hidden="1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313">
        <f>参数调整!$K$36*怪物掉落配置方案!$D4605</f>
        <v>3.9663660494297014E-4</v>
      </c>
    </row>
    <row r="5632" spans="1:4" ht="16.5" hidden="1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313">
        <f>参数调整!$K$36*怪物掉落配置方案!$D4606</f>
        <v>5.711567111178769E-4</v>
      </c>
    </row>
    <row r="5633" spans="1:4" ht="16.5" hidden="1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313">
        <f>参数调整!$K$36*怪物掉落配置方案!$D4607</f>
        <v>7.7740774568822138E-4</v>
      </c>
    </row>
    <row r="5634" spans="1:4" ht="16.5" hidden="1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313">
        <f>参数调整!$K$36*怪物掉落配置方案!$D4608</f>
        <v>8.6879281946708193E-4</v>
      </c>
    </row>
    <row r="5635" spans="1:4" ht="16.5" hidden="1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313">
        <f>参数调整!$K$36*怪物掉落配置方案!$D4609</f>
        <v>1.0153897086540035E-3</v>
      </c>
    </row>
    <row r="5636" spans="1:4" ht="16.5" hidden="1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313">
        <f>参数调整!$K$36*怪物掉落配置方案!$D4610</f>
        <v>1.1734097320632826E-3</v>
      </c>
    </row>
    <row r="5637" spans="1:4" ht="16.5" hidden="1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313">
        <f>参数调整!$K$36*怪物掉落配置方案!$D4611</f>
        <v>1.3428528896949196E-3</v>
      </c>
    </row>
    <row r="5638" spans="1:4" ht="16.5" hidden="1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313">
        <f>参数调整!$K$36*怪物掉落配置方案!$D4612</f>
        <v>1.5237191815489143E-3</v>
      </c>
    </row>
    <row r="5639" spans="1:4" ht="16.5" hidden="1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313">
        <f>参数调整!$K$36*怪物掉落配置方案!$D4613</f>
        <v>1.7160086076252661E-3</v>
      </c>
    </row>
    <row r="5640" spans="1:4" ht="16.5" hidden="1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313">
        <f>参数调整!$K$36*怪物掉落配置方案!$D4614</f>
        <v>1.9197211679239756E-3</v>
      </c>
    </row>
    <row r="5641" spans="1:4" ht="16.5" hidden="1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313">
        <f>参数调整!$K$36*怪物掉落配置方案!$D4615</f>
        <v>2.1348568624450421E-3</v>
      </c>
    </row>
    <row r="5642" spans="1:4" ht="16.5" hidden="1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313">
        <f>参数调整!$K$36*怪物掉落配置方案!$D4616</f>
        <v>2.3614156911884667E-3</v>
      </c>
    </row>
    <row r="5643" spans="1:4" ht="16.5" hidden="1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313">
        <f>参数调整!$K$36*怪物掉落配置方案!$D4617</f>
        <v>2.5993976541542497E-3</v>
      </c>
    </row>
    <row r="5644" spans="1:4" ht="16.5" hidden="1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313">
        <f>参数调整!$K$36*怪物掉落配置方案!$D4618</f>
        <v>2.848802751342389E-3</v>
      </c>
    </row>
    <row r="5645" spans="1:4" ht="16.5" hidden="1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313">
        <f>参数调整!$K$36*怪物掉落配置方案!$D4619</f>
        <v>3.109630982752886E-3</v>
      </c>
    </row>
    <row r="5646" spans="1:4" ht="16.5" hidden="1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313">
        <f>参数调整!$K$36*怪物掉落配置方案!$D4620</f>
        <v>6.500147048383989E-3</v>
      </c>
    </row>
    <row r="5647" spans="1:4" ht="16.5" hidden="1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313">
        <f>参数调整!$K$36*怪物掉落配置方案!$D4621</f>
        <v>8.2267486081109877E-3</v>
      </c>
    </row>
    <row r="5648" spans="1:4" ht="16.5" hidden="1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313">
        <f>参数调整!$K$36*怪物掉落配置方案!$D4622</f>
        <v>1.0156479763099984E-2</v>
      </c>
    </row>
    <row r="5649" spans="1:4" ht="16.5" hidden="1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313">
        <f>参数调整!$K$36*怪物掉落配置方案!$D4623</f>
        <v>1.2289340513350981E-2</v>
      </c>
    </row>
    <row r="5650" spans="1:4" ht="16.5" hidden="1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313">
        <f>参数调整!$K$36*怪物掉落配置方案!$D4624</f>
        <v>1.4625330858863972E-2</v>
      </c>
    </row>
    <row r="5651" spans="1:4" ht="16.5" hidden="1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313">
        <f>参数调整!$K$36*怪物掉落配置方案!$D4625</f>
        <v>1.7164450799638974E-2</v>
      </c>
    </row>
    <row r="5652" spans="1:4" ht="16.5" hidden="1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313">
        <f>参数调整!$K$36*怪物掉落配置方案!$D4626</f>
        <v>1.9906700335675966E-2</v>
      </c>
    </row>
    <row r="5653" spans="1:4" ht="16.5" hidden="1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313">
        <f>参数调整!$K$36*怪物掉落配置方案!$D4627</f>
        <v>2.2852079466974963E-2</v>
      </c>
    </row>
    <row r="5654" spans="1:4" ht="16.5" hidden="1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313">
        <f>参数调整!$K$36*怪物掉落配置方案!$D4628</f>
        <v>2.6000588193535963E-2</v>
      </c>
    </row>
    <row r="5655" spans="1:4" ht="16.5" hidden="1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313">
        <f>参数调整!$K$36*怪物掉落配置方案!$D4629</f>
        <v>3.2906994432443951E-2</v>
      </c>
    </row>
    <row r="5656" spans="1:4" ht="16.5" hidden="1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313">
        <f>参数调整!$K$36*怪物掉落配置方案!$D4630</f>
        <v>4.0625919052399921E-2</v>
      </c>
    </row>
    <row r="5657" spans="1:4" ht="16.5" hidden="1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313">
        <f>参数调整!$K$36*怪物掉落配置方案!$D4631</f>
        <v>4.9157362053403923E-2</v>
      </c>
    </row>
    <row r="5658" spans="1:4" ht="16.5" hidden="1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313">
        <f>参数调整!$K$36*怪物掉落配置方案!$D4632</f>
        <v>6.3477998519374884E-2</v>
      </c>
    </row>
    <row r="5659" spans="1:4" ht="16.5" hidden="1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313">
        <f>参数调整!$K$36*怪物掉落配置方案!$D4633</f>
        <v>9.1408317867899824E-2</v>
      </c>
    </row>
    <row r="5660" spans="1:4" ht="16.5" hidden="1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313">
        <f>参数调整!$K$36*怪物掉落配置方案!$D4634</f>
        <v>0.12441687709797478</v>
      </c>
    </row>
    <row r="5661" spans="1:4" ht="16.5" hidden="1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313">
        <f>参数调整!$K$36*怪物掉落配置方案!$D4635</f>
        <v>0.13904220795683878</v>
      </c>
    </row>
    <row r="5662" spans="1:4" ht="16.5" hidden="1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313">
        <f>参数调整!$K$36*怪物掉落配置方案!$D4636</f>
        <v>0.16250367620959968</v>
      </c>
    </row>
    <row r="5663" spans="1:4" ht="16.5" hidden="1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313">
        <f>参数调整!$K$36*怪物掉落配置方案!$D4637</f>
        <v>0.18779331081971865</v>
      </c>
    </row>
    <row r="5664" spans="1:4" ht="16.5" hidden="1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313">
        <f>参数调整!$K$36*怪物掉落配置方案!$D4638</f>
        <v>0.2149111117871956</v>
      </c>
    </row>
    <row r="5665" spans="1:4" ht="16.5" hidden="1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313">
        <f>参数调整!$K$36*怪物掉落配置方案!$D4639</f>
        <v>0.24385707911203061</v>
      </c>
    </row>
    <row r="5666" spans="1:4" ht="16.5" hidden="1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313">
        <f>参数调整!$K$36*怪物掉落配置方案!$D4640</f>
        <v>0.27463121279422353</v>
      </c>
    </row>
    <row r="5667" spans="1:4" ht="16.5" hidden="1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313">
        <f>参数调整!$K$36*怪物掉落配置方案!$D4641</f>
        <v>0.30723351283377448</v>
      </c>
    </row>
    <row r="5668" spans="1:4" ht="16.5" hidden="1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313">
        <f>参数调整!$K$36*怪物掉落配置方案!$D4642</f>
        <v>0.34166397923068342</v>
      </c>
    </row>
    <row r="5669" spans="1:4" ht="16.5" hidden="1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313">
        <f>参数调整!$K$36*怪物掉落配置方案!$D4643</f>
        <v>0.37792261198495031</v>
      </c>
    </row>
    <row r="5670" spans="1:4" ht="16.5" hidden="1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313">
        <f>参数调整!$K$36*怪物掉落配置方案!$D4644</f>
        <v>0.4160094110965753</v>
      </c>
    </row>
    <row r="5671" spans="1:4" ht="16.5" hidden="1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313">
        <f>参数调整!$K$36*怪物掉落配置方案!$D4645</f>
        <v>0.45592437656555818</v>
      </c>
    </row>
    <row r="5672" spans="1:4" ht="16.5" hidden="1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313">
        <f>参数调整!$K$36*怪物掉落配置方案!$D4646</f>
        <v>0.49766750839189922</v>
      </c>
    </row>
    <row r="5673" spans="1:4" ht="16.5" hidden="1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313">
        <f>参数调整!$K$36*怪物掉落配置方案!$D4647</f>
        <v>2.9243223609235299E-5</v>
      </c>
    </row>
    <row r="5674" spans="1:4" ht="16.5" hidden="1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313">
        <f>参数调整!$K$36*怪物掉落配置方案!$D4648</f>
        <v>3.7010954880438432E-5</v>
      </c>
    </row>
    <row r="5675" spans="1:4" ht="16.5" hidden="1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313">
        <f>参数调整!$K$36*怪物掉落配置方案!$D4649</f>
        <v>4.5692536889430153E-5</v>
      </c>
    </row>
    <row r="5676" spans="1:4" ht="16.5" hidden="1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313">
        <f>参数调整!$K$36*怪物掉落配置方案!$D4650</f>
        <v>5.528796963621049E-5</v>
      </c>
    </row>
    <row r="5677" spans="1:4" ht="16.5" hidden="1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313">
        <f>参数调整!$K$36*怪物掉落配置方案!$D4651</f>
        <v>6.5797253120779403E-5</v>
      </c>
    </row>
    <row r="5678" spans="1:4" ht="16.5" hidden="1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313">
        <f>参数调整!$K$36*怪物掉落配置方案!$D4652</f>
        <v>7.7220387343136958E-5</v>
      </c>
    </row>
    <row r="5679" spans="1:4" ht="16.5" hidden="1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313">
        <f>参数调整!$K$36*怪物掉落配置方案!$D4653</f>
        <v>8.9557372303283089E-5</v>
      </c>
    </row>
    <row r="5680" spans="1:4" ht="16.5" hidden="1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313">
        <f>参数调整!$K$36*怪物掉落配置方案!$D4654</f>
        <v>1.0280820800121786E-4</v>
      </c>
    </row>
    <row r="5681" spans="1:4" ht="16.5" hidden="1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313">
        <f>参数调整!$K$36*怪物掉落配置方案!$D4655</f>
        <v>1.169728944369412E-4</v>
      </c>
    </row>
    <row r="5682" spans="1:4" ht="16.5" hidden="1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313">
        <f>参数调整!$K$36*怪物掉落配置方案!$D4656</f>
        <v>1.4804381952175373E-4</v>
      </c>
    </row>
    <row r="5683" spans="1:4" ht="16.5" hidden="1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313">
        <f>参数调整!$K$36*怪物掉落配置方案!$D4657</f>
        <v>1.8277014755772061E-4</v>
      </c>
    </row>
    <row r="5684" spans="1:4" ht="16.5" hidden="1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313">
        <f>参数调整!$K$36*怪物掉落配置方案!$D4658</f>
        <v>2.2115187854484196E-4</v>
      </c>
    </row>
    <row r="5685" spans="1:4" ht="16.5" hidden="1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313">
        <f>参数调整!$K$36*怪物掉落配置方案!$D4659</f>
        <v>2.8557835555893845E-4</v>
      </c>
    </row>
    <row r="5686" spans="1:4" ht="16.5" hidden="1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313">
        <f>参数调整!$K$36*怪物掉落配置方案!$D4660</f>
        <v>4.1123283200487134E-4</v>
      </c>
    </row>
    <row r="5687" spans="1:4" ht="16.5" hidden="1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313">
        <f>参数调整!$K$36*怪物掉落配置方案!$D4661</f>
        <v>5.5973357689551929E-4</v>
      </c>
    </row>
    <row r="5688" spans="1:4" ht="16.5" hidden="1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313">
        <f>参数调整!$K$36*怪物掉落配置方案!$D4662</f>
        <v>6.2553083001629887E-4</v>
      </c>
    </row>
    <row r="5689" spans="1:4" ht="16.5" hidden="1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313">
        <f>参数调整!$K$36*怪物掉落配置方案!$D4663</f>
        <v>7.3108059023088245E-4</v>
      </c>
    </row>
    <row r="5690" spans="1:4" ht="16.5" hidden="1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313">
        <f>参数调整!$K$36*怪物掉落配置方案!$D4664</f>
        <v>8.4485500708556341E-4</v>
      </c>
    </row>
    <row r="5691" spans="1:4" ht="16.5" hidden="1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313">
        <f>参数调整!$K$36*怪物掉落配置方案!$D4665</f>
        <v>9.6685408058034183E-4</v>
      </c>
    </row>
    <row r="5692" spans="1:4" ht="16.5" hidden="1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313">
        <f>参数调整!$K$36*怪物掉落配置方案!$D4666</f>
        <v>1.0970778107152182E-3</v>
      </c>
    </row>
    <row r="5693" spans="1:4" ht="16.5" hidden="1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313">
        <f>参数调整!$K$36*怪物掉落配置方案!$D4667</f>
        <v>1.2355261974901913E-3</v>
      </c>
    </row>
    <row r="5694" spans="1:4" ht="16.5" hidden="1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313">
        <f>参数调整!$K$36*怪物掉落配置方案!$D4668</f>
        <v>1.3821992409052625E-3</v>
      </c>
    </row>
    <row r="5695" spans="1:4" ht="16.5" hidden="1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313">
        <f>参数调整!$K$36*怪物掉落配置方案!$D4669</f>
        <v>1.5370969409604302E-3</v>
      </c>
    </row>
    <row r="5696" spans="1:4" ht="16.5" hidden="1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313">
        <f>参数调整!$K$36*怪物掉落配置方案!$D4670</f>
        <v>1.7002192976556954E-3</v>
      </c>
    </row>
    <row r="5697" spans="1:4" ht="16.5" hidden="1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313">
        <f>参数调整!$K$36*怪物掉落配置方案!$D4671</f>
        <v>1.8715663109910591E-3</v>
      </c>
    </row>
    <row r="5698" spans="1:4" ht="16.5" hidden="1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313">
        <f>参数调整!$K$36*怪物掉落配置方案!$D4672</f>
        <v>2.0511379809665196E-3</v>
      </c>
    </row>
    <row r="5699" spans="1:4" ht="16.5" hidden="1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313">
        <f>参数调整!$K$36*怪物掉落配置方案!$D4673</f>
        <v>2.2389343075820776E-3</v>
      </c>
    </row>
    <row r="5700" spans="1:4" ht="16.5" hidden="1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313">
        <f>参数调整!$K$36*怪物掉落配置方案!$D4674</f>
        <v>4.5400927223921539E-4</v>
      </c>
    </row>
    <row r="5701" spans="1:4" ht="16.5" hidden="1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313">
        <f>参数调整!$K$36*怪物掉落配置方案!$D4675</f>
        <v>5.7460548517775708E-4</v>
      </c>
    </row>
    <row r="5702" spans="1:4" ht="16.5" hidden="1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313">
        <f>参数调整!$K$36*怪物掉落配置方案!$D4676</f>
        <v>7.0938948787377398E-4</v>
      </c>
    </row>
    <row r="5703" spans="1:4" ht="16.5" hidden="1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313">
        <f>参数调整!$K$36*怪物掉落配置方案!$D4677</f>
        <v>8.5836128032726658E-4</v>
      </c>
    </row>
    <row r="5704" spans="1:4" ht="16.5" hidden="1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313">
        <f>参数调整!$K$36*怪物掉落配置方案!$D4678</f>
        <v>1.0215208625382343E-3</v>
      </c>
    </row>
    <row r="5705" spans="1:4" ht="16.5" hidden="1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313">
        <f>参数调整!$K$36*怪物掉落配置方案!$D4679</f>
        <v>1.1988682345066783E-3</v>
      </c>
    </row>
    <row r="5706" spans="1:4" ht="16.5" hidden="1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313">
        <f>参数调整!$K$36*怪物掉落配置方案!$D4680</f>
        <v>1.390403396232597E-3</v>
      </c>
    </row>
    <row r="5707" spans="1:4" ht="16.5" hidden="1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313">
        <f>参数调整!$K$36*怪物掉落配置方案!$D4681</f>
        <v>1.5961263477159916E-3</v>
      </c>
    </row>
    <row r="5708" spans="1:4" ht="16.5" hidden="1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313">
        <f>参数调整!$K$36*怪物掉落配置方案!$D4682</f>
        <v>1.8160370889568616E-3</v>
      </c>
    </row>
    <row r="5709" spans="1:4" ht="16.5" hidden="1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313">
        <f>参数调整!$K$36*怪物掉落配置方案!$D4683</f>
        <v>2.2984219407110279E-3</v>
      </c>
    </row>
    <row r="5710" spans="1:4" ht="16.5" hidden="1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313">
        <f>参数调整!$K$36*怪物掉落配置方案!$D4684</f>
        <v>2.8375579514950959E-3</v>
      </c>
    </row>
    <row r="5711" spans="1:4" ht="16.5" hidden="1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313">
        <f>参数调整!$K$36*怪物掉落配置方案!$D4685</f>
        <v>3.4334451213090663E-3</v>
      </c>
    </row>
    <row r="5712" spans="1:4" ht="16.5" hidden="1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313">
        <f>参数调整!$K$36*怪物掉落配置方案!$D4686</f>
        <v>4.4336842992110876E-3</v>
      </c>
    </row>
    <row r="5713" spans="1:4" ht="16.5" hidden="1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313">
        <f>参数调整!$K$36*怪物掉落配置方案!$D4687</f>
        <v>6.3845053908639648E-3</v>
      </c>
    </row>
    <row r="5714" spans="1:4" ht="16.5" hidden="1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313">
        <f>参数调整!$K$36*怪物掉落配置方案!$D4688</f>
        <v>8.6900212264537317E-3</v>
      </c>
    </row>
    <row r="5715" spans="1:4" ht="16.5" hidden="1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313">
        <f>参数调整!$K$36*怪物掉落配置方案!$D4689</f>
        <v>9.7115420889919667E-3</v>
      </c>
    </row>
    <row r="5716" spans="1:4" ht="16.5" hidden="1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313">
        <f>参数调整!$K$36*怪物掉落配置方案!$D4690</f>
        <v>1.1350231805980384E-2</v>
      </c>
    </row>
    <row r="5717" spans="1:4" ht="16.5" hidden="1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313">
        <f>参数调整!$K$36*怪物掉落配置方案!$D4691</f>
        <v>1.311661163078608E-2</v>
      </c>
    </row>
    <row r="5718" spans="1:4" ht="16.5" hidden="1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313">
        <f>参数调整!$K$36*怪物掉落配置方案!$D4692</f>
        <v>1.5010681563409055E-2</v>
      </c>
    </row>
    <row r="5719" spans="1:4" ht="16.5" hidden="1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313">
        <f>参数调整!$K$36*怪物掉落配置方案!$D4693</f>
        <v>1.7032441603849317E-2</v>
      </c>
    </row>
    <row r="5720" spans="1:4" ht="16.5" hidden="1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313">
        <f>参数调整!$K$36*怪物掉落配置方案!$D4694</f>
        <v>1.9181891752106845E-2</v>
      </c>
    </row>
    <row r="5721" spans="1:4" ht="16.5" hidden="1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313">
        <f>参数调整!$K$36*怪物掉落配置方案!$D4695</f>
        <v>2.1459032008181667E-2</v>
      </c>
    </row>
    <row r="5722" spans="1:4" ht="16.5" hidden="1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313">
        <f>参数调整!$K$36*怪物掉落配置方案!$D4696</f>
        <v>2.3863862372073753E-2</v>
      </c>
    </row>
    <row r="5723" spans="1:4" ht="16.5" hidden="1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313">
        <f>参数调整!$K$36*怪物掉落配置方案!$D4697</f>
        <v>2.6396382843783123E-2</v>
      </c>
    </row>
    <row r="5724" spans="1:4" ht="16.5" hidden="1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313">
        <f>参数调整!$K$36*怪物掉落配置方案!$D4698</f>
        <v>2.9056593423309785E-2</v>
      </c>
    </row>
    <row r="5725" spans="1:4" ht="16.5" hidden="1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313">
        <f>参数调整!$K$36*怪物掉落配置方案!$D4699</f>
        <v>3.1844494110653716E-2</v>
      </c>
    </row>
    <row r="5726" spans="1:4" ht="16.5" hidden="1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313">
        <f>参数调整!$K$36*怪物掉落配置方案!$D4700</f>
        <v>3.4760084905814927E-2</v>
      </c>
    </row>
    <row r="5727" spans="1:4" ht="16.5" hidden="1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313">
        <f>参数调整!$K$36*怪物掉落配置方案!$D4701</f>
        <v>2.5942556279562544E-3</v>
      </c>
    </row>
    <row r="5728" spans="1:4" ht="16.5" hidden="1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313">
        <f>参数调整!$K$36*怪物掉落配置方案!$D4702</f>
        <v>3.2833547791321347E-3</v>
      </c>
    </row>
    <row r="5729" spans="1:4" ht="16.5" hidden="1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313">
        <f>参数调整!$K$36*怪物掉落配置方案!$D4703</f>
        <v>4.0535244186816468E-3</v>
      </c>
    </row>
    <row r="5730" spans="1:4" ht="16.5" hidden="1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313">
        <f>参数调整!$K$36*怪物掉落配置方案!$D4704</f>
        <v>4.9047645466047934E-3</v>
      </c>
    </row>
    <row r="5731" spans="1:4" ht="16.5" hidden="1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313">
        <f>参数调整!$K$36*怪物掉落配置方案!$D4705</f>
        <v>5.8370751629015696E-3</v>
      </c>
    </row>
    <row r="5732" spans="1:4" ht="16.5" hidden="1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313">
        <f>参数调整!$K$36*怪物掉落配置方案!$D4706</f>
        <v>6.8504562675719841E-3</v>
      </c>
    </row>
    <row r="5733" spans="1:4" ht="16.5" hidden="1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313">
        <f>参数调整!$K$36*怪物掉落配置方案!$D4707</f>
        <v>7.9449078606160257E-3</v>
      </c>
    </row>
    <row r="5734" spans="1:4" ht="16.5" hidden="1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313">
        <f>参数调整!$K$36*怪物掉落配置方案!$D4708</f>
        <v>9.1204299420337039E-3</v>
      </c>
    </row>
    <row r="5735" spans="1:4" ht="16.5" hidden="1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313">
        <f>参数调整!$K$36*怪物掉落配置方案!$D4709</f>
        <v>1.0377022511825018E-2</v>
      </c>
    </row>
    <row r="5736" spans="1:4" ht="16.5" hidden="1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313">
        <f>参数调整!$K$36*怪物掉落配置方案!$D4710</f>
        <v>1.3133419116528537E-2</v>
      </c>
    </row>
    <row r="5737" spans="1:4" ht="16.5" hidden="1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313">
        <f>参数调整!$K$36*怪物掉落配置方案!$D4711</f>
        <v>1.6214097674726584E-2</v>
      </c>
    </row>
    <row r="5738" spans="1:4" ht="16.5" hidden="1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313">
        <f>参数调整!$K$36*怪物掉落配置方案!$D4712</f>
        <v>1.9619058186419173E-2</v>
      </c>
    </row>
    <row r="5739" spans="1:4" ht="16.5" hidden="1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313">
        <f>参数调整!$K$36*怪物掉落配置方案!$D4713</f>
        <v>2.5334527616760291E-2</v>
      </c>
    </row>
    <row r="5740" spans="1:4" ht="16.5" hidden="1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313">
        <f>参数调整!$K$36*怪物掉落配置方案!$D4714</f>
        <v>3.6481719768134815E-2</v>
      </c>
    </row>
    <row r="5741" spans="1:4" ht="16.5" hidden="1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313">
        <f>参数调整!$K$36*怪物掉落配置方案!$D4715</f>
        <v>4.9655674128850164E-2</v>
      </c>
    </row>
    <row r="5742" spans="1:4" ht="16.5" hidden="1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313">
        <f>参数调整!$K$36*怪物掉落配置方案!$D4716</f>
        <v>5.5492749291751749E-2</v>
      </c>
    </row>
    <row r="5743" spans="1:4" ht="16.5" hidden="1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313">
        <f>参数调整!$K$36*怪物掉落配置方案!$D4717</f>
        <v>6.4856390698906335E-2</v>
      </c>
    </row>
    <row r="5744" spans="1:4" ht="16.5" hidden="1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313">
        <f>参数调整!$K$36*怪物掉落配置方案!$D4718</f>
        <v>7.4949666501423637E-2</v>
      </c>
    </row>
    <row r="5745" spans="1:4" ht="16.5" hidden="1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313">
        <f>参数调整!$K$36*怪物掉落配置方案!$D4719</f>
        <v>8.5772576699303632E-2</v>
      </c>
    </row>
    <row r="5746" spans="1:4" ht="16.5" hidden="1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313">
        <f>参数调整!$K$36*怪物掉落配置方案!$D4720</f>
        <v>9.7325121292546349E-2</v>
      </c>
    </row>
    <row r="5747" spans="1:4" ht="16.5" hidden="1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313">
        <f>参数调整!$K$36*怪物掉落配置方案!$D4721</f>
        <v>0.10960730028115172</v>
      </c>
    </row>
    <row r="5748" spans="1:4" ht="16.5" hidden="1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313">
        <f>参数调整!$K$36*怪物掉落配置方案!$D4722</f>
        <v>0.12261911366511982</v>
      </c>
    </row>
    <row r="5749" spans="1:4" ht="16.5" hidden="1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313">
        <f>参数调整!$K$36*怪物掉落配置方案!$D4723</f>
        <v>0.13636056144445058</v>
      </c>
    </row>
    <row r="5750" spans="1:4" ht="16.5" hidden="1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313">
        <f>参数调整!$K$36*怪物掉落配置方案!$D4724</f>
        <v>0.15083164361914406</v>
      </c>
    </row>
    <row r="5751" spans="1:4" ht="16.5" hidden="1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313">
        <f>参数调整!$K$36*怪物掉落配置方案!$D4725</f>
        <v>0.16603236018920026</v>
      </c>
    </row>
    <row r="5752" spans="1:4" ht="16.5" hidden="1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313">
        <f>参数调整!$K$36*怪物掉落配置方案!$D4726</f>
        <v>0.18196271115461912</v>
      </c>
    </row>
    <row r="5753" spans="1:4" ht="16.5" hidden="1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313">
        <f>参数调整!$K$36*怪物掉落配置方案!$D4727</f>
        <v>0.19862269651540068</v>
      </c>
    </row>
    <row r="5754" spans="1:4" ht="16.5" hidden="1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313">
        <f>参数调整!$K$36*怪物掉落配置方案!$D4728</f>
        <v>3.2492470676928119E-6</v>
      </c>
    </row>
    <row r="5755" spans="1:4" ht="16.5" hidden="1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313">
        <f>参数调整!$K$36*怪物掉落配置方案!$D4729</f>
        <v>4.1123283200487152E-6</v>
      </c>
    </row>
    <row r="5756" spans="1:4" ht="16.5" hidden="1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313">
        <f>参数调整!$K$36*怪物掉落配置方案!$D4730</f>
        <v>5.0769485432700181E-6</v>
      </c>
    </row>
    <row r="5757" spans="1:4" ht="16.5" hidden="1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313">
        <f>参数调整!$K$36*怪物掉落配置方案!$D4731</f>
        <v>6.1431077373567221E-6</v>
      </c>
    </row>
    <row r="5758" spans="1:4" ht="16.5" hidden="1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313">
        <f>参数调整!$K$36*怪物掉落配置方案!$D4732</f>
        <v>7.3108059023088248E-6</v>
      </c>
    </row>
    <row r="5759" spans="1:4" ht="16.5" hidden="1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313">
        <f>参数调整!$K$36*怪物掉落配置方案!$D4733</f>
        <v>8.5800430381263321E-6</v>
      </c>
    </row>
    <row r="5760" spans="1:4" ht="16.5" hidden="1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313">
        <f>参数调整!$K$36*怪物掉落配置方案!$D4734</f>
        <v>9.9508191448092338E-6</v>
      </c>
    </row>
    <row r="5761" spans="1:4" ht="16.5" hidden="1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313">
        <f>参数调整!$K$36*怪物掉落配置方案!$D4735</f>
        <v>1.142313422235754E-5</v>
      </c>
    </row>
    <row r="5762" spans="1:4" ht="16.5" hidden="1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313">
        <f>参数调整!$K$36*怪物掉落配置方案!$D4736</f>
        <v>1.2996988270771247E-5</v>
      </c>
    </row>
    <row r="5763" spans="1:4" ht="16.5" hidden="1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313">
        <f>参数调整!$K$36*怪物掉落配置方案!$D4737</f>
        <v>1.6449313280194861E-5</v>
      </c>
    </row>
    <row r="5764" spans="1:4" ht="16.5" hidden="1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313">
        <f>参数调整!$K$36*怪物掉落配置方案!$D4738</f>
        <v>2.0307794173080072E-5</v>
      </c>
    </row>
    <row r="5765" spans="1:4" ht="16.5" hidden="1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313">
        <f>参数调整!$K$36*怪物掉落配置方案!$D4739</f>
        <v>2.4572430949426888E-5</v>
      </c>
    </row>
    <row r="5766" spans="1:4" ht="16.5" hidden="1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313">
        <f>参数调整!$K$36*怪物掉落配置方案!$D4740</f>
        <v>3.1730928395437611E-5</v>
      </c>
    </row>
    <row r="5767" spans="1:4" ht="16.5" hidden="1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313">
        <f>参数调整!$K$36*怪物掉落配置方案!$D4741</f>
        <v>4.5692536889430153E-5</v>
      </c>
    </row>
    <row r="5768" spans="1:4" ht="16.5" hidden="1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313">
        <f>参数调整!$K$36*怪物掉落配置方案!$D4742</f>
        <v>6.2192619655057697E-5</v>
      </c>
    </row>
    <row r="5769" spans="1:4" ht="16.5" hidden="1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313">
        <f>参数调整!$K$36*怪物掉落配置方案!$D4743</f>
        <v>6.9503425557366556E-5</v>
      </c>
    </row>
    <row r="5770" spans="1:4" ht="16.5" hidden="1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313">
        <f>参数调整!$K$36*怪物掉落配置方案!$D4744</f>
        <v>8.1231176692320289E-5</v>
      </c>
    </row>
    <row r="5771" spans="1:4" ht="16.5" hidden="1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313">
        <f>参数调整!$K$36*怪物掉落配置方案!$D4745</f>
        <v>9.3872778565062625E-5</v>
      </c>
    </row>
    <row r="5772" spans="1:4" ht="16.5" hidden="1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313">
        <f>参数调整!$K$36*怪物掉落配置方案!$D4746</f>
        <v>1.0742823117559356E-4</v>
      </c>
    </row>
    <row r="5773" spans="1:4" ht="16.5" hidden="1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313">
        <f>参数调整!$K$36*怪物掉落配置方案!$D4747</f>
        <v>1.2189753452391316E-4</v>
      </c>
    </row>
    <row r="5774" spans="1:4" ht="16.5" hidden="1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313">
        <f>参数调整!$K$36*怪物掉落配置方案!$D4748</f>
        <v>1.3728068861002129E-4</v>
      </c>
    </row>
    <row r="5775" spans="1:4" ht="16.5" hidden="1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313">
        <f>参数调整!$K$36*怪物掉落配置方案!$D4749</f>
        <v>1.5357769343391804E-4</v>
      </c>
    </row>
    <row r="5776" spans="1:4" ht="16.5" hidden="1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313">
        <f>参数调整!$K$36*怪物掉落配置方案!$D4750</f>
        <v>1.7078854899560338E-4</v>
      </c>
    </row>
    <row r="5777" spans="1:4" ht="16.5" hidden="1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313">
        <f>参数调整!$K$36*怪物掉落配置方案!$D4751</f>
        <v>1.8891325529507731E-4</v>
      </c>
    </row>
    <row r="5778" spans="1:4" ht="16.5" hidden="1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313">
        <f>参数调整!$K$36*怪物掉落配置方案!$D4752</f>
        <v>2.0795181233233996E-4</v>
      </c>
    </row>
    <row r="5779" spans="1:4" ht="16.5" hidden="1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313">
        <f>参数调整!$K$36*怪物掉落配置方案!$D4753</f>
        <v>2.2790422010739107E-4</v>
      </c>
    </row>
    <row r="5780" spans="1:4" ht="16.5" hidden="1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313">
        <f>参数调整!$K$36*怪物掉落配置方案!$D4754</f>
        <v>2.487704786202309E-4</v>
      </c>
    </row>
    <row r="5781" spans="1:4" ht="16.5" hidden="1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313">
        <f>参数调整!$K$36*怪物掉落配置方案!$D4755</f>
        <v>5.9121072885159561E-4</v>
      </c>
    </row>
    <row r="5782" spans="1:4" ht="16.5" hidden="1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313">
        <f>参数调整!$K$36*怪物掉落配置方案!$D4756</f>
        <v>7.4825107870280059E-4</v>
      </c>
    </row>
    <row r="5783" spans="1:4" ht="16.5" hidden="1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313">
        <f>参数调整!$K$36*怪物掉落配置方案!$D4757</f>
        <v>9.2376676383061792E-4</v>
      </c>
    </row>
    <row r="5784" spans="1:4" ht="16.5" hidden="1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313">
        <f>参数调整!$K$36*怪物掉落配置方案!$D4758</f>
        <v>1.1177577842350478E-3</v>
      </c>
    </row>
    <row r="5785" spans="1:4" ht="16.5" hidden="1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313">
        <f>参数调整!$K$36*怪物掉落配置方案!$D4759</f>
        <v>1.3302241399160896E-3</v>
      </c>
    </row>
    <row r="5786" spans="1:4" ht="16.5" hidden="1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313">
        <f>参数调整!$K$36*怪物掉落配置方案!$D4760</f>
        <v>1.5611658308737446E-3</v>
      </c>
    </row>
    <row r="5787" spans="1:4" ht="16.5" hidden="1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313">
        <f>参数调整!$K$36*怪物掉落配置方案!$D4761</f>
        <v>1.8105828571080107E-3</v>
      </c>
    </row>
    <row r="5788" spans="1:4" ht="16.5" hidden="1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313">
        <f>参数调整!$K$36*怪物掉落配置方案!$D4762</f>
        <v>2.0784752186188906E-3</v>
      </c>
    </row>
    <row r="5789" spans="1:4" ht="16.5" hidden="1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313">
        <f>参数调整!$K$36*怪物掉落配置方案!$D4763</f>
        <v>2.3648429154063825E-3</v>
      </c>
    </row>
    <row r="5790" spans="1:4" ht="16.5" hidden="1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313">
        <f>参数调整!$K$36*怪物掉落配置方案!$D4764</f>
        <v>2.9930043148112023E-3</v>
      </c>
    </row>
    <row r="5791" spans="1:4" ht="16.5" hidden="1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313">
        <f>参数调整!$K$36*怪物掉落配置方案!$D4765</f>
        <v>3.6950670553224712E-3</v>
      </c>
    </row>
    <row r="5792" spans="1:4" ht="16.5" hidden="1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313">
        <f>参数调整!$K$36*怪物掉落配置方案!$D4766</f>
        <v>4.4710311369401913E-3</v>
      </c>
    </row>
    <row r="5793" spans="1:4" ht="16.5" hidden="1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313">
        <f>参数调整!$K$36*怪物掉落配置方案!$D4767</f>
        <v>5.7735422739413613E-3</v>
      </c>
    </row>
    <row r="5794" spans="1:4" ht="16.5" hidden="1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313">
        <f>参数调整!$K$36*怪物掉落配置方案!$D4768</f>
        <v>8.3139008744755605E-3</v>
      </c>
    </row>
    <row r="5795" spans="1:4" ht="16.5" hidden="1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313">
        <f>参数调整!$K$36*怪物掉落配置方案!$D4769</f>
        <v>1.1316142856925069E-2</v>
      </c>
    </row>
    <row r="5796" spans="1:4" ht="16.5" hidden="1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313">
        <f>参数调整!$K$36*怪物掉落配置方案!$D4770</f>
        <v>1.2646366996841161E-2</v>
      </c>
    </row>
    <row r="5797" spans="1:4" ht="16.5" hidden="1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313">
        <f>参数调整!$K$36*怪物掉落配置方案!$D4771</f>
        <v>1.4780268221289885E-2</v>
      </c>
    </row>
    <row r="5798" spans="1:4" ht="16.5" hidden="1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313">
        <f>参数调整!$K$36*怪物掉落配置方案!$D4772</f>
        <v>1.7080447463228121E-2</v>
      </c>
    </row>
    <row r="5799" spans="1:4" ht="16.5" hidden="1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313">
        <f>参数调整!$K$36*怪物掉落配置方案!$D4773</f>
        <v>1.9546904722655873E-2</v>
      </c>
    </row>
    <row r="5800" spans="1:4" ht="16.5" hidden="1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313">
        <f>参数调整!$K$36*怪物掉落配置方案!$D4774</f>
        <v>2.2179639999573141E-2</v>
      </c>
    </row>
    <row r="5801" spans="1:4" ht="16.5" hidden="1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313">
        <f>参数调整!$K$36*怪物掉落配置方案!$D4775</f>
        <v>2.497865329397991E-2</v>
      </c>
    </row>
    <row r="5802" spans="1:4" ht="16.5" hidden="1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313">
        <f>参数调整!$K$36*怪物掉落配置方案!$D4776</f>
        <v>2.7943944605876195E-2</v>
      </c>
    </row>
    <row r="5803" spans="1:4" ht="16.5" hidden="1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313">
        <f>参数调整!$K$36*怪物掉落配置方案!$D4777</f>
        <v>3.1075513935261985E-2</v>
      </c>
    </row>
    <row r="5804" spans="1:4" ht="16.5" hidden="1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313">
        <f>参数调整!$K$36*怪物掉落配置方案!$D4778</f>
        <v>3.4373361282137284E-2</v>
      </c>
    </row>
    <row r="5805" spans="1:4" ht="16.5" hidden="1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313">
        <f>参数调整!$K$36*怪物掉落配置方案!$D4779</f>
        <v>3.7837486646502112E-2</v>
      </c>
    </row>
    <row r="5806" spans="1:4" ht="16.5" hidden="1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313">
        <f>参数调整!$K$36*怪物掉落配置方案!$D4780</f>
        <v>4.1467890028356443E-2</v>
      </c>
    </row>
    <row r="5807" spans="1:4" ht="16.5" hidden="1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313">
        <f>参数调整!$K$36*怪物掉落配置方案!$D4781</f>
        <v>4.5264571427700281E-2</v>
      </c>
    </row>
    <row r="5808" spans="1:4" ht="16.5" hidden="1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313">
        <f>参数调整!$K$36*怪物掉落配置方案!$D4782</f>
        <v>5.9121072885159561E-4</v>
      </c>
    </row>
    <row r="5809" spans="1:4" ht="16.5" hidden="1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313">
        <f>参数调整!$K$36*怪物掉落配置方案!$D4783</f>
        <v>7.4825107870280059E-4</v>
      </c>
    </row>
    <row r="5810" spans="1:4" ht="16.5" hidden="1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313">
        <f>参数调整!$K$36*怪物掉落配置方案!$D4784</f>
        <v>9.2376676383061792E-4</v>
      </c>
    </row>
    <row r="5811" spans="1:4" ht="16.5" hidden="1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313">
        <f>参数调整!$K$36*怪物掉落配置方案!$D4785</f>
        <v>1.1177577842350478E-3</v>
      </c>
    </row>
    <row r="5812" spans="1:4" ht="16.5" hidden="1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313">
        <f>参数调整!$K$36*怪物掉落配置方案!$D4786</f>
        <v>1.3302241399160896E-3</v>
      </c>
    </row>
    <row r="5813" spans="1:4" ht="16.5" hidden="1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313">
        <f>参数调整!$K$36*怪物掉落配置方案!$D4787</f>
        <v>1.5611658308737446E-3</v>
      </c>
    </row>
    <row r="5814" spans="1:4" ht="16.5" hidden="1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313">
        <f>参数调整!$K$36*怪物掉落配置方案!$D4788</f>
        <v>1.8105828571080107E-3</v>
      </c>
    </row>
    <row r="5815" spans="1:4" ht="16.5" hidden="1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313">
        <f>参数调整!$K$36*怪物掉落配置方案!$D4789</f>
        <v>2.0784752186188906E-3</v>
      </c>
    </row>
    <row r="5816" spans="1:4" ht="16.5" hidden="1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313">
        <f>参数调整!$K$36*怪物掉落配置方案!$D4790</f>
        <v>2.3648429154063825E-3</v>
      </c>
    </row>
    <row r="5817" spans="1:4" ht="16.5" hidden="1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313">
        <f>参数调整!$K$36*怪物掉落配置方案!$D4791</f>
        <v>2.9930043148112023E-3</v>
      </c>
    </row>
    <row r="5818" spans="1:4" ht="16.5" hidden="1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313">
        <f>参数调整!$K$36*怪物掉落配置方案!$D4792</f>
        <v>3.6950670553224712E-3</v>
      </c>
    </row>
    <row r="5819" spans="1:4" ht="16.5" hidden="1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313">
        <f>参数调整!$K$36*怪物掉落配置方案!$D4793</f>
        <v>4.4710311369401913E-3</v>
      </c>
    </row>
    <row r="5820" spans="1:4" ht="16.5" hidden="1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313">
        <f>参数调整!$K$36*怪物掉落配置方案!$D4794</f>
        <v>5.7735422739413613E-3</v>
      </c>
    </row>
    <row r="5821" spans="1:4" ht="16.5" hidden="1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313">
        <f>参数调整!$K$36*怪物掉落配置方案!$D4795</f>
        <v>8.3139008744755605E-3</v>
      </c>
    </row>
    <row r="5822" spans="1:4" ht="16.5" hidden="1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313">
        <f>参数调整!$K$36*怪物掉落配置方案!$D4796</f>
        <v>1.1316142856925069E-2</v>
      </c>
    </row>
    <row r="5823" spans="1:4" ht="16.5" hidden="1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313">
        <f>参数调整!$K$36*怪物掉落配置方案!$D4797</f>
        <v>1.2646366996841161E-2</v>
      </c>
    </row>
    <row r="5824" spans="1:4" ht="16.5" hidden="1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313">
        <f>参数调整!$K$36*怪物掉落配置方案!$D4798</f>
        <v>1.4780268221289885E-2</v>
      </c>
    </row>
    <row r="5825" spans="1:4" ht="16.5" hidden="1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313">
        <f>参数调整!$K$36*怪物掉落配置方案!$D4799</f>
        <v>1.7080447463228121E-2</v>
      </c>
    </row>
    <row r="5826" spans="1:4" ht="16.5" hidden="1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313">
        <f>参数调整!$K$36*怪物掉落配置方案!$D4800</f>
        <v>1.9546904722655873E-2</v>
      </c>
    </row>
    <row r="5827" spans="1:4" ht="16.5" hidden="1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313">
        <f>参数调整!$K$36*怪物掉落配置方案!$D4801</f>
        <v>2.2179639999573141E-2</v>
      </c>
    </row>
    <row r="5828" spans="1:4" ht="16.5" hidden="1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313">
        <f>参数调整!$K$36*怪物掉落配置方案!$D4802</f>
        <v>2.497865329397991E-2</v>
      </c>
    </row>
    <row r="5829" spans="1:4" ht="16.5" hidden="1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313">
        <f>参数调整!$K$36*怪物掉落配置方案!$D4803</f>
        <v>2.7943944605876195E-2</v>
      </c>
    </row>
    <row r="5830" spans="1:4" ht="16.5" hidden="1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313">
        <f>参数调整!$K$36*怪物掉落配置方案!$D4804</f>
        <v>3.1075513935261985E-2</v>
      </c>
    </row>
    <row r="5831" spans="1:4" ht="16.5" hidden="1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313">
        <f>参数调整!$K$36*怪物掉落配置方案!$D4805</f>
        <v>3.4373361282137284E-2</v>
      </c>
    </row>
    <row r="5832" spans="1:4" ht="16.5" hidden="1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313">
        <f>参数调整!$K$36*怪物掉落配置方案!$D4806</f>
        <v>3.7837486646502112E-2</v>
      </c>
    </row>
    <row r="5833" spans="1:4" ht="16.5" hidden="1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313">
        <f>参数调整!$K$36*怪物掉落配置方案!$D4807</f>
        <v>4.1467890028356443E-2</v>
      </c>
    </row>
    <row r="5834" spans="1:4" ht="16.5" hidden="1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313">
        <f>参数调整!$K$36*怪物掉落配置方案!$D4808</f>
        <v>4.5264571427700281E-2</v>
      </c>
    </row>
    <row r="5835" spans="1:4" ht="16.5" hidden="1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313">
        <f>参数调整!$K$36*怪物掉落配置方案!$D4809</f>
        <v>1.5155110691938707E-2</v>
      </c>
    </row>
    <row r="5836" spans="1:4" ht="16.5" hidden="1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313">
        <f>参数调整!$K$36*怪物掉落配置方案!$D4810</f>
        <v>1.9180686969484929E-2</v>
      </c>
    </row>
    <row r="5837" spans="1:4" ht="16.5" hidden="1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313">
        <f>参数调整!$K$36*怪物掉落配置方案!$D4811</f>
        <v>2.3679860456154229E-2</v>
      </c>
    </row>
    <row r="5838" spans="1:4" ht="16.5" hidden="1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313">
        <f>参数调整!$K$36*怪物掉落配置方案!$D4812</f>
        <v>2.865263115194662E-2</v>
      </c>
    </row>
    <row r="5839" spans="1:4" ht="16.5" hidden="1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313">
        <f>参数调整!$K$36*怪物掉落配置方案!$D4813</f>
        <v>3.4098999056862082E-2</v>
      </c>
    </row>
    <row r="5840" spans="1:4" ht="16.5" hidden="1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313">
        <f>参数调整!$K$36*怪物掉落配置方案!$D4814</f>
        <v>4.0018964170900645E-2</v>
      </c>
    </row>
    <row r="5841" spans="1:4" ht="16.5" hidden="1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313">
        <f>参数调整!$K$36*怪物掉落配置方案!$D4815</f>
        <v>4.641252649406228E-2</v>
      </c>
    </row>
    <row r="5842" spans="1:4" ht="16.5" hidden="1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313">
        <f>参数调整!$K$36*怪物掉落配置方案!$D4816</f>
        <v>5.3279686026347015E-2</v>
      </c>
    </row>
    <row r="5843" spans="1:4" ht="16.5" hidden="1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313">
        <f>参数调整!$K$36*怪物掉落配置方案!$D4817</f>
        <v>6.0620442767754835E-2</v>
      </c>
    </row>
    <row r="5844" spans="1:4" ht="16.5" hidden="1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313">
        <f>参数调整!$K$36*怪物掉落配置方案!$D4818</f>
        <v>7.6722747877939715E-2</v>
      </c>
    </row>
    <row r="5845" spans="1:4" ht="16.5" hidden="1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313">
        <f>参数调整!$K$36*怪物掉落配置方案!$D4819</f>
        <v>9.4719441824616904E-2</v>
      </c>
    </row>
    <row r="5846" spans="1:4" ht="16.5" hidden="1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313">
        <f>参数调整!$K$36*怪物掉落配置方案!$D4820</f>
        <v>0.11461052460778648</v>
      </c>
    </row>
    <row r="5847" spans="1:4" ht="16.5" hidden="1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313">
        <f>参数调整!$K$36*怪物掉落配置方案!$D4821</f>
        <v>0.14799912785096392</v>
      </c>
    </row>
    <row r="5848" spans="1:4" ht="16.5" hidden="1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313">
        <f>参数调整!$K$36*怪物掉落配置方案!$D4822</f>
        <v>0.213118744105388</v>
      </c>
    </row>
    <row r="5849" spans="1:4" ht="16.5" hidden="1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313">
        <f>参数调整!$K$36*怪物掉落配置方案!$D4823</f>
        <v>0.29007829058788925</v>
      </c>
    </row>
    <row r="5850" spans="1:4" ht="16.5" hidden="1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313">
        <f>参数调整!$K$36*怪物掉落配置方案!$D4824</f>
        <v>0.3241772896447514</v>
      </c>
    </row>
    <row r="5851" spans="1:4" ht="16.5" hidden="1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313">
        <f>参数调整!$K$36*怪物掉落配置方案!$D4825</f>
        <v>0.37887776729846762</v>
      </c>
    </row>
    <row r="5852" spans="1:4" ht="16.5" hidden="1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313">
        <f>参数调整!$K$36*怪物掉落配置方案!$D4826</f>
        <v>0.43784061983429157</v>
      </c>
    </row>
    <row r="5853" spans="1:4" ht="16.5" hidden="1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313">
        <f>参数调整!$K$36*怪物掉落配置方案!$D4827</f>
        <v>0.50106584725222336</v>
      </c>
    </row>
    <row r="5854" spans="1:4" ht="16.5" hidden="1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313">
        <f>参数调整!$K$36*怪物掉落配置方案!$D4828</f>
        <v>0.56855344955226306</v>
      </c>
    </row>
    <row r="5855" spans="1:4" ht="16.5" hidden="1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313">
        <f>参数调整!$K$36*怪物掉落配置方案!$D4829</f>
        <v>0.64030342673441032</v>
      </c>
    </row>
    <row r="5856" spans="1:4" ht="16.5" hidden="1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313">
        <f>参数调整!$K$36*怪物掉落配置方案!$D4830</f>
        <v>0.71631577879866559</v>
      </c>
    </row>
    <row r="5857" spans="1:4" ht="16.5" hidden="1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313">
        <f>参数调整!$K$36*怪物掉落配置方案!$D4831</f>
        <v>0.79659050574502821</v>
      </c>
    </row>
    <row r="5858" spans="1:4" ht="16.5" hidden="1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313">
        <f>参数调整!$K$36*怪物掉落配置方案!$D4832</f>
        <v>0.88112760757349873</v>
      </c>
    </row>
    <row r="5859" spans="1:4" ht="16.5" hidden="1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313">
        <f>参数调整!$K$36*怪物掉落配置方案!$D4833</f>
        <v>0.96992708428407726</v>
      </c>
    </row>
    <row r="5860" spans="1:4" ht="16.5" hidden="1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313">
        <f>参数调整!$K$36*怪物掉落配置方案!$D4834</f>
        <v>1.0629889358767635</v>
      </c>
    </row>
    <row r="5861" spans="1:4" ht="16.5" hidden="1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313">
        <f>参数调整!$K$36*怪物掉落配置方案!$D4835</f>
        <v>1.1603131623515572</v>
      </c>
    </row>
    <row r="5862" spans="1:4" ht="16.5" hidden="1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313">
        <f>参数调整!$K$36*怪物掉落配置方案!$D4836</f>
        <v>8.9354294361552317E-5</v>
      </c>
    </row>
    <row r="5863" spans="1:4" ht="16.5" hidden="1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313">
        <f>参数调整!$K$36*怪物掉落配置方案!$D4837</f>
        <v>1.1308902880133968E-4</v>
      </c>
    </row>
    <row r="5864" spans="1:4" ht="16.5" hidden="1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313">
        <f>参数调整!$K$36*怪物掉落配置方案!$D4838</f>
        <v>1.3961608493992549E-4</v>
      </c>
    </row>
    <row r="5865" spans="1:4" ht="16.5" hidden="1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313">
        <f>参数调整!$K$36*怪物掉落配置方案!$D4839</f>
        <v>1.6893546277730988E-4</v>
      </c>
    </row>
    <row r="5866" spans="1:4" ht="16.5" hidden="1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313">
        <f>参数调整!$K$36*怪物掉落配置方案!$D4840</f>
        <v>2.0104716231349263E-4</v>
      </c>
    </row>
    <row r="5867" spans="1:4" ht="16.5" hidden="1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313">
        <f>参数调整!$K$36*怪物掉落配置方案!$D4841</f>
        <v>2.3595118354847409E-4</v>
      </c>
    </row>
    <row r="5868" spans="1:4" ht="16.5" hidden="1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313">
        <f>参数调整!$K$36*怪物掉落配置方案!$D4842</f>
        <v>2.7364752648225392E-4</v>
      </c>
    </row>
    <row r="5869" spans="1:4" ht="16.5" hidden="1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313">
        <f>参数调整!$K$36*怪物掉落配置方案!$D4843</f>
        <v>3.1413619111483236E-4</v>
      </c>
    </row>
    <row r="5870" spans="1:4" ht="16.5" hidden="1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313">
        <f>参数调整!$K$36*怪物掉落配置方案!$D4844</f>
        <v>3.5741717744620927E-4</v>
      </c>
    </row>
    <row r="5871" spans="1:4" ht="16.5" hidden="1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313">
        <f>参数调整!$K$36*怪物掉落配置方案!$D4845</f>
        <v>4.523561152053586E-4</v>
      </c>
    </row>
    <row r="5872" spans="1:4" ht="16.5" hidden="1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313">
        <f>参数调整!$K$36*怪物掉落配置方案!$D4846</f>
        <v>5.5846433975970187E-4</v>
      </c>
    </row>
    <row r="5873" spans="1:4" ht="16.5" hidden="1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313">
        <f>参数调整!$K$36*怪物掉落配置方案!$D4847</f>
        <v>6.7574185110923929E-4</v>
      </c>
    </row>
    <row r="5874" spans="1:4" ht="16.5" hidden="1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313">
        <f>参数调整!$K$36*怪物掉落配置方案!$D4848</f>
        <v>8.7260053087453418E-4</v>
      </c>
    </row>
    <row r="5875" spans="1:4" ht="16.5" hidden="1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313">
        <f>参数调整!$K$36*怪物掉落配置方案!$D4849</f>
        <v>1.2565447644593292E-3</v>
      </c>
    </row>
    <row r="5876" spans="1:4" ht="16.5" hidden="1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313">
        <f>参数调整!$K$36*怪物掉落配置方案!$D4850</f>
        <v>1.7102970405140868E-3</v>
      </c>
    </row>
    <row r="5877" spans="1:4" ht="16.5" hidden="1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313">
        <f>参数调整!$K$36*怪物掉落配置方案!$D4851</f>
        <v>1.9113442028275802E-3</v>
      </c>
    </row>
    <row r="5878" spans="1:4" ht="16.5" hidden="1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313">
        <f>参数调整!$K$36*怪物掉落配置方案!$D4852</f>
        <v>2.2338573590388075E-3</v>
      </c>
    </row>
    <row r="5879" spans="1:4" ht="16.5" hidden="1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313">
        <f>参数调整!$K$36*怪物掉落配置方案!$D4853</f>
        <v>2.5815014105392219E-3</v>
      </c>
    </row>
    <row r="5880" spans="1:4" ht="16.5" hidden="1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313">
        <f>参数调整!$K$36*怪物掉落配置方案!$D4854</f>
        <v>2.9542763573288233E-3</v>
      </c>
    </row>
    <row r="5881" spans="1:4" ht="16.5" hidden="1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313">
        <f>参数调整!$K$36*怪物掉落配置方案!$D4855</f>
        <v>3.3521821994076115E-3</v>
      </c>
    </row>
    <row r="5882" spans="1:4" ht="16.5" hidden="1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313">
        <f>参数调整!$K$36*怪物掉落配置方案!$D4856</f>
        <v>3.7752189367755849E-3</v>
      </c>
    </row>
    <row r="5883" spans="1:4" ht="16.5" hidden="1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313">
        <f>参数调整!$K$36*怪物掉落配置方案!$D4857</f>
        <v>4.2233865694327457E-3</v>
      </c>
    </row>
    <row r="5884" spans="1:4" ht="16.5" hidden="1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313">
        <f>参数调整!$K$36*怪物掉落配置方案!$D4858</f>
        <v>4.6966850973790926E-3</v>
      </c>
    </row>
    <row r="5885" spans="1:4" ht="16.5" hidden="1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313">
        <f>参数调整!$K$36*怪物掉落配置方案!$D4859</f>
        <v>5.1951145206146259E-3</v>
      </c>
    </row>
    <row r="5886" spans="1:4" ht="16.5" hidden="1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313">
        <f>参数调整!$K$36*怪物掉落配置方案!$D4860</f>
        <v>5.7186748391393483E-3</v>
      </c>
    </row>
    <row r="5887" spans="1:4" ht="16.5" hidden="1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313">
        <f>参数调整!$K$36*怪物掉落配置方案!$D4861</f>
        <v>6.2673660529532545E-3</v>
      </c>
    </row>
    <row r="5888" spans="1:4" ht="16.5" hidden="1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313">
        <f>参数调整!$K$36*怪物掉落配置方案!$D4862</f>
        <v>6.841188162056349E-3</v>
      </c>
    </row>
    <row r="5889" spans="1:4" ht="16.5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313">
        <f>参数调整!$K$36*怪物掉落配置方案!$D4863</f>
        <v>1667</v>
      </c>
    </row>
    <row r="5890" spans="1:4" ht="16.5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313">
        <f>参数调整!$K$36*怪物掉落配置方案!$D4864</f>
        <v>2662</v>
      </c>
    </row>
    <row r="5891" spans="1:4" ht="16.5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313">
        <f>参数调整!$K$36*怪物掉落配置方案!$D4865</f>
        <v>4333</v>
      </c>
    </row>
    <row r="5892" spans="1:4" ht="16.5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313">
        <f>参数调整!$K$36*怪物掉落配置方案!$D4866</f>
        <v>5417</v>
      </c>
    </row>
    <row r="5893" spans="1:4" ht="16.5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313">
        <f>参数调整!$K$36*怪物掉落配置方案!$D4867</f>
        <v>5444</v>
      </c>
    </row>
    <row r="5894" spans="1:4" ht="16.5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313">
        <f>参数调整!$K$36*怪物掉落配置方案!$D4868</f>
        <v>5574</v>
      </c>
    </row>
    <row r="5895" spans="1:4" ht="16.5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313">
        <f>参数调整!$K$36*怪物掉落配置方案!$D4869</f>
        <v>6291</v>
      </c>
    </row>
    <row r="5896" spans="1:4" ht="16.5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313">
        <f>参数调整!$K$36*怪物掉落配置方案!$D4870</f>
        <v>10081</v>
      </c>
    </row>
    <row r="5897" spans="1:4" ht="16.5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313">
        <f>参数调整!$K$36*怪物掉落配置方案!$D4871</f>
        <v>17335</v>
      </c>
    </row>
    <row r="5898" spans="1:4" ht="16.5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313">
        <f>参数调整!$K$36*怪物掉落配置方案!$D4872</f>
        <v>20397</v>
      </c>
    </row>
    <row r="5899" spans="1:4" ht="16.5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313">
        <f>参数调整!$K$36*怪物掉落配置方案!$D4873</f>
        <v>31500</v>
      </c>
    </row>
    <row r="5900" spans="1:4" ht="16.5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313">
        <f>参数调整!$K$36*怪物掉落配置方案!$D4874</f>
        <v>32556</v>
      </c>
    </row>
    <row r="5901" spans="1:4" ht="16.5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313">
        <f>参数调整!$K$36*怪物掉落配置方案!$D4875</f>
        <v>129814</v>
      </c>
    </row>
    <row r="5902" spans="1:4" ht="16.5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313">
        <f>参数调整!$K$36*怪物掉落配置方案!$D4876</f>
        <v>444417</v>
      </c>
    </row>
    <row r="5903" spans="1:4" ht="16.5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313">
        <f>参数调整!$K$36*怪物掉落配置方案!$D4877</f>
        <v>5368389</v>
      </c>
    </row>
    <row r="5904" spans="1:4" ht="16.5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313">
        <f>参数调整!$K$36*怪物掉落配置方案!$D4878</f>
        <v>4881467</v>
      </c>
    </row>
    <row r="5905" spans="1:4" ht="16.5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313">
        <f>参数调整!$K$36*怪物掉落配置方案!$D4879</f>
        <v>5833333</v>
      </c>
    </row>
    <row r="5906" spans="1:4" ht="16.5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313">
        <f>参数调整!$K$36*怪物掉落配置方案!$D4880</f>
        <v>1166667</v>
      </c>
    </row>
    <row r="5907" spans="1:4" ht="16.5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313">
        <f>参数调整!$K$36*怪物掉落配置方案!$D4881</f>
        <v>1166667</v>
      </c>
    </row>
    <row r="5908" spans="1:4" ht="16.5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313">
        <f>参数调整!$K$36*怪物掉落配置方案!$D4882</f>
        <v>1166667</v>
      </c>
    </row>
    <row r="5909" spans="1:4" ht="16.5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313">
        <f>参数调整!$K$36*怪物掉落配置方案!$D4883</f>
        <v>1166667</v>
      </c>
    </row>
    <row r="5910" spans="1:4" ht="16.5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313">
        <f>参数调整!$K$36*怪物掉落配置方案!$D4884</f>
        <v>1166667</v>
      </c>
    </row>
    <row r="5911" spans="1:4" ht="16.5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313">
        <f>参数调整!$K$36*怪物掉落配置方案!$D4885</f>
        <v>583333</v>
      </c>
    </row>
    <row r="5912" spans="1:4" ht="16.5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313">
        <f>参数调整!$K$36*怪物掉落配置方案!$D4886</f>
        <v>583333</v>
      </c>
    </row>
    <row r="5913" spans="1:4" ht="16.5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313">
        <f>参数调整!$K$36*怪物掉落配置方案!$D4887</f>
        <v>583333</v>
      </c>
    </row>
    <row r="5914" spans="1:4" ht="16.5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313">
        <f>参数调整!$K$36*怪物掉落配置方案!$D4888</f>
        <v>583333</v>
      </c>
    </row>
    <row r="5915" spans="1:4" ht="16.5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313">
        <f>参数调整!$K$36*怪物掉落配置方案!$D4889</f>
        <v>583333</v>
      </c>
    </row>
    <row r="5916" spans="1:4" ht="16.5" hidden="1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313">
        <f>参数调整!$K$36*怪物掉落配置方案!$D4890</f>
        <v>5.188511255912508E-4</v>
      </c>
    </row>
    <row r="5917" spans="1:4" ht="16.5" hidden="1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313">
        <f>参数调整!$K$36*怪物掉落配置方案!$D4891</f>
        <v>6.5667095582642694E-4</v>
      </c>
    </row>
    <row r="5918" spans="1:4" ht="16.5" hidden="1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313">
        <f>参数调整!$K$36*怪物掉落配置方案!$D4892</f>
        <v>8.1070488373632932E-4</v>
      </c>
    </row>
    <row r="5919" spans="1:4" ht="16.5" hidden="1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313">
        <f>参数调整!$K$36*怪物掉落配置方案!$D4893</f>
        <v>9.8095290932095859E-4</v>
      </c>
    </row>
    <row r="5920" spans="1:4" ht="16.5" hidden="1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313">
        <f>参数调整!$K$36*怪物掉落配置方案!$D4894</f>
        <v>1.1674150325803141E-3</v>
      </c>
    </row>
    <row r="5921" spans="1:4" ht="16.5" hidden="1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313">
        <f>参数调整!$K$36*怪物掉落配置方案!$D4895</f>
        <v>1.3700912535143969E-3</v>
      </c>
    </row>
    <row r="5922" spans="1:4" ht="16.5" hidden="1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313">
        <f>参数调整!$K$36*怪物掉落配置方案!$D4896</f>
        <v>1.5889815721232053E-3</v>
      </c>
    </row>
    <row r="5923" spans="1:4" ht="16.5" hidden="1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313">
        <f>参数调整!$K$36*怪物掉落配置方案!$D4897</f>
        <v>1.824085988406741E-3</v>
      </c>
    </row>
    <row r="5924" spans="1:4" ht="16.5" hidden="1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313">
        <f>参数调整!$K$36*怪物掉落配置方案!$D4898</f>
        <v>2.0754045023650036E-3</v>
      </c>
    </row>
    <row r="5925" spans="1:4" ht="16.5" hidden="1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313">
        <f>参数调整!$K$36*怪物掉落配置方案!$D4899</f>
        <v>2.6266838233057073E-3</v>
      </c>
    </row>
    <row r="5926" spans="1:4" ht="16.5" hidden="1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313">
        <f>参数调整!$K$36*怪物掉落配置方案!$D4900</f>
        <v>3.2428195349453173E-3</v>
      </c>
    </row>
    <row r="5927" spans="1:4" ht="16.5" hidden="1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313">
        <f>参数调整!$K$36*怪物掉落配置方案!$D4901</f>
        <v>3.9238116372838343E-3</v>
      </c>
    </row>
    <row r="5928" spans="1:4" ht="16.5" hidden="1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313">
        <f>参数调整!$K$36*怪物掉落配置方案!$D4902</f>
        <v>5.0669055233520588E-3</v>
      </c>
    </row>
    <row r="5929" spans="1:4" ht="16.5" hidden="1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313">
        <f>参数调整!$K$36*怪物掉落配置方案!$D4903</f>
        <v>7.2963439536269624E-3</v>
      </c>
    </row>
    <row r="5930" spans="1:4" ht="16.5" hidden="1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313">
        <f>参数调整!$K$36*怪物掉落配置方案!$D4904</f>
        <v>9.9311348257700334E-3</v>
      </c>
    </row>
    <row r="5931" spans="1:4" ht="16.5" hidden="1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313">
        <f>参数调整!$K$36*怪物掉落配置方案!$D4905</f>
        <v>1.109854985835035E-2</v>
      </c>
    </row>
    <row r="5932" spans="1:4" ht="16.5" hidden="1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313">
        <f>参数调整!$K$36*怪物掉落配置方案!$D4906</f>
        <v>1.2971278139781269E-2</v>
      </c>
    </row>
    <row r="5933" spans="1:4" ht="16.5" hidden="1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313">
        <f>参数调整!$K$36*怪物掉落配置方案!$D4907</f>
        <v>1.4989933300284728E-2</v>
      </c>
    </row>
    <row r="5934" spans="1:4" ht="16.5" hidden="1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313">
        <f>参数调整!$K$36*怪物掉落配置方案!$D4908</f>
        <v>1.7154515339860728E-2</v>
      </c>
    </row>
    <row r="5935" spans="1:4" ht="16.5" hidden="1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313">
        <f>参数调整!$K$36*怪物掉落配置方案!$D4909</f>
        <v>1.9465024258509274E-2</v>
      </c>
    </row>
    <row r="5936" spans="1:4" ht="16.5" hidden="1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313">
        <f>参数调整!$K$36*怪物掉落配置方案!$D4910</f>
        <v>2.1921460056230344E-2</v>
      </c>
    </row>
    <row r="5937" spans="1:4" ht="16.5" hidden="1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313">
        <f>参数调整!$K$36*怪物掉落配置方案!$D4911</f>
        <v>2.4523822733023965E-2</v>
      </c>
    </row>
    <row r="5938" spans="1:4" ht="16.5" hidden="1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313">
        <f>参数调整!$K$36*怪物掉落配置方案!$D4912</f>
        <v>2.7272112288890118E-2</v>
      </c>
    </row>
    <row r="5939" spans="1:4" ht="16.5" hidden="1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313">
        <f>参数调整!$K$36*怪物掉落配置方案!$D4913</f>
        <v>3.0166328723828812E-2</v>
      </c>
    </row>
    <row r="5940" spans="1:4" ht="16.5" hidden="1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313">
        <f>参数调整!$K$36*怪物掉落配置方案!$D4914</f>
        <v>3.3206472037840051E-2</v>
      </c>
    </row>
    <row r="5941" spans="1:4" ht="16.5" hidden="1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313">
        <f>参数调整!$K$36*怪物掉落配置方案!$D4915</f>
        <v>3.6392542230923822E-2</v>
      </c>
    </row>
    <row r="5942" spans="1:4" ht="16.5" hidden="1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313">
        <f>参数调整!$K$36*怪物掉落配置方案!$D4916</f>
        <v>3.9724539303080141E-2</v>
      </c>
    </row>
    <row r="5943" spans="1:4" ht="16.5" hidden="1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313">
        <f>参数调整!$K$36*怪物掉落配置方案!$D4917</f>
        <v>0</v>
      </c>
    </row>
    <row r="5944" spans="1:4" ht="16.5" hidden="1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313">
        <f>参数调整!$K$36*怪物掉落配置方案!$D4918</f>
        <v>0</v>
      </c>
    </row>
    <row r="5945" spans="1:4" ht="16.5" hidden="1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313">
        <f>参数调整!$K$36*怪物掉落配置方案!$D4919</f>
        <v>0</v>
      </c>
    </row>
    <row r="5946" spans="1:4" ht="16.5" hidden="1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313">
        <f>参数调整!$K$36*怪物掉落配置方案!$D4920</f>
        <v>0</v>
      </c>
    </row>
    <row r="5947" spans="1:4" ht="16.5" hidden="1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313">
        <f>参数调整!$K$36*怪物掉落配置方案!$D4921</f>
        <v>0</v>
      </c>
    </row>
    <row r="5948" spans="1:4" ht="16.5" hidden="1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313">
        <f>参数调整!$K$36*怪物掉落配置方案!$D4922</f>
        <v>0</v>
      </c>
    </row>
    <row r="5949" spans="1:4" ht="16.5" hidden="1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313">
        <f>参数调整!$K$36*怪物掉落配置方案!$D4923</f>
        <v>0</v>
      </c>
    </row>
    <row r="5950" spans="1:4" ht="16.5" hidden="1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313">
        <f>参数调整!$K$36*怪物掉落配置方案!$D4924</f>
        <v>0</v>
      </c>
    </row>
    <row r="5951" spans="1:4" ht="16.5" hidden="1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313">
        <f>参数调整!$K$36*怪物掉落配置方案!$D4925</f>
        <v>0</v>
      </c>
    </row>
    <row r="5952" spans="1:4" ht="16.5" hidden="1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313">
        <f>参数调整!$K$36*怪物掉落配置方案!$D4926</f>
        <v>0</v>
      </c>
    </row>
    <row r="5953" spans="1:4" ht="16.5" hidden="1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313">
        <f>参数调整!$K$36*怪物掉落配置方案!$D4927</f>
        <v>0</v>
      </c>
    </row>
    <row r="5954" spans="1:4" ht="16.5" hidden="1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313">
        <f>参数调整!$K$36*怪物掉落配置方案!$D4928</f>
        <v>0</v>
      </c>
    </row>
    <row r="5955" spans="1:4" ht="16.5" hidden="1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313">
        <f>参数调整!$K$36*怪物掉落配置方案!$D4929</f>
        <v>0</v>
      </c>
    </row>
    <row r="5956" spans="1:4" ht="16.5" hidden="1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313">
        <f>参数调整!$K$36*怪物掉落配置方案!$D4930</f>
        <v>0</v>
      </c>
    </row>
    <row r="5957" spans="1:4" ht="16.5" hidden="1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313">
        <f>参数调整!$K$36*怪物掉落配置方案!$D4931</f>
        <v>0</v>
      </c>
    </row>
    <row r="5958" spans="1:4" ht="16.5" hidden="1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313">
        <f>参数调整!$K$36*怪物掉落配置方案!$D4932</f>
        <v>0</v>
      </c>
    </row>
    <row r="5959" spans="1:4" ht="16.5" hidden="1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313">
        <f>参数调整!$K$36*怪物掉落配置方案!$D4933</f>
        <v>0</v>
      </c>
    </row>
    <row r="5960" spans="1:4" ht="16.5" hidden="1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313">
        <f>参数调整!$K$36*怪物掉落配置方案!$D4934</f>
        <v>0</v>
      </c>
    </row>
    <row r="5961" spans="1:4" ht="16.5" hidden="1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313">
        <f>参数调整!$K$36*怪物掉落配置方案!$D4935</f>
        <v>0</v>
      </c>
    </row>
    <row r="5962" spans="1:4" ht="16.5" hidden="1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313">
        <f>参数调整!$K$36*怪物掉落配置方案!$D4936</f>
        <v>0</v>
      </c>
    </row>
    <row r="5963" spans="1:4" ht="16.5" hidden="1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313">
        <f>参数调整!$K$36*怪物掉落配置方案!$D4937</f>
        <v>0</v>
      </c>
    </row>
    <row r="5964" spans="1:4" ht="16.5" hidden="1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313">
        <f>参数调整!$K$36*怪物掉落配置方案!$D4938</f>
        <v>0</v>
      </c>
    </row>
    <row r="5965" spans="1:4" ht="16.5" hidden="1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313">
        <f>参数调整!$K$36*怪物掉落配置方案!$D4939</f>
        <v>0</v>
      </c>
    </row>
    <row r="5966" spans="1:4" ht="16.5" hidden="1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313">
        <f>参数调整!$K$36*怪物掉落配置方案!$D4940</f>
        <v>0</v>
      </c>
    </row>
    <row r="5967" spans="1:4" ht="16.5" hidden="1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313">
        <f>参数调整!$K$36*怪物掉落配置方案!$D4941</f>
        <v>0</v>
      </c>
    </row>
    <row r="5968" spans="1:4" ht="16.5" hidden="1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313">
        <f>参数调整!$K$36*怪物掉落配置方案!$D4942</f>
        <v>0</v>
      </c>
    </row>
    <row r="5969" spans="1:4" ht="16.5" hidden="1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313">
        <f>参数调整!$K$36*怪物掉落配置方案!$D4943</f>
        <v>0</v>
      </c>
    </row>
    <row r="5970" spans="1:4" ht="16.5" hidden="1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313">
        <f>参数调整!$K$36*怪物掉落配置方案!$D4944</f>
        <v>2.4616293974400713E-4</v>
      </c>
    </row>
    <row r="5971" spans="1:4" ht="16.5" hidden="1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313">
        <f>参数调整!$K$36*怪物掉落配置方案!$D4945</f>
        <v>3.115499706135091E-4</v>
      </c>
    </row>
    <row r="5972" spans="1:4" ht="16.5" hidden="1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313">
        <f>参数调整!$K$36*怪物掉落配置方案!$D4946</f>
        <v>3.846295933500111E-4</v>
      </c>
    </row>
    <row r="5973" spans="1:4" ht="16.5" hidden="1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313">
        <f>参数调整!$K$36*怪物掉落配置方案!$D4947</f>
        <v>4.654018079535135E-4</v>
      </c>
    </row>
    <row r="5974" spans="1:4" ht="16.5" hidden="1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313">
        <f>参数调整!$K$36*怪物掉落配置方案!$D4948</f>
        <v>5.5386661442401598E-4</v>
      </c>
    </row>
    <row r="5975" spans="1:4" ht="16.5" hidden="1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313">
        <f>参数调整!$K$36*怪物掉落配置方案!$D4949</f>
        <v>6.5002401276151886E-4</v>
      </c>
    </row>
    <row r="5976" spans="1:4" ht="16.5" hidden="1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313">
        <f>参数调整!$K$36*怪物掉落配置方案!$D4950</f>
        <v>7.5387400296602161E-4</v>
      </c>
    </row>
    <row r="5977" spans="1:4" ht="16.5" hidden="1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313">
        <f>参数调整!$K$36*怪物掉落配置方案!$D4951</f>
        <v>8.6541658503752497E-4</v>
      </c>
    </row>
    <row r="5978" spans="1:4" ht="16.5" hidden="1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313">
        <f>参数调整!$K$36*怪物掉落配置方案!$D4952</f>
        <v>9.8465175897602874E-4</v>
      </c>
    </row>
    <row r="5979" spans="1:4" ht="16.5" hidden="1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313">
        <f>参数调整!$K$36*怪物掉落配置方案!$D4953</f>
        <v>1.246199882454036E-3</v>
      </c>
    </row>
    <row r="5980" spans="1:4" ht="16.5" hidden="1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313">
        <f>参数调整!$K$36*怪物掉落配置方案!$D4954</f>
        <v>1.5385183734000444E-3</v>
      </c>
    </row>
    <row r="5981" spans="1:4" ht="16.5" hidden="1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313">
        <f>参数调整!$K$36*怪物掉落配置方案!$D4955</f>
        <v>1.861607231814054E-3</v>
      </c>
    </row>
    <row r="5982" spans="1:4" ht="16.5" hidden="1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313">
        <f>参数调整!$K$36*怪物掉落配置方案!$D4956</f>
        <v>2.4039349584375693E-3</v>
      </c>
    </row>
    <row r="5983" spans="1:4" ht="16.5" hidden="1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313">
        <f>参数调整!$K$36*怪物掉落配置方案!$D4957</f>
        <v>3.4616663401500995E-3</v>
      </c>
    </row>
    <row r="5984" spans="1:4" ht="16.5" hidden="1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313">
        <f>参数调整!$K$36*怪物掉落配置方案!$D4958</f>
        <v>4.7117125185376354E-3</v>
      </c>
    </row>
    <row r="5985" spans="1:4" ht="16.5" hidden="1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313">
        <f>参数调整!$K$36*怪物掉落配置方案!$D4959</f>
        <v>5.2655791329616524E-3</v>
      </c>
    </row>
    <row r="5986" spans="1:4" ht="16.5" hidden="1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313">
        <f>参数调整!$K$36*怪物掉落配置方案!$D4960</f>
        <v>6.1540734936001776E-3</v>
      </c>
    </row>
    <row r="5987" spans="1:4" ht="16.5" hidden="1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313">
        <f>参数调整!$K$36*怪物掉落配置方案!$D4961</f>
        <v>7.1118011810417043E-3</v>
      </c>
    </row>
    <row r="5988" spans="1:4" ht="16.5" hidden="1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313">
        <f>参数调整!$K$36*怪物掉落配置方案!$D4962</f>
        <v>8.1387621952862341E-3</v>
      </c>
    </row>
    <row r="5989" spans="1:4" ht="16.5" hidden="1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313">
        <f>参数调整!$K$36*怪物掉落配置方案!$D4963</f>
        <v>9.2349565363337681E-3</v>
      </c>
    </row>
    <row r="5990" spans="1:4" ht="16.5" hidden="1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313">
        <f>参数调整!$K$36*怪物掉落配置方案!$D4964</f>
        <v>1.0400384204184302E-2</v>
      </c>
    </row>
    <row r="5991" spans="1:4" ht="16.5" hidden="1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313">
        <f>参数调整!$K$36*怪物掉落配置方案!$D4965</f>
        <v>1.1635045198837837E-2</v>
      </c>
    </row>
    <row r="5992" spans="1:4" ht="16.5" hidden="1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313">
        <f>参数调整!$K$36*怪物掉落配置方案!$D4966</f>
        <v>1.2938939520294372E-2</v>
      </c>
    </row>
    <row r="5993" spans="1:4" ht="16.5" hidden="1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313">
        <f>参数调整!$K$36*怪物掉落配置方案!$D4967</f>
        <v>1.431206716855391E-2</v>
      </c>
    </row>
    <row r="5994" spans="1:4" ht="16.5" hidden="1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313">
        <f>参数调整!$K$36*怪物掉落配置方案!$D4968</f>
        <v>1.5754428143616456E-2</v>
      </c>
    </row>
    <row r="5995" spans="1:4" ht="16.5" hidden="1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313">
        <f>参数调整!$K$36*怪物掉落配置方案!$D4969</f>
        <v>1.7266022445482001E-2</v>
      </c>
    </row>
    <row r="5996" spans="1:4" ht="16.5" hidden="1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313">
        <f>参数调整!$K$36*怪物掉落配置方案!$D4970</f>
        <v>1.8846850074150545E-2</v>
      </c>
    </row>
    <row r="5997" spans="1:4" ht="16.5" hidden="1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313">
        <f>参数调整!$K$36*怪物掉落配置方案!$D4971</f>
        <v>6.500147048383989E-3</v>
      </c>
    </row>
    <row r="5998" spans="1:4" ht="16.5" hidden="1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313">
        <f>参数调整!$K$36*怪物掉落配置方案!$D4972</f>
        <v>8.2267486081109877E-3</v>
      </c>
    </row>
    <row r="5999" spans="1:4" ht="16.5" hidden="1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313">
        <f>参数调整!$K$36*怪物掉落配置方案!$D4973</f>
        <v>1.0156479763099984E-2</v>
      </c>
    </row>
    <row r="6000" spans="1:4" ht="16.5" hidden="1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313">
        <f>参数调整!$K$36*怪物掉落配置方案!$D4974</f>
        <v>1.2289340513350981E-2</v>
      </c>
    </row>
    <row r="6001" spans="1:4" ht="16.5" hidden="1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313">
        <f>参数调整!$K$36*怪物掉落配置方案!$D4975</f>
        <v>1.4625330858863972E-2</v>
      </c>
    </row>
    <row r="6002" spans="1:4" ht="16.5" hidden="1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313">
        <f>参数调整!$K$36*怪物掉落配置方案!$D4976</f>
        <v>1.7164450799638974E-2</v>
      </c>
    </row>
    <row r="6003" spans="1:4" ht="16.5" hidden="1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313">
        <f>参数调整!$K$36*怪物掉落配置方案!$D4977</f>
        <v>1.9906700335675966E-2</v>
      </c>
    </row>
    <row r="6004" spans="1:4" ht="16.5" hidden="1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313">
        <f>参数调整!$K$36*怪物掉落配置方案!$D4978</f>
        <v>2.2852079466974963E-2</v>
      </c>
    </row>
    <row r="6005" spans="1:4" ht="16.5" hidden="1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313">
        <f>参数调整!$K$36*怪物掉落配置方案!$D4979</f>
        <v>2.6000588193535963E-2</v>
      </c>
    </row>
    <row r="6006" spans="1:4" ht="16.5" hidden="1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313">
        <f>参数调整!$K$36*怪物掉落配置方案!$D4980</f>
        <v>3.2906994432443951E-2</v>
      </c>
    </row>
    <row r="6007" spans="1:4" ht="16.5" hidden="1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313">
        <f>参数调整!$K$36*怪物掉落配置方案!$D4981</f>
        <v>4.0625919052399921E-2</v>
      </c>
    </row>
    <row r="6008" spans="1:4" ht="16.5" hidden="1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313">
        <f>参数调整!$K$36*怪物掉落配置方案!$D4982</f>
        <v>4.9157362053403923E-2</v>
      </c>
    </row>
    <row r="6009" spans="1:4" ht="16.5" hidden="1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313">
        <f>参数调整!$K$36*怪物掉落配置方案!$D4983</f>
        <v>6.3477998519374884E-2</v>
      </c>
    </row>
    <row r="6010" spans="1:4" ht="16.5" hidden="1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313">
        <f>参数调整!$K$36*怪物掉落配置方案!$D4984</f>
        <v>9.1408317867899824E-2</v>
      </c>
    </row>
    <row r="6011" spans="1:4" ht="16.5" hidden="1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313">
        <f>参数调整!$K$36*怪物掉落配置方案!$D4985</f>
        <v>0.12441687709797478</v>
      </c>
    </row>
    <row r="6012" spans="1:4" ht="16.5" hidden="1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313">
        <f>参数调整!$K$36*怪物掉落配置方案!$D4986</f>
        <v>0.13904220795683878</v>
      </c>
    </row>
    <row r="6013" spans="1:4" ht="16.5" hidden="1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313">
        <f>参数调整!$K$36*怪物掉落配置方案!$D4987</f>
        <v>0.16250367620959968</v>
      </c>
    </row>
    <row r="6014" spans="1:4" ht="16.5" hidden="1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313">
        <f>参数调整!$K$36*怪物掉落配置方案!$D4988</f>
        <v>0.18779331081971865</v>
      </c>
    </row>
    <row r="6015" spans="1:4" ht="16.5" hidden="1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313">
        <f>参数调整!$K$36*怪物掉落配置方案!$D4989</f>
        <v>0.2149111117871956</v>
      </c>
    </row>
    <row r="6016" spans="1:4" ht="16.5" hidden="1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313">
        <f>参数调整!$K$36*怪物掉落配置方案!$D4990</f>
        <v>0.24385707911203061</v>
      </c>
    </row>
    <row r="6017" spans="1:4" ht="16.5" hidden="1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313">
        <f>参数调整!$K$36*怪物掉落配置方案!$D4991</f>
        <v>0.27463121279422353</v>
      </c>
    </row>
    <row r="6018" spans="1:4" ht="16.5" hidden="1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313">
        <f>参数调整!$K$36*怪物掉落配置方案!$D4992</f>
        <v>0.30723351283377448</v>
      </c>
    </row>
    <row r="6019" spans="1:4" ht="16.5" hidden="1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313">
        <f>参数调整!$K$36*怪物掉落配置方案!$D4993</f>
        <v>0.34166397923068342</v>
      </c>
    </row>
    <row r="6020" spans="1:4" ht="16.5" hidden="1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313">
        <f>参数调整!$K$36*怪物掉落配置方案!$D4994</f>
        <v>0.37792261198495031</v>
      </c>
    </row>
    <row r="6021" spans="1:4" ht="16.5" hidden="1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313">
        <f>参数调整!$K$36*怪物掉落配置方案!$D4995</f>
        <v>0.4160094110965753</v>
      </c>
    </row>
    <row r="6022" spans="1:4" ht="16.5" hidden="1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313">
        <f>参数调整!$K$36*怪物掉落配置方案!$D4996</f>
        <v>0.45592437656555818</v>
      </c>
    </row>
    <row r="6023" spans="1:4" ht="16.5" hidden="1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313">
        <f>参数调整!$K$36*怪物掉落配置方案!$D4997</f>
        <v>0.49766750839189922</v>
      </c>
    </row>
    <row r="6024" spans="1:4" ht="16.5" hidden="1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313">
        <f>参数调整!$K$36*怪物掉落配置方案!$D4998</f>
        <v>3.2492470676928119E-6</v>
      </c>
    </row>
    <row r="6025" spans="1:4" ht="16.5" hidden="1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313">
        <f>参数调整!$K$36*怪物掉落配置方案!$D4999</f>
        <v>4.1123283200487152E-6</v>
      </c>
    </row>
    <row r="6026" spans="1:4" ht="16.5" hidden="1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313">
        <f>参数调整!$K$36*怪物掉落配置方案!$D5000</f>
        <v>5.0769485432700181E-6</v>
      </c>
    </row>
    <row r="6027" spans="1:4" ht="16.5" hidden="1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313">
        <f>参数调整!$K$36*怪物掉落配置方案!$D5001</f>
        <v>6.1431077373567221E-6</v>
      </c>
    </row>
    <row r="6028" spans="1:4" ht="16.5" hidden="1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313">
        <f>参数调整!$K$36*怪物掉落配置方案!$D5002</f>
        <v>7.3108059023088248E-6</v>
      </c>
    </row>
    <row r="6029" spans="1:4" ht="16.5" hidden="1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313">
        <f>参数调整!$K$36*怪物掉落配置方案!$D5003</f>
        <v>8.5800430381263321E-6</v>
      </c>
    </row>
    <row r="6030" spans="1:4" ht="16.5" hidden="1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313">
        <f>参数调整!$K$36*怪物掉落配置方案!$D5004</f>
        <v>9.9508191448092338E-6</v>
      </c>
    </row>
    <row r="6031" spans="1:4" ht="16.5" hidden="1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313">
        <f>参数调整!$K$36*怪物掉落配置方案!$D5005</f>
        <v>1.142313422235754E-5</v>
      </c>
    </row>
    <row r="6032" spans="1:4" ht="16.5" hidden="1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313">
        <f>参数调整!$K$36*怪物掉落配置方案!$D5006</f>
        <v>1.2996988270771247E-5</v>
      </c>
    </row>
    <row r="6033" spans="1:4" ht="16.5" hidden="1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313">
        <f>参数调整!$K$36*怪物掉落配置方案!$D5007</f>
        <v>1.6449313280194861E-5</v>
      </c>
    </row>
    <row r="6034" spans="1:4" ht="16.5" hidden="1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313">
        <f>参数调整!$K$36*怪物掉落配置方案!$D5008</f>
        <v>2.0307794173080072E-5</v>
      </c>
    </row>
    <row r="6035" spans="1:4" ht="16.5" hidden="1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313">
        <f>参数调整!$K$36*怪物掉落配置方案!$D5009</f>
        <v>2.4572430949426888E-5</v>
      </c>
    </row>
    <row r="6036" spans="1:4" ht="16.5" hidden="1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313">
        <f>参数调整!$K$36*怪物掉落配置方案!$D5010</f>
        <v>3.1730928395437611E-5</v>
      </c>
    </row>
    <row r="6037" spans="1:4" ht="16.5" hidden="1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313">
        <f>参数调整!$K$36*怪物掉落配置方案!$D5011</f>
        <v>4.5692536889430153E-5</v>
      </c>
    </row>
    <row r="6038" spans="1:4" ht="16.5" hidden="1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313">
        <f>参数调整!$K$36*怪物掉落配置方案!$D5012</f>
        <v>6.2192619655057697E-5</v>
      </c>
    </row>
    <row r="6039" spans="1:4" ht="16.5" hidden="1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313">
        <f>参数调整!$K$36*怪物掉落配置方案!$D5013</f>
        <v>6.9503425557366556E-5</v>
      </c>
    </row>
    <row r="6040" spans="1:4" ht="16.5" hidden="1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313">
        <f>参数调整!$K$36*怪物掉落配置方案!$D5014</f>
        <v>8.1231176692320289E-5</v>
      </c>
    </row>
    <row r="6041" spans="1:4" ht="16.5" hidden="1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313">
        <f>参数调整!$K$36*怪物掉落配置方案!$D5015</f>
        <v>9.3872778565062625E-5</v>
      </c>
    </row>
    <row r="6042" spans="1:4" ht="16.5" hidden="1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313">
        <f>参数调整!$K$36*怪物掉落配置方案!$D5016</f>
        <v>1.0742823117559356E-4</v>
      </c>
    </row>
    <row r="6043" spans="1:4" ht="16.5" hidden="1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313">
        <f>参数调整!$K$36*怪物掉落配置方案!$D5017</f>
        <v>1.2189753452391316E-4</v>
      </c>
    </row>
    <row r="6044" spans="1:4" ht="16.5" hidden="1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313">
        <f>参数调整!$K$36*怪物掉落配置方案!$D5018</f>
        <v>1.3728068861002129E-4</v>
      </c>
    </row>
    <row r="6045" spans="1:4" ht="16.5" hidden="1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313">
        <f>参数调整!$K$36*怪物掉落配置方案!$D5019</f>
        <v>1.5357769343391804E-4</v>
      </c>
    </row>
    <row r="6046" spans="1:4" ht="16.5" hidden="1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313">
        <f>参数调整!$K$36*怪物掉落配置方案!$D5020</f>
        <v>1.7078854899560338E-4</v>
      </c>
    </row>
    <row r="6047" spans="1:4" ht="16.5" hidden="1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313">
        <f>参数调整!$K$36*怪物掉落配置方案!$D5021</f>
        <v>1.8891325529507731E-4</v>
      </c>
    </row>
    <row r="6048" spans="1:4" ht="16.5" hidden="1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313">
        <f>参数调整!$K$36*怪物掉落配置方案!$D5022</f>
        <v>2.0795181233233996E-4</v>
      </c>
    </row>
    <row r="6049" spans="1:4" ht="16.5" hidden="1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313">
        <f>参数调整!$K$36*怪物掉落配置方案!$D5023</f>
        <v>2.2790422010739107E-4</v>
      </c>
    </row>
    <row r="6050" spans="1:4" ht="16.5" hidden="1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313">
        <f>参数调整!$K$36*怪物掉落配置方案!$D5024</f>
        <v>2.487704786202309E-4</v>
      </c>
    </row>
    <row r="6051" spans="1:4" ht="16.5" hidden="1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313">
        <f>参数调整!$K$36*怪物掉落配置方案!$D5025</f>
        <v>8.9354294361552317E-4</v>
      </c>
    </row>
    <row r="6052" spans="1:4" ht="16.5" hidden="1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313">
        <f>参数调整!$K$36*怪物掉落配置方案!$D5026</f>
        <v>1.1308902880133966E-3</v>
      </c>
    </row>
    <row r="6053" spans="1:4" ht="16.5" hidden="1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313">
        <f>参数调整!$K$36*怪物掉落配置方案!$D5027</f>
        <v>1.3961608493992547E-3</v>
      </c>
    </row>
    <row r="6054" spans="1:4" ht="16.5" hidden="1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313">
        <f>参数调整!$K$36*怪物掉落配置方案!$D5028</f>
        <v>1.6893546277730984E-3</v>
      </c>
    </row>
    <row r="6055" spans="1:4" ht="16.5" hidden="1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313">
        <f>参数调整!$K$36*怪物掉落配置方案!$D5029</f>
        <v>2.0104716231349267E-3</v>
      </c>
    </row>
    <row r="6056" spans="1:4" ht="16.5" hidden="1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313">
        <f>参数调整!$K$36*怪物掉落配置方案!$D5030</f>
        <v>2.3595118354847408E-3</v>
      </c>
    </row>
    <row r="6057" spans="1:4" ht="16.5" hidden="1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313">
        <f>参数调整!$K$36*怪物掉落配置方案!$D5031</f>
        <v>2.7364752648225388E-3</v>
      </c>
    </row>
    <row r="6058" spans="1:4" ht="16.5" hidden="1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313">
        <f>参数调整!$K$36*怪物掉落配置方案!$D5032</f>
        <v>3.141361911148324E-3</v>
      </c>
    </row>
    <row r="6059" spans="1:4" ht="16.5" hidden="1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313">
        <f>参数调整!$K$36*怪物掉落配置方案!$D5033</f>
        <v>3.5741717744620927E-3</v>
      </c>
    </row>
    <row r="6060" spans="1:4" ht="16.5" hidden="1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313">
        <f>参数调整!$K$36*怪物掉落配置方案!$D5034</f>
        <v>4.5235611520535865E-3</v>
      </c>
    </row>
    <row r="6061" spans="1:4" ht="16.5" hidden="1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313">
        <f>参数调整!$K$36*怪物掉落配置方案!$D5035</f>
        <v>5.5846433975970189E-3</v>
      </c>
    </row>
    <row r="6062" spans="1:4" ht="16.5" hidden="1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313">
        <f>参数调整!$K$36*怪物掉落配置方案!$D5036</f>
        <v>6.7574185110923944E-3</v>
      </c>
    </row>
    <row r="6063" spans="1:4" ht="16.5" hidden="1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313">
        <f>参数调整!$K$36*怪物掉落配置方案!$D5037</f>
        <v>8.7260053087453437E-3</v>
      </c>
    </row>
    <row r="6064" spans="1:4" ht="16.5" hidden="1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313">
        <f>参数调整!$K$36*怪物掉落配置方案!$D5038</f>
        <v>1.2565447644593291E-2</v>
      </c>
    </row>
    <row r="6065" spans="1:4" ht="16.5" hidden="1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313">
        <f>参数调整!$K$36*怪物掉落配置方案!$D5039</f>
        <v>1.7102970405140871E-2</v>
      </c>
    </row>
    <row r="6066" spans="1:4" ht="16.5" hidden="1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313">
        <f>参数调整!$K$36*怪物掉落配置方案!$D5040</f>
        <v>1.91134420282758E-2</v>
      </c>
    </row>
    <row r="6067" spans="1:4" ht="16.5" hidden="1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313">
        <f>参数调整!$K$36*怪物掉落配置方案!$D5041</f>
        <v>2.2338573590388076E-2</v>
      </c>
    </row>
    <row r="6068" spans="1:4" ht="16.5" hidden="1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313">
        <f>参数调整!$K$36*怪物掉落配置方案!$D5042</f>
        <v>2.5815014105392216E-2</v>
      </c>
    </row>
    <row r="6069" spans="1:4" ht="16.5" hidden="1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313">
        <f>参数调整!$K$36*怪物掉落配置方案!$D5043</f>
        <v>2.9542763573288226E-2</v>
      </c>
    </row>
    <row r="6070" spans="1:4" ht="16.5" hidden="1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313">
        <f>参数调整!$K$36*怪物掉落配置方案!$D5044</f>
        <v>3.3521821994076106E-2</v>
      </c>
    </row>
    <row r="6071" spans="1:4" ht="16.5" hidden="1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313">
        <f>参数调整!$K$36*怪物掉落配置方案!$D5045</f>
        <v>3.7752189367755852E-2</v>
      </c>
    </row>
    <row r="6072" spans="1:4" ht="16.5" hidden="1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313">
        <f>参数调整!$K$36*怪物掉落配置方案!$D5046</f>
        <v>4.2233865694327459E-2</v>
      </c>
    </row>
    <row r="6073" spans="1:4" ht="16.5" hidden="1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313">
        <f>参数调整!$K$36*怪物掉落配置方案!$D5047</f>
        <v>4.696685097379092E-2</v>
      </c>
    </row>
    <row r="6074" spans="1:4" ht="16.5" hidden="1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313">
        <f>参数调整!$K$36*怪物掉落配置方案!$D5048</f>
        <v>5.1951145206146264E-2</v>
      </c>
    </row>
    <row r="6075" spans="1:4" ht="16.5" hidden="1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313">
        <f>参数调整!$K$36*怪物掉落配置方案!$D5049</f>
        <v>5.7186748391393483E-2</v>
      </c>
    </row>
    <row r="6076" spans="1:4" ht="16.5" hidden="1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313">
        <f>参数调整!$K$36*怪物掉落配置方案!$D5050</f>
        <v>6.2673660529532549E-2</v>
      </c>
    </row>
    <row r="6077" spans="1:4" ht="16.5" hidden="1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313">
        <f>参数调整!$K$36*怪物掉落配置方案!$D5051</f>
        <v>6.8411881620563483E-2</v>
      </c>
    </row>
    <row r="6078" spans="1:4" ht="16.5" hidden="1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313">
        <f>参数调整!$K$36*怪物掉落配置方案!$D5052</f>
        <v>3.2492470676928117E-5</v>
      </c>
    </row>
    <row r="6079" spans="1:4" ht="16.5" hidden="1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313">
        <f>参数调整!$K$36*怪物掉落配置方案!$D5053</f>
        <v>4.1123283200487156E-5</v>
      </c>
    </row>
    <row r="6080" spans="1:4" ht="16.5" hidden="1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313">
        <f>参数调整!$K$36*怪物掉落配置方案!$D5054</f>
        <v>5.0769485432700176E-5</v>
      </c>
    </row>
    <row r="6081" spans="1:4" ht="16.5" hidden="1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313">
        <f>参数调整!$K$36*怪物掉落配置方案!$D5055</f>
        <v>6.1431077373567218E-5</v>
      </c>
    </row>
    <row r="6082" spans="1:4" ht="16.5" hidden="1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313">
        <f>参数调整!$K$36*怪物掉落配置方案!$D5056</f>
        <v>7.3108059023088248E-5</v>
      </c>
    </row>
    <row r="6083" spans="1:4" ht="16.5" hidden="1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313">
        <f>参数调整!$K$36*怪物掉落配置方案!$D5057</f>
        <v>8.58004303812633E-5</v>
      </c>
    </row>
    <row r="6084" spans="1:4" ht="16.5" hidden="1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313">
        <f>参数调整!$K$36*怪物掉落配置方案!$D5058</f>
        <v>9.9508191448092334E-5</v>
      </c>
    </row>
    <row r="6085" spans="1:4" ht="16.5" hidden="1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313">
        <f>参数调整!$K$36*怪物掉落配置方案!$D5059</f>
        <v>1.1423134222357539E-4</v>
      </c>
    </row>
    <row r="6086" spans="1:4" ht="16.5" hidden="1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313">
        <f>参数调整!$K$36*怪物掉落配置方案!$D5060</f>
        <v>1.299698827077125E-4</v>
      </c>
    </row>
    <row r="6087" spans="1:4" ht="16.5" hidden="1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313">
        <f>参数调整!$K$36*怪物掉落配置方案!$D5061</f>
        <v>1.6449313280194857E-4</v>
      </c>
    </row>
    <row r="6088" spans="1:4" ht="16.5" hidden="1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313">
        <f>参数调整!$K$36*怪物掉落配置方案!$D5062</f>
        <v>2.0307794173080068E-4</v>
      </c>
    </row>
    <row r="6089" spans="1:4" ht="16.5" hidden="1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313">
        <f>参数调整!$K$36*怪物掉落配置方案!$D5063</f>
        <v>2.4572430949426887E-4</v>
      </c>
    </row>
    <row r="6090" spans="1:4" ht="16.5" hidden="1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313">
        <f>参数调整!$K$36*怪物掉落配置方案!$D5064</f>
        <v>3.1730928395437612E-4</v>
      </c>
    </row>
    <row r="6091" spans="1:4" ht="16.5" hidden="1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313">
        <f>参数调整!$K$36*怪物掉落配置方案!$D5065</f>
        <v>4.5692536889430145E-4</v>
      </c>
    </row>
    <row r="6092" spans="1:4" ht="16.5" hidden="1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313">
        <f>参数调整!$K$36*怪物掉落配置方案!$D5066</f>
        <v>6.2192619655057711E-4</v>
      </c>
    </row>
    <row r="6093" spans="1:4" ht="16.5" hidden="1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313">
        <f>参数调整!$K$36*怪物掉落配置方案!$D5067</f>
        <v>6.950342555736655E-4</v>
      </c>
    </row>
    <row r="6094" spans="1:4" ht="16.5" hidden="1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313">
        <f>参数调整!$K$36*怪物掉落配置方案!$D5068</f>
        <v>8.123117669232027E-4</v>
      </c>
    </row>
    <row r="6095" spans="1:4" ht="16.5" hidden="1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313">
        <f>参数调整!$K$36*怪物掉落配置方案!$D5069</f>
        <v>9.3872778565062603E-4</v>
      </c>
    </row>
    <row r="6096" spans="1:4" ht="16.5" hidden="1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313">
        <f>参数调整!$K$36*怪物掉落配置方案!$D5070</f>
        <v>1.0742823117559357E-3</v>
      </c>
    </row>
    <row r="6097" spans="1:4" ht="16.5" hidden="1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313">
        <f>参数调整!$K$36*怪物掉落配置方案!$D5071</f>
        <v>1.2189753452391315E-3</v>
      </c>
    </row>
    <row r="6098" spans="1:4" ht="16.5" hidden="1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313">
        <f>参数调整!$K$36*怪物掉落配置方案!$D5072</f>
        <v>1.3728068861002128E-3</v>
      </c>
    </row>
    <row r="6099" spans="1:4" ht="16.5" hidden="1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313">
        <f>参数调整!$K$36*怪物掉落配置方案!$D5073</f>
        <v>1.5357769343391804E-3</v>
      </c>
    </row>
    <row r="6100" spans="1:4" ht="16.5" hidden="1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313">
        <f>参数调整!$K$36*怪物掉落配置方案!$D5074</f>
        <v>1.7078854899560336E-3</v>
      </c>
    </row>
    <row r="6101" spans="1:4" ht="16.5" hidden="1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313">
        <f>参数调整!$K$36*怪物掉落配置方案!$D5075</f>
        <v>1.8891325529507732E-3</v>
      </c>
    </row>
    <row r="6102" spans="1:4" ht="16.5" hidden="1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313">
        <f>参数调整!$K$36*怪物掉落配置方案!$D5076</f>
        <v>2.0795181233233995E-3</v>
      </c>
    </row>
    <row r="6103" spans="1:4" ht="16.5" hidden="1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313">
        <f>参数调整!$K$36*怪物掉落配置方案!$D5077</f>
        <v>2.2790422010739108E-3</v>
      </c>
    </row>
    <row r="6104" spans="1:4" ht="16.5" hidden="1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313">
        <f>参数调整!$K$36*怪物掉落配置方案!$D5078</f>
        <v>2.4877047862023089E-3</v>
      </c>
    </row>
    <row r="6105" spans="1:4" ht="16.5" hidden="1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313">
        <f>参数调整!$K$36*怪物掉落配置方案!$D5079</f>
        <v>4.5400927223921538E-3</v>
      </c>
    </row>
    <row r="6106" spans="1:4" ht="16.5" hidden="1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313">
        <f>参数调整!$K$36*怪物掉落配置方案!$D5080</f>
        <v>5.7460548517775699E-3</v>
      </c>
    </row>
    <row r="6107" spans="1:4" ht="16.5" hidden="1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313">
        <f>参数调整!$K$36*怪物掉落配置方案!$D5081</f>
        <v>7.0938948787377396E-3</v>
      </c>
    </row>
    <row r="6108" spans="1:4" ht="16.5" hidden="1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313">
        <f>参数调整!$K$36*怪物掉落配置方案!$D5082</f>
        <v>8.5836128032726663E-3</v>
      </c>
    </row>
    <row r="6109" spans="1:4" ht="16.5" hidden="1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313">
        <f>参数调整!$K$36*怪物掉落配置方案!$D5083</f>
        <v>1.0215208625382343E-2</v>
      </c>
    </row>
    <row r="6110" spans="1:4" ht="16.5" hidden="1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313">
        <f>参数调整!$K$36*怪物掉落配置方案!$D5084</f>
        <v>1.1988682345066781E-2</v>
      </c>
    </row>
    <row r="6111" spans="1:4" ht="16.5" hidden="1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313">
        <f>参数调整!$K$36*怪物掉落配置方案!$D5085</f>
        <v>1.3904033962325969E-2</v>
      </c>
    </row>
    <row r="6112" spans="1:4" ht="16.5" hidden="1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313">
        <f>参数调整!$K$36*怪物掉落配置方案!$D5086</f>
        <v>1.5961263477159916E-2</v>
      </c>
    </row>
    <row r="6113" spans="1:4" ht="16.5" hidden="1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313">
        <f>参数调整!$K$36*怪物掉落配置方案!$D5087</f>
        <v>1.8160370889568619E-2</v>
      </c>
    </row>
    <row r="6114" spans="1:4" ht="16.5" hidden="1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313">
        <f>参数调整!$K$36*怪物掉落配置方案!$D5088</f>
        <v>2.2984219407110283E-2</v>
      </c>
    </row>
    <row r="6115" spans="1:4" ht="16.5" hidden="1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313">
        <f>参数调整!$K$36*怪物掉落配置方案!$D5089</f>
        <v>2.8375579514950958E-2</v>
      </c>
    </row>
    <row r="6116" spans="1:4" ht="16.5" hidden="1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313">
        <f>参数调整!$K$36*怪物掉落配置方案!$D5090</f>
        <v>3.4334451213090665E-2</v>
      </c>
    </row>
    <row r="6117" spans="1:4" ht="16.5" hidden="1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313">
        <f>参数调整!$K$36*怪物掉落配置方案!$D5091</f>
        <v>4.4336842992110874E-2</v>
      </c>
    </row>
    <row r="6118" spans="1:4" ht="16.5" hidden="1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313">
        <f>参数调整!$K$36*怪物掉落配置方案!$D5092</f>
        <v>6.3845053908639648E-2</v>
      </c>
    </row>
    <row r="6119" spans="1:4" ht="16.5" hidden="1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313">
        <f>参数调整!$K$36*怪物掉落配置方案!$D5093</f>
        <v>8.6900212264537299E-2</v>
      </c>
    </row>
    <row r="6120" spans="1:4" ht="16.5" hidden="1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313">
        <f>参数调整!$K$36*怪物掉落配置方案!$D5094</f>
        <v>9.7115420889919674E-2</v>
      </c>
    </row>
    <row r="6121" spans="1:4" ht="16.5" hidden="1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313">
        <f>参数调整!$K$36*怪物掉落配置方案!$D5095</f>
        <v>0.11350231805980383</v>
      </c>
    </row>
    <row r="6122" spans="1:4" ht="16.5" hidden="1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313">
        <f>参数调整!$K$36*怪物掉落配置方案!$D5096</f>
        <v>0.13116611630786079</v>
      </c>
    </row>
    <row r="6123" spans="1:4" ht="16.5" hidden="1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313">
        <f>参数调整!$K$36*怪物掉落配置方案!$D5097</f>
        <v>0.15010681563409056</v>
      </c>
    </row>
    <row r="6124" spans="1:4" ht="16.5" hidden="1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313">
        <f>参数调整!$K$36*怪物掉落配置方案!$D5098</f>
        <v>0.17032441603849319</v>
      </c>
    </row>
    <row r="6125" spans="1:4" ht="16.5" hidden="1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313">
        <f>参数调整!$K$36*怪物掉落配置方案!$D5099</f>
        <v>0.19181891752106847</v>
      </c>
    </row>
    <row r="6126" spans="1:4" ht="16.5" hidden="1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313">
        <f>参数调整!$K$36*怪物掉落配置方案!$D5100</f>
        <v>0.21459032008181664</v>
      </c>
    </row>
    <row r="6127" spans="1:4" ht="16.5" hidden="1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313">
        <f>参数调整!$K$36*怪物掉落配置方案!$D5101</f>
        <v>0.23863862372073757</v>
      </c>
    </row>
    <row r="6128" spans="1:4" ht="16.5" hidden="1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313">
        <f>参数调整!$K$36*怪物掉落配置方案!$D5102</f>
        <v>0.26396382843783123</v>
      </c>
    </row>
    <row r="6129" spans="1:4" ht="16.5" hidden="1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313">
        <f>参数调整!$K$36*怪物掉落配置方案!$D5103</f>
        <v>0.2905659342330979</v>
      </c>
    </row>
    <row r="6130" spans="1:4" ht="16.5" hidden="1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313">
        <f>参数调整!$K$36*怪物掉落配置方案!$D5104</f>
        <v>0.31844494110653715</v>
      </c>
    </row>
    <row r="6131" spans="1:4" ht="16.5" hidden="1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313">
        <f>参数调整!$K$36*怪物掉落配置方案!$D5105</f>
        <v>0.34760084905814931</v>
      </c>
    </row>
    <row r="6132" spans="1:4" ht="16.5" hidden="1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313">
        <f>参数调整!$K$36*怪物掉落配置方案!$D5106</f>
        <v>5.9121072885159561E-4</v>
      </c>
    </row>
    <row r="6133" spans="1:4" ht="16.5" hidden="1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313">
        <f>参数调整!$K$36*怪物掉落配置方案!$D5107</f>
        <v>7.4825107870280059E-4</v>
      </c>
    </row>
    <row r="6134" spans="1:4" ht="16.5" hidden="1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313">
        <f>参数调整!$K$36*怪物掉落配置方案!$D5108</f>
        <v>9.2376676383061792E-4</v>
      </c>
    </row>
    <row r="6135" spans="1:4" ht="16.5" hidden="1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313">
        <f>参数调整!$K$36*怪物掉落配置方案!$D5109</f>
        <v>1.1177577842350478E-3</v>
      </c>
    </row>
    <row r="6136" spans="1:4" ht="16.5" hidden="1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313">
        <f>参数调整!$K$36*怪物掉落配置方案!$D5110</f>
        <v>1.3302241399160896E-3</v>
      </c>
    </row>
    <row r="6137" spans="1:4" ht="16.5" hidden="1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313">
        <f>参数调整!$K$36*怪物掉落配置方案!$D5111</f>
        <v>1.5611658308737446E-3</v>
      </c>
    </row>
    <row r="6138" spans="1:4" ht="16.5" hidden="1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313">
        <f>参数调整!$K$36*怪物掉落配置方案!$D5112</f>
        <v>1.8105828571080107E-3</v>
      </c>
    </row>
    <row r="6139" spans="1:4" ht="16.5" hidden="1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313">
        <f>参数调整!$K$36*怪物掉落配置方案!$D5113</f>
        <v>2.0784752186188906E-3</v>
      </c>
    </row>
    <row r="6140" spans="1:4" ht="16.5" hidden="1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313">
        <f>参数调整!$K$36*怪物掉落配置方案!$D5114</f>
        <v>2.3648429154063825E-3</v>
      </c>
    </row>
    <row r="6141" spans="1:4" ht="16.5" hidden="1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313">
        <f>参数调整!$K$36*怪物掉落配置方案!$D5115</f>
        <v>2.9930043148112023E-3</v>
      </c>
    </row>
    <row r="6142" spans="1:4" ht="16.5" hidden="1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313">
        <f>参数调整!$K$36*怪物掉落配置方案!$D5116</f>
        <v>3.6950670553224712E-3</v>
      </c>
    </row>
    <row r="6143" spans="1:4" ht="16.5" hidden="1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313">
        <f>参数调整!$K$36*怪物掉落配置方案!$D5117</f>
        <v>4.4710311369401913E-3</v>
      </c>
    </row>
    <row r="6144" spans="1:4" ht="16.5" hidden="1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313">
        <f>参数调整!$K$36*怪物掉落配置方案!$D5118</f>
        <v>5.7735422739413613E-3</v>
      </c>
    </row>
    <row r="6145" spans="1:4" ht="16.5" hidden="1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313">
        <f>参数调整!$K$36*怪物掉落配置方案!$D5119</f>
        <v>8.3139008744755605E-3</v>
      </c>
    </row>
    <row r="6146" spans="1:4" ht="16.5" hidden="1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313">
        <f>参数调整!$K$36*怪物掉落配置方案!$D5120</f>
        <v>1.1316142856925069E-2</v>
      </c>
    </row>
    <row r="6147" spans="1:4" ht="16.5" hidden="1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313">
        <f>参数调整!$K$36*怪物掉落配置方案!$D5121</f>
        <v>1.2646366996841161E-2</v>
      </c>
    </row>
    <row r="6148" spans="1:4" ht="16.5" hidden="1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313">
        <f>参数调整!$K$36*怪物掉落配置方案!$D5122</f>
        <v>1.4780268221289885E-2</v>
      </c>
    </row>
    <row r="6149" spans="1:4" ht="16.5" hidden="1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313">
        <f>参数调整!$K$36*怪物掉落配置方案!$D5123</f>
        <v>1.7080447463228121E-2</v>
      </c>
    </row>
    <row r="6150" spans="1:4" ht="16.5" hidden="1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313">
        <f>参数调整!$K$36*怪物掉落配置方案!$D5124</f>
        <v>1.9546904722655873E-2</v>
      </c>
    </row>
    <row r="6151" spans="1:4" ht="16.5" hidden="1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313">
        <f>参数调整!$K$36*怪物掉落配置方案!$D5125</f>
        <v>2.2179639999573141E-2</v>
      </c>
    </row>
    <row r="6152" spans="1:4" ht="16.5" hidden="1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313">
        <f>参数调整!$K$36*怪物掉落配置方案!$D5126</f>
        <v>2.497865329397991E-2</v>
      </c>
    </row>
    <row r="6153" spans="1:4" ht="16.5" hidden="1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313">
        <f>参数调整!$K$36*怪物掉落配置方案!$D5127</f>
        <v>2.7943944605876195E-2</v>
      </c>
    </row>
    <row r="6154" spans="1:4" ht="16.5" hidden="1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313">
        <f>参数调整!$K$36*怪物掉落配置方案!$D5128</f>
        <v>3.1075513935261985E-2</v>
      </c>
    </row>
    <row r="6155" spans="1:4" ht="16.5" hidden="1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313">
        <f>参数调整!$K$36*怪物掉落配置方案!$D5129</f>
        <v>3.4373361282137284E-2</v>
      </c>
    </row>
    <row r="6156" spans="1:4" ht="16.5" hidden="1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313">
        <f>参数调整!$K$36*怪物掉落配置方案!$D5130</f>
        <v>3.7837486646502112E-2</v>
      </c>
    </row>
    <row r="6157" spans="1:4" ht="16.5" hidden="1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313">
        <f>参数调整!$K$36*怪物掉落配置方案!$D5131</f>
        <v>4.1467890028356443E-2</v>
      </c>
    </row>
    <row r="6158" spans="1:4" ht="16.5" hidden="1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313">
        <f>参数调整!$K$36*怪物掉落配置方案!$D5132</f>
        <v>4.5264571427700281E-2</v>
      </c>
    </row>
    <row r="6159" spans="1:4" ht="16.5" hidden="1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313">
        <f>参数调整!$K$37*怪物掉落配置方案!$D4107</f>
        <v>7.9183019461093033E-4</v>
      </c>
    </row>
    <row r="6160" spans="1:4" ht="16.5" hidden="1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313">
        <f>参数调整!$K$37*怪物掉落配置方案!$D4108</f>
        <v>1.0021600900544589E-3</v>
      </c>
    </row>
    <row r="6161" spans="1:4" ht="16.5" hidden="1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313">
        <f>参数调整!$K$37*怪物掉落配置方案!$D4109</f>
        <v>1.2372346790795786E-3</v>
      </c>
    </row>
    <row r="6162" spans="1:4" ht="16.5" hidden="1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313">
        <f>参数调整!$K$37*怪物掉落配置方案!$D4110</f>
        <v>1.4970539616862902E-3</v>
      </c>
    </row>
    <row r="6163" spans="1:4" ht="16.5" hidden="1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313">
        <f>参数调整!$K$37*怪物掉落配置方案!$D4111</f>
        <v>1.7816179378745928E-3</v>
      </c>
    </row>
    <row r="6164" spans="1:4" ht="16.5" hidden="1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313">
        <f>参数调整!$K$37*怪物掉落配置方案!$D4112</f>
        <v>2.0909266076444876E-3</v>
      </c>
    </row>
    <row r="6165" spans="1:4" ht="16.5" hidden="1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313">
        <f>参数调整!$K$37*怪物掉落配置方案!$D4113</f>
        <v>2.4249799709959736E-3</v>
      </c>
    </row>
    <row r="6166" spans="1:4" ht="16.5" hidden="1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313">
        <f>参数调整!$K$37*怪物掉落配置方案!$D4114</f>
        <v>2.7837780279290516E-3</v>
      </c>
    </row>
    <row r="6167" spans="1:4" ht="16.5" hidden="1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313">
        <f>参数调整!$K$37*怪物掉落配置方案!$D4115</f>
        <v>3.1673207784437213E-3</v>
      </c>
    </row>
    <row r="6168" spans="1:4" ht="16.5" hidden="1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313">
        <f>参数调整!$K$37*怪物掉落配置方案!$D4116</f>
        <v>4.0086403602178347E-3</v>
      </c>
    </row>
    <row r="6169" spans="1:4" ht="16.5" hidden="1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313">
        <f>参数调整!$K$37*怪物掉落配置方案!$D4117</f>
        <v>4.9489387163183136E-3</v>
      </c>
    </row>
    <row r="6170" spans="1:4" ht="16.5" hidden="1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313">
        <f>参数调整!$K$37*怪物掉落配置方案!$D4118</f>
        <v>5.9882158467451608E-3</v>
      </c>
    </row>
    <row r="6171" spans="1:4" ht="16.5" hidden="1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313">
        <f>参数调整!$K$37*怪物掉落配置方案!$D4119</f>
        <v>7.7327167442473648E-3</v>
      </c>
    </row>
    <row r="6172" spans="1:4" ht="16.5" hidden="1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313">
        <f>参数调整!$K$37*怪物掉落配置方案!$D4120</f>
        <v>1.1135112111716205E-2</v>
      </c>
    </row>
    <row r="6173" spans="1:4" ht="16.5" hidden="1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313">
        <f>参数调整!$K$37*怪物掉落配置方案!$D4121</f>
        <v>1.5156124818724834E-2</v>
      </c>
    </row>
    <row r="6174" spans="1:4" ht="16.5" hidden="1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313">
        <f>参数调整!$K$37*怪物掉落配置方案!$D4122</f>
        <v>1.6937742756599431E-2</v>
      </c>
    </row>
    <row r="6175" spans="1:4" ht="16.5" hidden="1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313">
        <f>参数调整!$K$37*怪物掉落配置方案!$D4123</f>
        <v>1.9795754865273255E-2</v>
      </c>
    </row>
    <row r="6176" spans="1:4" ht="16.5" hidden="1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313">
        <f>参数调整!$K$37*怪物掉落配置方案!$D4124</f>
        <v>2.2876469216181403E-2</v>
      </c>
    </row>
    <row r="6177" spans="1:4" ht="16.5" hidden="1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313">
        <f>参数调整!$K$37*怪物掉落配置方案!$D4125</f>
        <v>2.6179885809323875E-2</v>
      </c>
    </row>
    <row r="6178" spans="1:4" ht="16.5" hidden="1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313">
        <f>参数调整!$K$37*怪物掉落配置方案!$D4126</f>
        <v>2.9706004644700683E-2</v>
      </c>
    </row>
    <row r="6179" spans="1:4" ht="16.5" hidden="1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313">
        <f>参数调整!$K$37*怪物掉落配置方案!$D4127</f>
        <v>3.3454825722311801E-2</v>
      </c>
    </row>
    <row r="6180" spans="1:4" ht="16.5" hidden="1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313">
        <f>参数调整!$K$37*怪物掉落配置方案!$D4128</f>
        <v>3.7426349042157248E-2</v>
      </c>
    </row>
    <row r="6181" spans="1:4" ht="16.5" hidden="1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313">
        <f>参数调整!$K$37*怪物掉落配置方案!$D4129</f>
        <v>4.1620574604237015E-2</v>
      </c>
    </row>
    <row r="6182" spans="1:4" ht="16.5" hidden="1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313">
        <f>参数调整!$K$37*怪物掉落配置方案!$D4130</f>
        <v>4.6037502408551104E-2</v>
      </c>
    </row>
    <row r="6183" spans="1:4" ht="16.5" hidden="1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313">
        <f>参数调整!$K$37*怪物掉落配置方案!$D4131</f>
        <v>5.0677132455099541E-2</v>
      </c>
    </row>
    <row r="6184" spans="1:4" ht="16.5" hidden="1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313">
        <f>参数调整!$K$37*怪物掉落配置方案!$D4132</f>
        <v>5.5539464743882279E-2</v>
      </c>
    </row>
    <row r="6185" spans="1:4" ht="16.5" hidden="1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313">
        <f>参数调整!$K$37*怪物掉落配置方案!$D4133</f>
        <v>6.0624499274899352E-2</v>
      </c>
    </row>
    <row r="6186" spans="1:4" ht="16.5" hidden="1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313">
        <f>参数调整!$K$37*怪物掉落配置方案!$D4134</f>
        <v>1.0377022511825018E-2</v>
      </c>
    </row>
    <row r="6187" spans="1:4" ht="16.5" hidden="1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313">
        <f>参数调整!$K$37*怪物掉落配置方案!$D4135</f>
        <v>1.3133419116528539E-2</v>
      </c>
    </row>
    <row r="6188" spans="1:4" ht="16.5" hidden="1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313">
        <f>参数调整!$K$37*怪物掉落配置方案!$D4136</f>
        <v>1.6214097674726587E-2</v>
      </c>
    </row>
    <row r="6189" spans="1:4" ht="16.5" hidden="1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313">
        <f>参数调整!$K$37*怪物掉落配置方案!$D4137</f>
        <v>1.9619058186419173E-2</v>
      </c>
    </row>
    <row r="6190" spans="1:4" ht="16.5" hidden="1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313">
        <f>参数调整!$K$37*怪物掉落配置方案!$D4138</f>
        <v>2.3348300651606278E-2</v>
      </c>
    </row>
    <row r="6191" spans="1:4" ht="16.5" hidden="1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313">
        <f>参数调整!$K$37*怪物掉落配置方案!$D4139</f>
        <v>2.7401825070287936E-2</v>
      </c>
    </row>
    <row r="6192" spans="1:4" ht="16.5" hidden="1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313">
        <f>参数调整!$K$37*怪物掉落配置方案!$D4140</f>
        <v>3.1779631442464103E-2</v>
      </c>
    </row>
    <row r="6193" spans="1:4" ht="16.5" hidden="1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313">
        <f>参数调整!$K$37*怪物掉落配置方案!$D4141</f>
        <v>3.6481719768134815E-2</v>
      </c>
    </row>
    <row r="6194" spans="1:4" ht="16.5" hidden="1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313">
        <f>参数调整!$K$37*怪物掉落配置方案!$D4142</f>
        <v>4.1508090047300071E-2</v>
      </c>
    </row>
    <row r="6195" spans="1:4" ht="16.5" hidden="1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313">
        <f>参数调整!$K$37*怪物掉落配置方案!$D4143</f>
        <v>5.2533676466114149E-2</v>
      </c>
    </row>
    <row r="6196" spans="1:4" ht="16.5" hidden="1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313">
        <f>参数调整!$K$37*怪物掉落配置方案!$D4144</f>
        <v>6.4856390698906335E-2</v>
      </c>
    </row>
    <row r="6197" spans="1:4" ht="16.5" hidden="1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313">
        <f>参数调整!$K$37*怪物掉落配置方案!$D4145</f>
        <v>7.8476232745676694E-2</v>
      </c>
    </row>
    <row r="6198" spans="1:4" ht="16.5" hidden="1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313">
        <f>参数调整!$K$37*怪物掉落配置方案!$D4146</f>
        <v>0.10133811046704116</v>
      </c>
    </row>
    <row r="6199" spans="1:4" ht="16.5" hidden="1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313">
        <f>参数调整!$K$37*怪物掉落配置方案!$D4147</f>
        <v>0.14592687907253926</v>
      </c>
    </row>
    <row r="6200" spans="1:4" ht="16.5" hidden="1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313">
        <f>参数调整!$K$37*怪物掉落配置方案!$D4148</f>
        <v>0.19862269651540065</v>
      </c>
    </row>
    <row r="6201" spans="1:4" ht="16.5" hidden="1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313">
        <f>参数调整!$K$37*怪物掉落配置方案!$D4149</f>
        <v>0.22197099716700699</v>
      </c>
    </row>
    <row r="6202" spans="1:4" ht="16.5" hidden="1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313">
        <f>参数调整!$K$37*怪物掉落配置方案!$D4150</f>
        <v>0.25942556279562534</v>
      </c>
    </row>
    <row r="6203" spans="1:4" ht="16.5" hidden="1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313">
        <f>参数调整!$K$37*怪物掉落配置方案!$D4151</f>
        <v>0.29979866600569455</v>
      </c>
    </row>
    <row r="6204" spans="1:4" ht="16.5" hidden="1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313">
        <f>参数调整!$K$37*怪物掉落配置方案!$D4152</f>
        <v>0.34309030679721453</v>
      </c>
    </row>
    <row r="6205" spans="1:4" ht="16.5" hidden="1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313">
        <f>参数调整!$K$37*怪物掉落配置方案!$D4153</f>
        <v>0.3893004851701854</v>
      </c>
    </row>
    <row r="6206" spans="1:4" ht="16.5" hidden="1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313">
        <f>参数调整!$K$37*怪物掉落配置方案!$D4154</f>
        <v>0.43842920112460687</v>
      </c>
    </row>
    <row r="6207" spans="1:4" ht="16.5" hidden="1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313">
        <f>参数调整!$K$37*怪物掉落配置方案!$D4155</f>
        <v>0.49047645466047929</v>
      </c>
    </row>
    <row r="6208" spans="1:4" ht="16.5" hidden="1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313">
        <f>参数调整!$K$37*怪物掉落配置方案!$D4156</f>
        <v>0.54544224577780231</v>
      </c>
    </row>
    <row r="6209" spans="1:4" ht="16.5" hidden="1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313">
        <f>参数调整!$K$37*怪物掉落配置方案!$D4157</f>
        <v>0.60332657447657623</v>
      </c>
    </row>
    <row r="6210" spans="1:4" ht="16.5" hidden="1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313">
        <f>参数调整!$K$37*怪物掉落配置方案!$D4158</f>
        <v>0.66412944075680103</v>
      </c>
    </row>
    <row r="6211" spans="1:4" ht="16.5" hidden="1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313">
        <f>参数调整!$K$37*怪物掉落配置方案!$D4159</f>
        <v>0.72785084461847649</v>
      </c>
    </row>
    <row r="6212" spans="1:4" ht="16.5" hidden="1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313">
        <f>参数调整!$K$37*怪物掉落配置方案!$D4160</f>
        <v>0.79449078606160273</v>
      </c>
    </row>
    <row r="6213" spans="1:4" ht="16.5" hidden="1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313">
        <f>参数调整!$K$37*怪物掉落配置方案!$D4161</f>
        <v>134</v>
      </c>
    </row>
    <row r="6214" spans="1:4" ht="16.5" hidden="1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313">
        <f>参数调整!$K$37*怪物掉落配置方案!$D4162</f>
        <v>170</v>
      </c>
    </row>
    <row r="6215" spans="1:4" ht="16.5" hidden="1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313">
        <f>参数调整!$K$37*怪物掉落配置方案!$D4163</f>
        <v>210</v>
      </c>
    </row>
    <row r="6216" spans="1:4" ht="16.5" hidden="1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313">
        <f>参数调整!$K$37*怪物掉落配置方案!$D4164</f>
        <v>254</v>
      </c>
    </row>
    <row r="6217" spans="1:4" ht="16.5" hidden="1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313">
        <f>参数调整!$K$37*怪物掉落配置方案!$D4165</f>
        <v>302</v>
      </c>
    </row>
    <row r="6218" spans="1:4" ht="16.5" hidden="1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313">
        <f>参数调整!$K$37*怪物掉落配置方案!$D4166</f>
        <v>354</v>
      </c>
    </row>
    <row r="6219" spans="1:4" ht="16.5" hidden="1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313">
        <f>参数调整!$K$37*怪物掉落配置方案!$D4167</f>
        <v>412</v>
      </c>
    </row>
    <row r="6220" spans="1:4" ht="16.5" hidden="1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313">
        <f>参数调整!$K$37*怪物掉落配置方案!$D4168</f>
        <v>472</v>
      </c>
    </row>
    <row r="6221" spans="1:4" ht="16.5" hidden="1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313">
        <f>参数调整!$K$37*怪物掉落配置方案!$D4169</f>
        <v>536</v>
      </c>
    </row>
    <row r="6222" spans="1:4" ht="16.5" hidden="1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313">
        <f>参数调整!$K$37*怪物掉落配置方案!$D4170</f>
        <v>680</v>
      </c>
    </row>
    <row r="6223" spans="1:4" ht="16.5" hidden="1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313">
        <f>参数调整!$K$37*怪物掉落配置方案!$D4171</f>
        <v>838</v>
      </c>
    </row>
    <row r="6224" spans="1:4" ht="16.5" hidden="1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313">
        <f>参数调整!$K$37*怪物掉落配置方案!$D4172</f>
        <v>1016</v>
      </c>
    </row>
    <row r="6225" spans="1:4" ht="16.5" hidden="1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313">
        <f>参数调整!$K$37*怪物掉落配置方案!$D4173</f>
        <v>1310</v>
      </c>
    </row>
    <row r="6226" spans="1:4" ht="16.5" hidden="1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313">
        <f>参数调整!$K$37*怪物掉落配置方案!$D4174</f>
        <v>1888</v>
      </c>
    </row>
    <row r="6227" spans="1:4" ht="16.5" hidden="1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313">
        <f>参数调整!$K$37*怪物掉落配置方案!$D4175</f>
        <v>2570</v>
      </c>
    </row>
    <row r="6228" spans="1:4" ht="16.5" hidden="1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313">
        <f>参数调整!$K$37*怪物掉落配置方案!$D4176</f>
        <v>2872</v>
      </c>
    </row>
    <row r="6229" spans="1:4" ht="16.5" hidden="1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313">
        <f>参数调整!$K$37*怪物掉落配置方案!$D4177</f>
        <v>3356</v>
      </c>
    </row>
    <row r="6230" spans="1:4" ht="16.5" hidden="1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313">
        <f>参数调整!$K$37*怪物掉落配置方案!$D4178</f>
        <v>3878</v>
      </c>
    </row>
    <row r="6231" spans="1:4" ht="16.5" hidden="1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313">
        <f>参数调整!$K$37*怪物掉落配置方案!$D4179</f>
        <v>4438</v>
      </c>
    </row>
    <row r="6232" spans="1:4" ht="16.5" hidden="1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313">
        <f>参数调整!$K$37*怪物掉落配置方案!$D4180</f>
        <v>5036</v>
      </c>
    </row>
    <row r="6233" spans="1:4" ht="16.5" hidden="1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313">
        <f>参数调整!$K$37*怪物掉落配置方案!$D4181</f>
        <v>5672</v>
      </c>
    </row>
    <row r="6234" spans="1:4" ht="16.5" hidden="1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313">
        <f>参数调整!$K$37*怪物掉落配置方案!$D4182</f>
        <v>6344</v>
      </c>
    </row>
    <row r="6235" spans="1:4" ht="16.5" hidden="1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313">
        <f>参数调整!$K$37*怪物掉落配置方案!$D4183</f>
        <v>7056</v>
      </c>
    </row>
    <row r="6236" spans="1:4" ht="16.5" hidden="1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313">
        <f>参数调整!$K$37*怪物掉落配置方案!$D4184</f>
        <v>7804</v>
      </c>
    </row>
    <row r="6237" spans="1:4" ht="16.5" hidden="1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313">
        <f>参数调整!$K$37*怪物掉落配置方案!$D4185</f>
        <v>8590</v>
      </c>
    </row>
    <row r="6238" spans="1:4" ht="16.5" hidden="1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313">
        <f>参数调整!$K$37*怪物掉落配置方案!$D4186</f>
        <v>9414</v>
      </c>
    </row>
    <row r="6239" spans="1:4" ht="16.5" hidden="1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313">
        <f>参数调整!$K$37*怪物掉落配置方案!$D4187</f>
        <v>10276</v>
      </c>
    </row>
    <row r="6240" spans="1:4" ht="16.5" hidden="1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313">
        <f>参数调整!$K$37*怪物掉落配置方案!$D4188</f>
        <v>1.6246235338464058E-5</v>
      </c>
    </row>
    <row r="6241" spans="1:4" ht="16.5" hidden="1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313">
        <f>参数调整!$K$37*怪物掉落配置方案!$D4189</f>
        <v>2.0561641600243578E-5</v>
      </c>
    </row>
    <row r="6242" spans="1:4" ht="16.5" hidden="1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313">
        <f>参数调整!$K$37*怪物掉落配置方案!$D4190</f>
        <v>2.5384742716350088E-5</v>
      </c>
    </row>
    <row r="6243" spans="1:4" ht="16.5" hidden="1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313">
        <f>参数调整!$K$37*怪物掉落配置方案!$D4191</f>
        <v>3.0715538686783609E-5</v>
      </c>
    </row>
    <row r="6244" spans="1:4" ht="16.5" hidden="1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313">
        <f>参数调整!$K$37*怪物掉落配置方案!$D4192</f>
        <v>3.6554029511544124E-5</v>
      </c>
    </row>
    <row r="6245" spans="1:4" ht="16.5" hidden="1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313">
        <f>参数调整!$K$37*怪物掉落配置方案!$D4193</f>
        <v>4.290021519063165E-5</v>
      </c>
    </row>
    <row r="6246" spans="1:4" ht="16.5" hidden="1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313">
        <f>参数调整!$K$37*怪物掉落配置方案!$D4194</f>
        <v>4.9754095724046167E-5</v>
      </c>
    </row>
    <row r="6247" spans="1:4" ht="16.5" hidden="1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313">
        <f>参数调整!$K$37*怪物掉落配置方案!$D4195</f>
        <v>5.7115671111787695E-5</v>
      </c>
    </row>
    <row r="6248" spans="1:4" ht="16.5" hidden="1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313">
        <f>参数调整!$K$37*怪物掉落配置方案!$D4196</f>
        <v>6.4984941353856248E-5</v>
      </c>
    </row>
    <row r="6249" spans="1:4" ht="16.5" hidden="1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313">
        <f>参数调整!$K$37*怪物掉落配置方案!$D4197</f>
        <v>8.2246566400974284E-5</v>
      </c>
    </row>
    <row r="6250" spans="1:4" ht="16.5" hidden="1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313">
        <f>参数调整!$K$37*怪物掉落配置方案!$D4198</f>
        <v>1.0153897086540034E-4</v>
      </c>
    </row>
    <row r="6251" spans="1:4" ht="16.5" hidden="1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313">
        <f>参数调整!$K$37*怪物掉落配置方案!$D4199</f>
        <v>1.2286215474713444E-4</v>
      </c>
    </row>
    <row r="6252" spans="1:4" ht="16.5" hidden="1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313">
        <f>参数调整!$K$37*怪物掉落配置方案!$D4200</f>
        <v>1.5865464197718806E-4</v>
      </c>
    </row>
    <row r="6253" spans="1:4" ht="16.5" hidden="1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313">
        <f>参数调整!$K$37*怪物掉落配置方案!$D4201</f>
        <v>2.2846268444715073E-4</v>
      </c>
    </row>
    <row r="6254" spans="1:4" ht="16.5" hidden="1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313">
        <f>参数调整!$K$37*怪物掉落配置方案!$D4202</f>
        <v>3.1096309827528855E-4</v>
      </c>
    </row>
    <row r="6255" spans="1:4" ht="16.5" hidden="1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313">
        <f>参数调整!$K$37*怪物掉落配置方案!$D4203</f>
        <v>3.4751712778683275E-4</v>
      </c>
    </row>
    <row r="6256" spans="1:4" ht="16.5" hidden="1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313">
        <f>参数调整!$K$37*怪物掉落配置方案!$D4204</f>
        <v>4.0615588346160135E-4</v>
      </c>
    </row>
    <row r="6257" spans="1:4" ht="16.5" hidden="1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313">
        <f>参数调整!$K$37*怪物掉落配置方案!$D4205</f>
        <v>4.6936389282531302E-4</v>
      </c>
    </row>
    <row r="6258" spans="1:4" ht="16.5" hidden="1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313">
        <f>参数调整!$K$37*怪物掉落配置方案!$D4206</f>
        <v>5.3714115587796785E-4</v>
      </c>
    </row>
    <row r="6259" spans="1:4" ht="16.5" hidden="1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313">
        <f>参数调整!$K$37*怪物掉落配置方案!$D4207</f>
        <v>6.0948767261956576E-4</v>
      </c>
    </row>
    <row r="6260" spans="1:4" ht="16.5" hidden="1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313">
        <f>参数调整!$K$37*怪物掉落配置方案!$D4208</f>
        <v>6.864034430501064E-4</v>
      </c>
    </row>
    <row r="6261" spans="1:4" ht="16.5" hidden="1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313">
        <f>参数调整!$K$37*怪物掉落配置方案!$D4209</f>
        <v>7.6788846716959022E-4</v>
      </c>
    </row>
    <row r="6262" spans="1:4" ht="16.5" hidden="1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313">
        <f>参数调整!$K$37*怪物掉落配置方案!$D4210</f>
        <v>8.5394274497801678E-4</v>
      </c>
    </row>
    <row r="6263" spans="1:4" ht="16.5" hidden="1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313">
        <f>参数调整!$K$37*怪物掉落配置方案!$D4211</f>
        <v>9.4456627647538662E-4</v>
      </c>
    </row>
    <row r="6264" spans="1:4" ht="16.5" hidden="1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313">
        <f>参数调整!$K$37*怪物掉落配置方案!$D4212</f>
        <v>1.0397590616616997E-3</v>
      </c>
    </row>
    <row r="6265" spans="1:4" ht="16.5" hidden="1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313">
        <f>参数调整!$K$37*怪物掉落配置方案!$D4213</f>
        <v>1.1395211005369554E-3</v>
      </c>
    </row>
    <row r="6266" spans="1:4" ht="16.5" hidden="1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313">
        <f>参数调整!$K$37*怪物掉落配置方案!$D4214</f>
        <v>1.2438523931011544E-3</v>
      </c>
    </row>
    <row r="6267" spans="1:4" ht="16.5" hidden="1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313">
        <f>参数调整!$K$37*怪物掉落配置方案!$D4215</f>
        <v>0</v>
      </c>
    </row>
    <row r="6268" spans="1:4" ht="16.5" hidden="1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313">
        <f>参数调整!$K$37*怪物掉落配置方案!$D4216</f>
        <v>0</v>
      </c>
    </row>
    <row r="6269" spans="1:4" ht="16.5" hidden="1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313">
        <f>参数调整!$K$37*怪物掉落配置方案!$D4217</f>
        <v>0</v>
      </c>
    </row>
    <row r="6270" spans="1:4" ht="16.5" hidden="1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313">
        <f>参数调整!$K$37*怪物掉落配置方案!$D4218</f>
        <v>0</v>
      </c>
    </row>
    <row r="6271" spans="1:4" ht="16.5" hidden="1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313">
        <f>参数调整!$K$37*怪物掉落配置方案!$D4219</f>
        <v>0</v>
      </c>
    </row>
    <row r="6272" spans="1:4" ht="16.5" hidden="1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313">
        <f>参数调整!$K$37*怪物掉落配置方案!$D4220</f>
        <v>0</v>
      </c>
    </row>
    <row r="6273" spans="1:4" ht="16.5" hidden="1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313">
        <f>参数调整!$K$37*怪物掉落配置方案!$D4221</f>
        <v>0</v>
      </c>
    </row>
    <row r="6274" spans="1:4" ht="16.5" hidden="1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313">
        <f>参数调整!$K$37*怪物掉落配置方案!$D4222</f>
        <v>0</v>
      </c>
    </row>
    <row r="6275" spans="1:4" ht="16.5" hidden="1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313">
        <f>参数调整!$K$37*怪物掉落配置方案!$D4223</f>
        <v>0</v>
      </c>
    </row>
    <row r="6276" spans="1:4" ht="16.5" hidden="1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313">
        <f>参数调整!$K$37*怪物掉落配置方案!$D4224</f>
        <v>0</v>
      </c>
    </row>
    <row r="6277" spans="1:4" ht="16.5" hidden="1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313">
        <f>参数调整!$K$37*怪物掉落配置方案!$D4225</f>
        <v>0</v>
      </c>
    </row>
    <row r="6278" spans="1:4" ht="16.5" hidden="1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313">
        <f>参数调整!$K$37*怪物掉落配置方案!$D4226</f>
        <v>0</v>
      </c>
    </row>
    <row r="6279" spans="1:4" ht="16.5" hidden="1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313">
        <f>参数调整!$K$37*怪物掉落配置方案!$D4227</f>
        <v>0</v>
      </c>
    </row>
    <row r="6280" spans="1:4" ht="16.5" hidden="1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313">
        <f>参数调整!$K$37*怪物掉落配置方案!$D4228</f>
        <v>0</v>
      </c>
    </row>
    <row r="6281" spans="1:4" ht="16.5" hidden="1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313">
        <f>参数调整!$K$37*怪物掉落配置方案!$D4229</f>
        <v>0</v>
      </c>
    </row>
    <row r="6282" spans="1:4" ht="16.5" hidden="1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313">
        <f>参数调整!$K$37*怪物掉落配置方案!$D4230</f>
        <v>0</v>
      </c>
    </row>
    <row r="6283" spans="1:4" ht="16.5" hidden="1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313">
        <f>参数调整!$K$37*怪物掉落配置方案!$D4231</f>
        <v>0</v>
      </c>
    </row>
    <row r="6284" spans="1:4" ht="16.5" hidden="1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313">
        <f>参数调整!$K$37*怪物掉落配置方案!$D4232</f>
        <v>0</v>
      </c>
    </row>
    <row r="6285" spans="1:4" ht="16.5" hidden="1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313">
        <f>参数调整!$K$37*怪物掉落配置方案!$D4233</f>
        <v>0</v>
      </c>
    </row>
    <row r="6286" spans="1:4" ht="16.5" hidden="1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313">
        <f>参数调整!$K$37*怪物掉落配置方案!$D4234</f>
        <v>0</v>
      </c>
    </row>
    <row r="6287" spans="1:4" ht="16.5" hidden="1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313">
        <f>参数调整!$K$37*怪物掉落配置方案!$D4235</f>
        <v>0</v>
      </c>
    </row>
    <row r="6288" spans="1:4" ht="16.5" hidden="1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313">
        <f>参数调整!$K$37*怪物掉落配置方案!$D4236</f>
        <v>0</v>
      </c>
    </row>
    <row r="6289" spans="1:4" ht="16.5" hidden="1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313">
        <f>参数调整!$K$37*怪物掉落配置方案!$D4237</f>
        <v>0</v>
      </c>
    </row>
    <row r="6290" spans="1:4" ht="16.5" hidden="1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313">
        <f>参数调整!$K$37*怪物掉落配置方案!$D4238</f>
        <v>0</v>
      </c>
    </row>
    <row r="6291" spans="1:4" ht="16.5" hidden="1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313">
        <f>参数调整!$K$37*怪物掉落配置方案!$D4239</f>
        <v>0</v>
      </c>
    </row>
    <row r="6292" spans="1:4" ht="16.5" hidden="1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313">
        <f>参数调整!$K$37*怪物掉落配置方案!$D4240</f>
        <v>0</v>
      </c>
    </row>
    <row r="6293" spans="1:4" ht="16.5" hidden="1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313">
        <f>参数调整!$K$37*怪物掉落配置方案!$D4241</f>
        <v>0</v>
      </c>
    </row>
    <row r="6294" spans="1:4" ht="16.5" hidden="1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313">
        <f>参数调整!$K$37*怪物掉落配置方案!$D4242</f>
        <v>0</v>
      </c>
    </row>
    <row r="6295" spans="1:4" ht="16.5" hidden="1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313">
        <f>参数调整!$K$37*怪物掉落配置方案!$D4243</f>
        <v>0</v>
      </c>
    </row>
    <row r="6296" spans="1:4" ht="16.5" hidden="1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313">
        <f>参数调整!$K$37*怪物掉落配置方案!$D4244</f>
        <v>0</v>
      </c>
    </row>
    <row r="6297" spans="1:4" ht="16.5" hidden="1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313">
        <f>参数调整!$K$37*怪物掉落配置方案!$D4245</f>
        <v>0</v>
      </c>
    </row>
    <row r="6298" spans="1:4" ht="16.5" hidden="1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313">
        <f>参数调整!$K$37*怪物掉落配置方案!$D4246</f>
        <v>0</v>
      </c>
    </row>
    <row r="6299" spans="1:4" ht="16.5" hidden="1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313">
        <f>参数调整!$K$37*怪物掉落配置方案!$D4247</f>
        <v>0</v>
      </c>
    </row>
    <row r="6300" spans="1:4" ht="16.5" hidden="1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313">
        <f>参数调整!$K$37*怪物掉落配置方案!$D4248</f>
        <v>0</v>
      </c>
    </row>
    <row r="6301" spans="1:4" ht="16.5" hidden="1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313">
        <f>参数调整!$K$37*怪物掉落配置方案!$D4249</f>
        <v>0</v>
      </c>
    </row>
    <row r="6302" spans="1:4" ht="16.5" hidden="1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313">
        <f>参数调整!$K$37*怪物掉落配置方案!$D4250</f>
        <v>0</v>
      </c>
    </row>
    <row r="6303" spans="1:4" ht="16.5" hidden="1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313">
        <f>参数调整!$K$37*怪物掉落配置方案!$D4251</f>
        <v>0</v>
      </c>
    </row>
    <row r="6304" spans="1:4" ht="16.5" hidden="1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313">
        <f>参数调整!$K$37*怪物掉落配置方案!$D4252</f>
        <v>0</v>
      </c>
    </row>
    <row r="6305" spans="1:4" ht="16.5" hidden="1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313">
        <f>参数调整!$K$37*怪物掉落配置方案!$D4253</f>
        <v>0</v>
      </c>
    </row>
    <row r="6306" spans="1:4" ht="16.5" hidden="1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313">
        <f>参数调整!$K$37*怪物掉落配置方案!$D4254</f>
        <v>0</v>
      </c>
    </row>
    <row r="6307" spans="1:4" ht="16.5" hidden="1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313">
        <f>参数调整!$K$37*怪物掉落配置方案!$D4255</f>
        <v>0</v>
      </c>
    </row>
    <row r="6308" spans="1:4" ht="16.5" hidden="1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313">
        <f>参数调整!$K$37*怪物掉落配置方案!$D4256</f>
        <v>0</v>
      </c>
    </row>
    <row r="6309" spans="1:4" ht="16.5" hidden="1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313">
        <f>参数调整!$K$37*怪物掉落配置方案!$D4257</f>
        <v>0</v>
      </c>
    </row>
    <row r="6310" spans="1:4" ht="16.5" hidden="1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313">
        <f>参数调整!$K$37*怪物掉落配置方案!$D4258</f>
        <v>0</v>
      </c>
    </row>
    <row r="6311" spans="1:4" ht="16.5" hidden="1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313">
        <f>参数调整!$K$37*怪物掉落配置方案!$D4259</f>
        <v>0</v>
      </c>
    </row>
    <row r="6312" spans="1:4" ht="16.5" hidden="1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313">
        <f>参数调整!$K$37*怪物掉落配置方案!$D4260</f>
        <v>0</v>
      </c>
    </row>
    <row r="6313" spans="1:4" ht="16.5" hidden="1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313">
        <f>参数调整!$K$37*怪物掉落配置方案!$D4261</f>
        <v>0</v>
      </c>
    </row>
    <row r="6314" spans="1:4" ht="16.5" hidden="1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313">
        <f>参数调整!$K$37*怪物掉落配置方案!$D4262</f>
        <v>0</v>
      </c>
    </row>
    <row r="6315" spans="1:4" ht="16.5" hidden="1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313">
        <f>参数调整!$K$37*怪物掉落配置方案!$D4263</f>
        <v>0</v>
      </c>
    </row>
    <row r="6316" spans="1:4" ht="16.5" hidden="1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313">
        <f>参数调整!$K$37*怪物掉落配置方案!$D4264</f>
        <v>0</v>
      </c>
    </row>
    <row r="6317" spans="1:4" ht="16.5" hidden="1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313">
        <f>参数调整!$K$37*怪物掉落配置方案!$D4265</f>
        <v>0</v>
      </c>
    </row>
    <row r="6318" spans="1:4" ht="16.5" hidden="1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313">
        <f>参数调整!$K$37*怪物掉落配置方案!$D4266</f>
        <v>0</v>
      </c>
    </row>
    <row r="6319" spans="1:4" ht="16.5" hidden="1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313">
        <f>参数调整!$K$37*怪物掉落配置方案!$D4267</f>
        <v>0</v>
      </c>
    </row>
    <row r="6320" spans="1:4" ht="16.5" hidden="1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313">
        <f>参数调整!$K$37*怪物掉落配置方案!$D4268</f>
        <v>0</v>
      </c>
    </row>
    <row r="6321" spans="1:4" ht="16.5" hidden="1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313">
        <f>参数调整!$K$37*怪物掉落配置方案!$D4269</f>
        <v>0</v>
      </c>
    </row>
    <row r="6322" spans="1:4" ht="16.5" hidden="1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313">
        <f>参数调整!$K$37*怪物掉落配置方案!$D4270</f>
        <v>0</v>
      </c>
    </row>
    <row r="6323" spans="1:4" ht="16.5" hidden="1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313">
        <f>参数调整!$K$37*怪物掉落配置方案!$D4271</f>
        <v>0</v>
      </c>
    </row>
    <row r="6324" spans="1:4" ht="16.5" hidden="1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313">
        <f>参数调整!$K$37*怪物掉落配置方案!$D4272</f>
        <v>0</v>
      </c>
    </row>
    <row r="6325" spans="1:4" ht="16.5" hidden="1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313">
        <f>参数调整!$K$37*怪物掉落配置方案!$D4273</f>
        <v>0</v>
      </c>
    </row>
    <row r="6326" spans="1:4" ht="16.5" hidden="1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313">
        <f>参数调整!$K$37*怪物掉落配置方案!$D4274</f>
        <v>0</v>
      </c>
    </row>
    <row r="6327" spans="1:4" ht="16.5" hidden="1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313">
        <f>参数调整!$K$37*怪物掉落配置方案!$D4275</f>
        <v>0</v>
      </c>
    </row>
    <row r="6328" spans="1:4" ht="16.5" hidden="1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313">
        <f>参数调整!$K$37*怪物掉落配置方案!$D4276</f>
        <v>0</v>
      </c>
    </row>
    <row r="6329" spans="1:4" ht="16.5" hidden="1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313">
        <f>参数调整!$K$37*怪物掉落配置方案!$D4277</f>
        <v>0</v>
      </c>
    </row>
    <row r="6330" spans="1:4" ht="16.5" hidden="1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313">
        <f>参数调整!$K$37*怪物掉落配置方案!$D4278</f>
        <v>0</v>
      </c>
    </row>
    <row r="6331" spans="1:4" ht="16.5" hidden="1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313">
        <f>参数调整!$K$37*怪物掉落配置方案!$D4279</f>
        <v>0</v>
      </c>
    </row>
    <row r="6332" spans="1:4" ht="16.5" hidden="1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313">
        <f>参数调整!$K$37*怪物掉落配置方案!$D4280</f>
        <v>0</v>
      </c>
    </row>
    <row r="6333" spans="1:4" ht="16.5" hidden="1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313">
        <f>参数调整!$K$37*怪物掉落配置方案!$D4281</f>
        <v>0</v>
      </c>
    </row>
    <row r="6334" spans="1:4" ht="16.5" hidden="1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313">
        <f>参数调整!$K$37*怪物掉落配置方案!$D4282</f>
        <v>0</v>
      </c>
    </row>
    <row r="6335" spans="1:4" ht="16.5" hidden="1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313">
        <f>参数调整!$K$37*怪物掉落配置方案!$D4283</f>
        <v>0</v>
      </c>
    </row>
    <row r="6336" spans="1:4" ht="16.5" hidden="1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313">
        <f>参数调整!$K$37*怪物掉落配置方案!$D4284</f>
        <v>0</v>
      </c>
    </row>
    <row r="6337" spans="1:4" ht="16.5" hidden="1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313">
        <f>参数调整!$K$37*怪物掉落配置方案!$D4285</f>
        <v>0</v>
      </c>
    </row>
    <row r="6338" spans="1:4" ht="16.5" hidden="1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313">
        <f>参数调整!$K$37*怪物掉落配置方案!$D4286</f>
        <v>0</v>
      </c>
    </row>
    <row r="6339" spans="1:4" ht="16.5" hidden="1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313">
        <f>参数调整!$K$37*怪物掉落配置方案!$D4287</f>
        <v>0</v>
      </c>
    </row>
    <row r="6340" spans="1:4" ht="16.5" hidden="1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313">
        <f>参数调整!$K$37*怪物掉落配置方案!$D4288</f>
        <v>0</v>
      </c>
    </row>
    <row r="6341" spans="1:4" ht="16.5" hidden="1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313">
        <f>参数调整!$K$37*怪物掉落配置方案!$D4289</f>
        <v>0</v>
      </c>
    </row>
    <row r="6342" spans="1:4" ht="16.5" hidden="1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313">
        <f>参数调整!$K$37*怪物掉落配置方案!$D4290</f>
        <v>0</v>
      </c>
    </row>
    <row r="6343" spans="1:4" ht="16.5" hidden="1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313">
        <f>参数调整!$K$37*怪物掉落配置方案!$D4291</f>
        <v>0</v>
      </c>
    </row>
    <row r="6344" spans="1:4" ht="16.5" hidden="1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313">
        <f>参数调整!$K$37*怪物掉落配置方案!$D4292</f>
        <v>0</v>
      </c>
    </row>
    <row r="6345" spans="1:4" ht="16.5" hidden="1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313">
        <f>参数调整!$K$37*怪物掉落配置方案!$D4293</f>
        <v>0</v>
      </c>
    </row>
    <row r="6346" spans="1:4" ht="16.5" hidden="1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313">
        <f>参数调整!$K$37*怪物掉落配置方案!$D4294</f>
        <v>0</v>
      </c>
    </row>
    <row r="6347" spans="1:4" ht="16.5" hidden="1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313">
        <f>参数调整!$K$37*怪物掉落配置方案!$D4295</f>
        <v>0</v>
      </c>
    </row>
    <row r="6348" spans="1:4" ht="16.5" hidden="1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313">
        <f>参数调整!$K$37*怪物掉落配置方案!$D4296</f>
        <v>0</v>
      </c>
    </row>
    <row r="6349" spans="1:4" ht="16.5" hidden="1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313">
        <f>参数调整!$K$37*怪物掉落配置方案!$D4297</f>
        <v>0</v>
      </c>
    </row>
    <row r="6350" spans="1:4" ht="16.5" hidden="1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313">
        <f>参数调整!$K$37*怪物掉落配置方案!$D4298</f>
        <v>0</v>
      </c>
    </row>
    <row r="6351" spans="1:4" ht="16.5" hidden="1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313">
        <f>参数调整!$K$37*怪物掉落配置方案!$D4299</f>
        <v>0</v>
      </c>
    </row>
    <row r="6352" spans="1:4" ht="16.5" hidden="1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313">
        <f>参数调整!$K$37*怪物掉落配置方案!$D4300</f>
        <v>0</v>
      </c>
    </row>
    <row r="6353" spans="1:4" ht="16.5" hidden="1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313">
        <f>参数调整!$K$37*怪物掉落配置方案!$D4301</f>
        <v>0</v>
      </c>
    </row>
    <row r="6354" spans="1:4" ht="16.5" hidden="1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313">
        <f>参数调整!$K$37*怪物掉落配置方案!$D4302</f>
        <v>0</v>
      </c>
    </row>
    <row r="6355" spans="1:4" ht="16.5" hidden="1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313">
        <f>参数调整!$K$37*怪物掉落配置方案!$D4303</f>
        <v>0</v>
      </c>
    </row>
    <row r="6356" spans="1:4" ht="16.5" hidden="1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313">
        <f>参数调整!$K$37*怪物掉落配置方案!$D4304</f>
        <v>0</v>
      </c>
    </row>
    <row r="6357" spans="1:4" ht="16.5" hidden="1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313">
        <f>参数调整!$K$37*怪物掉落配置方案!$D4305</f>
        <v>0</v>
      </c>
    </row>
    <row r="6358" spans="1:4" ht="16.5" hidden="1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313">
        <f>参数调整!$K$37*怪物掉落配置方案!$D4306</f>
        <v>0</v>
      </c>
    </row>
    <row r="6359" spans="1:4" ht="16.5" hidden="1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313">
        <f>参数调整!$K$37*怪物掉落配置方案!$D4307</f>
        <v>0</v>
      </c>
    </row>
    <row r="6360" spans="1:4" ht="16.5" hidden="1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313">
        <f>参数调整!$K$37*怪物掉落配置方案!$D4308</f>
        <v>0</v>
      </c>
    </row>
    <row r="6361" spans="1:4" ht="16.5" hidden="1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313">
        <f>参数调整!$K$37*怪物掉落配置方案!$D4309</f>
        <v>0</v>
      </c>
    </row>
    <row r="6362" spans="1:4" ht="16.5" hidden="1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313">
        <f>参数调整!$K$37*怪物掉落配置方案!$D4310</f>
        <v>0</v>
      </c>
    </row>
    <row r="6363" spans="1:4" ht="16.5" hidden="1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313">
        <f>参数调整!$K$37*怪物掉落配置方案!$D4311</f>
        <v>0</v>
      </c>
    </row>
    <row r="6364" spans="1:4" ht="16.5" hidden="1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313">
        <f>参数调整!$K$37*怪物掉落配置方案!$D4312</f>
        <v>0</v>
      </c>
    </row>
    <row r="6365" spans="1:4" ht="16.5" hidden="1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313">
        <f>参数调整!$K$37*怪物掉落配置方案!$D4313</f>
        <v>0</v>
      </c>
    </row>
    <row r="6366" spans="1:4" ht="16.5" hidden="1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313">
        <f>参数调整!$K$37*怪物掉落配置方案!$D4314</f>
        <v>0</v>
      </c>
    </row>
    <row r="6367" spans="1:4" ht="16.5" hidden="1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313">
        <f>参数调整!$K$37*怪物掉落配置方案!$D4315</f>
        <v>0</v>
      </c>
    </row>
    <row r="6368" spans="1:4" ht="16.5" hidden="1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313">
        <f>参数调整!$K$37*怪物掉落配置方案!$D4316</f>
        <v>0</v>
      </c>
    </row>
    <row r="6369" spans="1:4" ht="16.5" hidden="1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313">
        <f>参数调整!$K$37*怪物掉落配置方案!$D4317</f>
        <v>0</v>
      </c>
    </row>
    <row r="6370" spans="1:4" ht="16.5" hidden="1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313">
        <f>参数调整!$K$37*怪物掉落配置方案!$D4318</f>
        <v>0</v>
      </c>
    </row>
    <row r="6371" spans="1:4" ht="16.5" hidden="1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313">
        <f>参数调整!$K$37*怪物掉落配置方案!$D4319</f>
        <v>0</v>
      </c>
    </row>
    <row r="6372" spans="1:4" ht="16.5" hidden="1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313">
        <f>参数调整!$K$37*怪物掉落配置方案!$D4320</f>
        <v>0</v>
      </c>
    </row>
    <row r="6373" spans="1:4" ht="16.5" hidden="1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313">
        <f>参数调整!$K$37*怪物掉落配置方案!$D4321</f>
        <v>0</v>
      </c>
    </row>
    <row r="6374" spans="1:4" ht="16.5" hidden="1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313">
        <f>参数调整!$K$37*怪物掉落配置方案!$D4322</f>
        <v>0</v>
      </c>
    </row>
    <row r="6375" spans="1:4" ht="16.5" hidden="1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313">
        <f>参数调整!$K$37*怪物掉落配置方案!$D4323</f>
        <v>0</v>
      </c>
    </row>
    <row r="6376" spans="1:4" ht="16.5" hidden="1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313">
        <f>参数调整!$K$37*怪物掉落配置方案!$D4324</f>
        <v>0</v>
      </c>
    </row>
    <row r="6377" spans="1:4" ht="16.5" hidden="1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313">
        <f>参数调整!$K$37*怪物掉落配置方案!$D4325</f>
        <v>0</v>
      </c>
    </row>
    <row r="6378" spans="1:4" ht="16.5" hidden="1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313">
        <f>参数调整!$K$37*怪物掉落配置方案!$D4326</f>
        <v>0</v>
      </c>
    </row>
    <row r="6379" spans="1:4" ht="16.5" hidden="1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313">
        <f>参数调整!$K$37*怪物掉落配置方案!$D4327</f>
        <v>0</v>
      </c>
    </row>
    <row r="6380" spans="1:4" ht="16.5" hidden="1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313">
        <f>参数调整!$K$37*怪物掉落配置方案!$D4328</f>
        <v>0</v>
      </c>
    </row>
    <row r="6381" spans="1:4" ht="16.5" hidden="1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313">
        <f>参数调整!$K$37*怪物掉落配置方案!$D4329</f>
        <v>0</v>
      </c>
    </row>
    <row r="6382" spans="1:4" ht="16.5" hidden="1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313">
        <f>参数调整!$K$37*怪物掉落配置方案!$D4330</f>
        <v>0</v>
      </c>
    </row>
    <row r="6383" spans="1:4" ht="16.5" hidden="1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313">
        <f>参数调整!$K$37*怪物掉落配置方案!$D4331</f>
        <v>0</v>
      </c>
    </row>
    <row r="6384" spans="1:4" ht="16.5" hidden="1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313">
        <f>参数调整!$K$37*怪物掉落配置方案!$D4332</f>
        <v>0</v>
      </c>
    </row>
    <row r="6385" spans="1:4" ht="16.5" hidden="1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313">
        <f>参数调整!$K$37*怪物掉落配置方案!$D4333</f>
        <v>0</v>
      </c>
    </row>
    <row r="6386" spans="1:4" ht="16.5" hidden="1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313">
        <f>参数调整!$K$37*怪物掉落配置方案!$D4334</f>
        <v>0</v>
      </c>
    </row>
    <row r="6387" spans="1:4" ht="16.5" hidden="1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313">
        <f>参数调整!$K$37*怪物掉落配置方案!$D4335</f>
        <v>0</v>
      </c>
    </row>
    <row r="6388" spans="1:4" ht="16.5" hidden="1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313">
        <f>参数调整!$K$37*怪物掉落配置方案!$D4336</f>
        <v>0</v>
      </c>
    </row>
    <row r="6389" spans="1:4" ht="16.5" hidden="1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313">
        <f>参数调整!$K$37*怪物掉落配置方案!$D4337</f>
        <v>0</v>
      </c>
    </row>
    <row r="6390" spans="1:4" ht="16.5" hidden="1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313">
        <f>参数调整!$K$37*怪物掉落配置方案!$D4338</f>
        <v>0</v>
      </c>
    </row>
    <row r="6391" spans="1:4" ht="16.5" hidden="1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313">
        <f>参数调整!$K$37*怪物掉落配置方案!$D4339</f>
        <v>0</v>
      </c>
    </row>
    <row r="6392" spans="1:4" ht="16.5" hidden="1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313">
        <f>参数调整!$K$37*怪物掉落配置方案!$D4340</f>
        <v>0</v>
      </c>
    </row>
    <row r="6393" spans="1:4" ht="16.5" hidden="1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313">
        <f>参数调整!$K$37*怪物掉落配置方案!$D4341</f>
        <v>0</v>
      </c>
    </row>
    <row r="6394" spans="1:4" ht="16.5" hidden="1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313">
        <f>参数调整!$K$37*怪物掉落配置方案!$D4342</f>
        <v>0</v>
      </c>
    </row>
    <row r="6395" spans="1:4" ht="16.5" hidden="1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313">
        <f>参数调整!$K$37*怪物掉落配置方案!$D4343</f>
        <v>0</v>
      </c>
    </row>
    <row r="6396" spans="1:4" ht="16.5" hidden="1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313">
        <f>参数调整!$K$37*怪物掉落配置方案!$D4344</f>
        <v>0</v>
      </c>
    </row>
    <row r="6397" spans="1:4" ht="16.5" hidden="1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313">
        <f>参数调整!$K$37*怪物掉落配置方案!$D4345</f>
        <v>0</v>
      </c>
    </row>
    <row r="6398" spans="1:4" ht="16.5" hidden="1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313">
        <f>参数调整!$K$37*怪物掉落配置方案!$D4346</f>
        <v>0</v>
      </c>
    </row>
    <row r="6399" spans="1:4" ht="16.5" hidden="1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313">
        <f>参数调整!$K$37*怪物掉落配置方案!$D4347</f>
        <v>0</v>
      </c>
    </row>
    <row r="6400" spans="1:4" ht="16.5" hidden="1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313">
        <f>参数调整!$K$37*怪物掉落配置方案!$D4348</f>
        <v>0</v>
      </c>
    </row>
    <row r="6401" spans="1:4" ht="16.5" hidden="1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313">
        <f>参数调整!$K$37*怪物掉落配置方案!$D4349</f>
        <v>0</v>
      </c>
    </row>
    <row r="6402" spans="1:4" ht="16.5" hidden="1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313">
        <f>参数调整!$K$37*怪物掉落配置方案!$D4350</f>
        <v>0</v>
      </c>
    </row>
    <row r="6403" spans="1:4" ht="16.5" hidden="1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313">
        <f>参数调整!$K$37*怪物掉落配置方案!$D4351</f>
        <v>0</v>
      </c>
    </row>
    <row r="6404" spans="1:4" ht="16.5" hidden="1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313">
        <f>参数调整!$K$37*怪物掉落配置方案!$D4352</f>
        <v>0</v>
      </c>
    </row>
    <row r="6405" spans="1:4" ht="16.5" hidden="1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313">
        <f>参数调整!$K$37*怪物掉落配置方案!$D4353</f>
        <v>0</v>
      </c>
    </row>
    <row r="6406" spans="1:4" ht="16.5" hidden="1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313">
        <f>参数调整!$K$37*怪物掉落配置方案!$D4354</f>
        <v>0</v>
      </c>
    </row>
    <row r="6407" spans="1:4" ht="16.5" hidden="1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313">
        <f>参数调整!$K$37*怪物掉落配置方案!$D4355</f>
        <v>0</v>
      </c>
    </row>
    <row r="6408" spans="1:4" ht="16.5" hidden="1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313">
        <f>参数调整!$K$37*怪物掉落配置方案!$D4356</f>
        <v>0</v>
      </c>
    </row>
    <row r="6409" spans="1:4" ht="16.5" hidden="1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313">
        <f>参数调整!$K$37*怪物掉落配置方案!$D4357</f>
        <v>0</v>
      </c>
    </row>
    <row r="6410" spans="1:4" ht="16.5" hidden="1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313">
        <f>参数调整!$K$37*怪物掉落配置方案!$D4358</f>
        <v>0</v>
      </c>
    </row>
    <row r="6411" spans="1:4" ht="16.5" hidden="1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313">
        <f>参数调整!$K$37*怪物掉落配置方案!$D4359</f>
        <v>0</v>
      </c>
    </row>
    <row r="6412" spans="1:4" ht="16.5" hidden="1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313">
        <f>参数调整!$K$37*怪物掉落配置方案!$D4360</f>
        <v>0</v>
      </c>
    </row>
    <row r="6413" spans="1:4" ht="16.5" hidden="1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313">
        <f>参数调整!$K$37*怪物掉落配置方案!$D4361</f>
        <v>0</v>
      </c>
    </row>
    <row r="6414" spans="1:4" ht="16.5" hidden="1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313">
        <f>参数调整!$K$37*怪物掉落配置方案!$D4362</f>
        <v>0</v>
      </c>
    </row>
    <row r="6415" spans="1:4" ht="16.5" hidden="1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313">
        <f>参数调整!$K$37*怪物掉落配置方案!$D4363</f>
        <v>0</v>
      </c>
    </row>
    <row r="6416" spans="1:4" ht="16.5" hidden="1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313">
        <f>参数调整!$K$37*怪物掉落配置方案!$D4364</f>
        <v>0</v>
      </c>
    </row>
    <row r="6417" spans="1:4" ht="16.5" hidden="1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313">
        <f>参数调整!$K$37*怪物掉落配置方案!$D4365</f>
        <v>0</v>
      </c>
    </row>
    <row r="6418" spans="1:4" ht="16.5" hidden="1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313">
        <f>参数调整!$K$37*怪物掉落配置方案!$D4366</f>
        <v>0</v>
      </c>
    </row>
    <row r="6419" spans="1:4" ht="16.5" hidden="1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313">
        <f>参数调整!$K$37*怪物掉落配置方案!$D4367</f>
        <v>0</v>
      </c>
    </row>
    <row r="6420" spans="1:4" ht="16.5" hidden="1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313">
        <f>参数调整!$K$37*怪物掉落配置方案!$D4368</f>
        <v>0</v>
      </c>
    </row>
    <row r="6421" spans="1:4" ht="16.5" hidden="1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313">
        <f>参数调整!$K$37*怪物掉落配置方案!$D4369</f>
        <v>0</v>
      </c>
    </row>
    <row r="6422" spans="1:4" ht="16.5" hidden="1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313">
        <f>参数调整!$K$37*怪物掉落配置方案!$D4370</f>
        <v>0</v>
      </c>
    </row>
    <row r="6423" spans="1:4" ht="16.5" hidden="1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313">
        <f>参数调整!$K$37*怪物掉落配置方案!$D4371</f>
        <v>0</v>
      </c>
    </row>
    <row r="6424" spans="1:4" ht="16.5" hidden="1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313">
        <f>参数调整!$K$37*怪物掉落配置方案!$D4372</f>
        <v>0</v>
      </c>
    </row>
    <row r="6425" spans="1:4" ht="16.5" hidden="1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313">
        <f>参数调整!$K$37*怪物掉落配置方案!$D4373</f>
        <v>0</v>
      </c>
    </row>
    <row r="6426" spans="1:4" ht="16.5" hidden="1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313">
        <f>参数调整!$K$37*怪物掉落配置方案!$D4374</f>
        <v>0</v>
      </c>
    </row>
    <row r="6427" spans="1:4" ht="16.5" hidden="1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313">
        <f>参数调整!$K$37*怪物掉落配置方案!$D4375</f>
        <v>0</v>
      </c>
    </row>
    <row r="6428" spans="1:4" ht="16.5" hidden="1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313">
        <f>参数调整!$K$37*怪物掉落配置方案!$D4376</f>
        <v>0</v>
      </c>
    </row>
    <row r="6429" spans="1:4" ht="16.5" hidden="1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313">
        <f>参数调整!$K$37*怪物掉落配置方案!$D4377</f>
        <v>0</v>
      </c>
    </row>
    <row r="6430" spans="1:4" ht="16.5" hidden="1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313">
        <f>参数调整!$K$37*怪物掉落配置方案!$D4378</f>
        <v>0</v>
      </c>
    </row>
    <row r="6431" spans="1:4" ht="16.5" hidden="1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313">
        <f>参数调整!$K$37*怪物掉落配置方案!$D4379</f>
        <v>0</v>
      </c>
    </row>
    <row r="6432" spans="1:4" ht="16.5" hidden="1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313">
        <f>参数调整!$K$37*怪物掉落配置方案!$D4380</f>
        <v>0</v>
      </c>
    </row>
    <row r="6433" spans="1:4" ht="16.5" hidden="1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313">
        <f>参数调整!$K$37*怪物掉落配置方案!$D4381</f>
        <v>0</v>
      </c>
    </row>
    <row r="6434" spans="1:4" ht="16.5" hidden="1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313">
        <f>参数调整!$K$37*怪物掉落配置方案!$D4382</f>
        <v>0</v>
      </c>
    </row>
    <row r="6435" spans="1:4" ht="16.5" hidden="1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313">
        <f>参数调整!$K$37*怪物掉落配置方案!$D4383</f>
        <v>0</v>
      </c>
    </row>
    <row r="6436" spans="1:4" ht="16.5" hidden="1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313">
        <f>参数调整!$K$37*怪物掉落配置方案!$D4384</f>
        <v>0</v>
      </c>
    </row>
    <row r="6437" spans="1:4" ht="16.5" hidden="1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313">
        <f>参数调整!$K$37*怪物掉落配置方案!$D4385</f>
        <v>0</v>
      </c>
    </row>
    <row r="6438" spans="1:4" ht="16.5" hidden="1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313">
        <f>参数调整!$K$37*怪物掉落配置方案!$D4386</f>
        <v>0</v>
      </c>
    </row>
    <row r="6439" spans="1:4" ht="16.5" hidden="1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313">
        <f>参数调整!$K$37*怪物掉落配置方案!$D4387</f>
        <v>0</v>
      </c>
    </row>
    <row r="6440" spans="1:4" ht="16.5" hidden="1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313">
        <f>参数调整!$K$37*怪物掉落配置方案!$D4388</f>
        <v>0</v>
      </c>
    </row>
    <row r="6441" spans="1:4" ht="16.5" hidden="1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313">
        <f>参数调整!$K$37*怪物掉落配置方案!$D4389</f>
        <v>0</v>
      </c>
    </row>
    <row r="6442" spans="1:4" ht="16.5" hidden="1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313">
        <f>参数调整!$K$37*怪物掉落配置方案!$D4390</f>
        <v>0</v>
      </c>
    </row>
    <row r="6443" spans="1:4" ht="16.5" hidden="1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313">
        <f>参数调整!$K$37*怪物掉落配置方案!$D4391</f>
        <v>0</v>
      </c>
    </row>
    <row r="6444" spans="1:4" ht="16.5" hidden="1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313">
        <f>参数调整!$K$37*怪物掉落配置方案!$D4392</f>
        <v>0</v>
      </c>
    </row>
    <row r="6445" spans="1:4" ht="16.5" hidden="1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313">
        <f>参数调整!$K$37*怪物掉落配置方案!$D4393</f>
        <v>0</v>
      </c>
    </row>
    <row r="6446" spans="1:4" ht="16.5" hidden="1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313">
        <f>参数调整!$K$37*怪物掉落配置方案!$D4394</f>
        <v>0</v>
      </c>
    </row>
    <row r="6447" spans="1:4" ht="16.5" hidden="1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313">
        <f>参数调整!$K$37*怪物掉落配置方案!$D4395</f>
        <v>0</v>
      </c>
    </row>
    <row r="6448" spans="1:4" ht="16.5" hidden="1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313">
        <f>参数调整!$K$37*怪物掉落配置方案!$D4396</f>
        <v>0</v>
      </c>
    </row>
    <row r="6449" spans="1:4" ht="16.5" hidden="1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313">
        <f>参数调整!$K$37*怪物掉落配置方案!$D4397</f>
        <v>0</v>
      </c>
    </row>
    <row r="6450" spans="1:4" ht="16.5" hidden="1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313">
        <f>参数调整!$K$37*怪物掉落配置方案!$D4398</f>
        <v>0</v>
      </c>
    </row>
    <row r="6451" spans="1:4" ht="16.5" hidden="1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313">
        <f>参数调整!$K$37*怪物掉落配置方案!$D4399</f>
        <v>0</v>
      </c>
    </row>
    <row r="6452" spans="1:4" ht="16.5" hidden="1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313">
        <f>参数调整!$K$37*怪物掉落配置方案!$D4400</f>
        <v>0</v>
      </c>
    </row>
    <row r="6453" spans="1:4" ht="16.5" hidden="1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313">
        <f>参数调整!$K$37*怪物掉落配置方案!$D4401</f>
        <v>0</v>
      </c>
    </row>
    <row r="6454" spans="1:4" ht="16.5" hidden="1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313">
        <f>参数调整!$K$37*怪物掉落配置方案!$D4402</f>
        <v>0</v>
      </c>
    </row>
    <row r="6455" spans="1:4" ht="16.5" hidden="1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313">
        <f>参数调整!$K$37*怪物掉落配置方案!$D4403</f>
        <v>0</v>
      </c>
    </row>
    <row r="6456" spans="1:4" ht="16.5" hidden="1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313">
        <f>参数调整!$K$37*怪物掉落配置方案!$D4404</f>
        <v>0</v>
      </c>
    </row>
    <row r="6457" spans="1:4" ht="16.5" hidden="1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313">
        <f>参数调整!$K$37*怪物掉落配置方案!$D4405</f>
        <v>0</v>
      </c>
    </row>
    <row r="6458" spans="1:4" ht="16.5" hidden="1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313">
        <f>参数调整!$K$37*怪物掉落配置方案!$D4406</f>
        <v>0</v>
      </c>
    </row>
    <row r="6459" spans="1:4" ht="16.5" hidden="1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313">
        <f>参数调整!$K$37*怪物掉落配置方案!$D4407</f>
        <v>0</v>
      </c>
    </row>
    <row r="6460" spans="1:4" ht="16.5" hidden="1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313">
        <f>参数调整!$K$37*怪物掉落配置方案!$D4408</f>
        <v>0</v>
      </c>
    </row>
    <row r="6461" spans="1:4" ht="16.5" hidden="1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313">
        <f>参数调整!$K$37*怪物掉落配置方案!$D4409</f>
        <v>0</v>
      </c>
    </row>
    <row r="6462" spans="1:4" ht="16.5" hidden="1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313">
        <f>参数调整!$K$37*怪物掉落配置方案!$D4410</f>
        <v>0</v>
      </c>
    </row>
    <row r="6463" spans="1:4" ht="16.5" hidden="1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313">
        <f>参数调整!$K$37*怪物掉落配置方案!$D4411</f>
        <v>0</v>
      </c>
    </row>
    <row r="6464" spans="1:4" ht="16.5" hidden="1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313">
        <f>参数调整!$K$37*怪物掉落配置方案!$D4412</f>
        <v>0</v>
      </c>
    </row>
    <row r="6465" spans="1:4" ht="16.5" hidden="1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313">
        <f>参数调整!$K$37*怪物掉落配置方案!$D4413</f>
        <v>0</v>
      </c>
    </row>
    <row r="6466" spans="1:4" ht="16.5" hidden="1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313">
        <f>参数调整!$K$37*怪物掉落配置方案!$D4414</f>
        <v>0</v>
      </c>
    </row>
    <row r="6467" spans="1:4" ht="16.5" hidden="1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313">
        <f>参数调整!$K$37*怪物掉落配置方案!$D4415</f>
        <v>0</v>
      </c>
    </row>
    <row r="6468" spans="1:4" ht="16.5" hidden="1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313">
        <f>参数调整!$K$37*怪物掉落配置方案!$D4416</f>
        <v>0</v>
      </c>
    </row>
    <row r="6469" spans="1:4" ht="16.5" hidden="1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313">
        <f>参数调整!$K$37*怪物掉落配置方案!$D4417</f>
        <v>0</v>
      </c>
    </row>
    <row r="6470" spans="1:4" ht="16.5" hidden="1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313">
        <f>参数调整!$K$37*怪物掉落配置方案!$D4418</f>
        <v>0</v>
      </c>
    </row>
    <row r="6471" spans="1:4" ht="16.5" hidden="1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313">
        <f>参数调整!$K$37*怪物掉落配置方案!$D4419</f>
        <v>0</v>
      </c>
    </row>
    <row r="6472" spans="1:4" ht="16.5" hidden="1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313">
        <f>参数调整!$K$37*怪物掉落配置方案!$D4420</f>
        <v>0</v>
      </c>
    </row>
    <row r="6473" spans="1:4" ht="16.5" hidden="1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313">
        <f>参数调整!$K$37*怪物掉落配置方案!$D4421</f>
        <v>0</v>
      </c>
    </row>
    <row r="6474" spans="1:4" ht="16.5" hidden="1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313">
        <f>参数调整!$K$37*怪物掉落配置方案!$D4422</f>
        <v>0</v>
      </c>
    </row>
    <row r="6475" spans="1:4" ht="16.5" hidden="1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313">
        <f>参数调整!$K$37*怪物掉落配置方案!$D4423</f>
        <v>0</v>
      </c>
    </row>
    <row r="6476" spans="1:4" ht="16.5" hidden="1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313">
        <f>参数调整!$K$37*怪物掉落配置方案!$D4424</f>
        <v>0</v>
      </c>
    </row>
    <row r="6477" spans="1:4" ht="16.5" hidden="1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313">
        <f>参数调整!$K$37*怪物掉落配置方案!$D4425</f>
        <v>0</v>
      </c>
    </row>
    <row r="6478" spans="1:4" ht="16.5" hidden="1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313">
        <f>参数调整!$K$37*怪物掉落配置方案!$D4426</f>
        <v>0</v>
      </c>
    </row>
    <row r="6479" spans="1:4" ht="16.5" hidden="1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313">
        <f>参数调整!$K$37*怪物掉落配置方案!$D4427</f>
        <v>0</v>
      </c>
    </row>
    <row r="6480" spans="1:4" ht="16.5" hidden="1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313">
        <f>参数调整!$K$37*怪物掉落配置方案!$D4428</f>
        <v>0</v>
      </c>
    </row>
    <row r="6481" spans="1:4" ht="16.5" hidden="1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313">
        <f>参数调整!$K$37*怪物掉落配置方案!$D4429</f>
        <v>0</v>
      </c>
    </row>
    <row r="6482" spans="1:4" ht="16.5" hidden="1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313">
        <f>参数调整!$K$37*怪物掉落配置方案!$D4430</f>
        <v>0</v>
      </c>
    </row>
    <row r="6483" spans="1:4" ht="16.5" hidden="1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313">
        <f>参数调整!$K$37*怪物掉落配置方案!$D4431</f>
        <v>0</v>
      </c>
    </row>
    <row r="6484" spans="1:4" ht="16.5" hidden="1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313">
        <f>参数调整!$K$37*怪物掉落配置方案!$D4432</f>
        <v>0</v>
      </c>
    </row>
    <row r="6485" spans="1:4" ht="16.5" hidden="1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313">
        <f>参数调整!$K$37*怪物掉落配置方案!$D4433</f>
        <v>0</v>
      </c>
    </row>
    <row r="6486" spans="1:4" ht="16.5" hidden="1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313">
        <f>参数调整!$K$37*怪物掉落配置方案!$D4434</f>
        <v>0</v>
      </c>
    </row>
    <row r="6487" spans="1:4" ht="16.5" hidden="1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313">
        <f>参数调整!$K$37*怪物掉落配置方案!$D4435</f>
        <v>0</v>
      </c>
    </row>
    <row r="6488" spans="1:4" ht="16.5" hidden="1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313">
        <f>参数调整!$K$37*怪物掉落配置方案!$D4436</f>
        <v>0</v>
      </c>
    </row>
    <row r="6489" spans="1:4" ht="16.5" hidden="1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313">
        <f>参数调整!$K$37*怪物掉落配置方案!$D4437</f>
        <v>0</v>
      </c>
    </row>
    <row r="6490" spans="1:4" ht="16.5" hidden="1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313">
        <f>参数调整!$K$37*怪物掉落配置方案!$D4438</f>
        <v>0</v>
      </c>
    </row>
    <row r="6491" spans="1:4" ht="16.5" hidden="1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313">
        <f>参数调整!$K$37*怪物掉落配置方案!$D4439</f>
        <v>0</v>
      </c>
    </row>
    <row r="6492" spans="1:4" ht="16.5" hidden="1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313">
        <f>参数调整!$K$37*怪物掉落配置方案!$D4440</f>
        <v>0</v>
      </c>
    </row>
    <row r="6493" spans="1:4" ht="16.5" hidden="1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313">
        <f>参数调整!$K$37*怪物掉落配置方案!$D4441</f>
        <v>0</v>
      </c>
    </row>
    <row r="6494" spans="1:4" ht="16.5" hidden="1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313">
        <f>参数调整!$K$37*怪物掉落配置方案!$D4442</f>
        <v>0</v>
      </c>
    </row>
    <row r="6495" spans="1:4" ht="16.5" hidden="1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313">
        <f>参数调整!$K$37*怪物掉落配置方案!$D4443</f>
        <v>0</v>
      </c>
    </row>
    <row r="6496" spans="1:4" ht="16.5" hidden="1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313">
        <f>参数调整!$K$37*怪物掉落配置方案!$D4444</f>
        <v>0</v>
      </c>
    </row>
    <row r="6497" spans="1:4" ht="16.5" hidden="1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313">
        <f>参数调整!$K$37*怪物掉落配置方案!$D4445</f>
        <v>0</v>
      </c>
    </row>
    <row r="6498" spans="1:4" ht="16.5" hidden="1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313">
        <f>参数调整!$K$37*怪物掉落配置方案!$D4446</f>
        <v>0</v>
      </c>
    </row>
    <row r="6499" spans="1:4" ht="16.5" hidden="1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313">
        <f>参数调整!$K$37*怪物掉落配置方案!$D4447</f>
        <v>0</v>
      </c>
    </row>
    <row r="6500" spans="1:4" ht="16.5" hidden="1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313">
        <f>参数调整!$K$37*怪物掉落配置方案!$D4448</f>
        <v>0</v>
      </c>
    </row>
    <row r="6501" spans="1:4" ht="16.5" hidden="1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313">
        <f>参数调整!$K$37*怪物掉落配置方案!$D4449</f>
        <v>0</v>
      </c>
    </row>
    <row r="6502" spans="1:4" ht="16.5" hidden="1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313">
        <f>参数调整!$K$37*怪物掉落配置方案!$D4450</f>
        <v>0</v>
      </c>
    </row>
    <row r="6503" spans="1:4" ht="16.5" hidden="1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313">
        <f>参数调整!$K$37*怪物掉落配置方案!$D4451</f>
        <v>0</v>
      </c>
    </row>
    <row r="6504" spans="1:4" ht="16.5" hidden="1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313">
        <f>参数调整!$K$37*怪物掉落配置方案!$D4452</f>
        <v>0</v>
      </c>
    </row>
    <row r="6505" spans="1:4" ht="16.5" hidden="1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313">
        <f>参数调整!$K$37*怪物掉落配置方案!$D4453</f>
        <v>0</v>
      </c>
    </row>
    <row r="6506" spans="1:4" ht="16.5" hidden="1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313">
        <f>参数调整!$K$37*怪物掉落配置方案!$D4454</f>
        <v>0</v>
      </c>
    </row>
    <row r="6507" spans="1:4" ht="16.5" hidden="1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313">
        <f>参数调整!$K$37*怪物掉落配置方案!$D4455</f>
        <v>0</v>
      </c>
    </row>
    <row r="6508" spans="1:4" ht="16.5" hidden="1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313">
        <f>参数调整!$K$37*怪物掉落配置方案!$D4456</f>
        <v>0</v>
      </c>
    </row>
    <row r="6509" spans="1:4" ht="16.5" hidden="1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313">
        <f>参数调整!$K$37*怪物掉落配置方案!$D4457</f>
        <v>0</v>
      </c>
    </row>
    <row r="6510" spans="1:4" ht="16.5" hidden="1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313">
        <f>参数调整!$K$37*怪物掉落配置方案!$D4458</f>
        <v>0</v>
      </c>
    </row>
    <row r="6511" spans="1:4" ht="16.5" hidden="1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313">
        <f>参数调整!$K$37*怪物掉落配置方案!$D4459</f>
        <v>0</v>
      </c>
    </row>
    <row r="6512" spans="1:4" ht="16.5" hidden="1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313">
        <f>参数调整!$K$37*怪物掉落配置方案!$D4460</f>
        <v>0</v>
      </c>
    </row>
    <row r="6513" spans="1:4" ht="16.5" hidden="1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313">
        <f>参数调整!$K$37*怪物掉落配置方案!$D4461</f>
        <v>0</v>
      </c>
    </row>
    <row r="6514" spans="1:4" ht="16.5" hidden="1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313">
        <f>参数调整!$K$37*怪物掉落配置方案!$D4462</f>
        <v>0</v>
      </c>
    </row>
    <row r="6515" spans="1:4" ht="16.5" hidden="1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313">
        <f>参数调整!$K$37*怪物掉落配置方案!$D4463</f>
        <v>0</v>
      </c>
    </row>
    <row r="6516" spans="1:4" ht="16.5" hidden="1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313">
        <f>参数调整!$K$37*怪物掉落配置方案!$D4464</f>
        <v>0</v>
      </c>
    </row>
    <row r="6517" spans="1:4" ht="16.5" hidden="1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313">
        <f>参数调整!$K$37*怪物掉落配置方案!$D4465</f>
        <v>0</v>
      </c>
    </row>
    <row r="6518" spans="1:4" ht="16.5" hidden="1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313">
        <f>参数调整!$K$37*怪物掉落配置方案!$D4466</f>
        <v>0</v>
      </c>
    </row>
    <row r="6519" spans="1:4" ht="16.5" hidden="1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313">
        <f>参数调整!$K$37*怪物掉落配置方案!$D4467</f>
        <v>0</v>
      </c>
    </row>
    <row r="6520" spans="1:4" ht="16.5" hidden="1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313">
        <f>参数调整!$K$37*怪物掉落配置方案!$D4468</f>
        <v>0</v>
      </c>
    </row>
    <row r="6521" spans="1:4" ht="16.5" hidden="1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313">
        <f>参数调整!$K$37*怪物掉落配置方案!$D4469</f>
        <v>0</v>
      </c>
    </row>
    <row r="6522" spans="1:4" ht="16.5" hidden="1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313">
        <f>参数调整!$K$37*怪物掉落配置方案!$D4470</f>
        <v>0</v>
      </c>
    </row>
    <row r="6523" spans="1:4" ht="16.5" hidden="1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313">
        <f>参数调整!$K$37*怪物掉落配置方案!$D4471</f>
        <v>0</v>
      </c>
    </row>
    <row r="6524" spans="1:4" ht="16.5" hidden="1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313">
        <f>参数调整!$K$37*怪物掉落配置方案!$D4472</f>
        <v>0</v>
      </c>
    </row>
    <row r="6525" spans="1:4" ht="16.5" hidden="1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313">
        <f>参数调整!$K$37*怪物掉落配置方案!$D4473</f>
        <v>0</v>
      </c>
    </row>
    <row r="6526" spans="1:4" ht="16.5" hidden="1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313">
        <f>参数调整!$K$37*怪物掉落配置方案!$D4474</f>
        <v>0</v>
      </c>
    </row>
    <row r="6527" spans="1:4" ht="16.5" hidden="1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313">
        <f>参数调整!$K$37*怪物掉落配置方案!$D4475</f>
        <v>0</v>
      </c>
    </row>
    <row r="6528" spans="1:4" ht="16.5" hidden="1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313">
        <f>参数调整!$K$37*怪物掉落配置方案!$D4476</f>
        <v>0</v>
      </c>
    </row>
    <row r="6529" spans="1:4" ht="16.5" hidden="1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313">
        <f>参数调整!$K$37*怪物掉落配置方案!$D4477</f>
        <v>0</v>
      </c>
    </row>
    <row r="6530" spans="1:4" ht="16.5" hidden="1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313">
        <f>参数调整!$K$37*怪物掉落配置方案!$D4478</f>
        <v>0</v>
      </c>
    </row>
    <row r="6531" spans="1:4" ht="16.5" hidden="1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313">
        <f>参数调整!$K$37*怪物掉落配置方案!$D4479</f>
        <v>0</v>
      </c>
    </row>
    <row r="6532" spans="1:4" ht="16.5" hidden="1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313">
        <f>参数调整!$K$37*怪物掉落配置方案!$D4480</f>
        <v>0</v>
      </c>
    </row>
    <row r="6533" spans="1:4" ht="16.5" hidden="1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313">
        <f>参数调整!$K$37*怪物掉落配置方案!$D4481</f>
        <v>0</v>
      </c>
    </row>
    <row r="6534" spans="1:4" ht="16.5" hidden="1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313">
        <f>参数调整!$K$37*怪物掉落配置方案!$D4482</f>
        <v>0</v>
      </c>
    </row>
    <row r="6535" spans="1:4" ht="16.5" hidden="1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313">
        <f>参数调整!$K$37*怪物掉落配置方案!$D4483</f>
        <v>0</v>
      </c>
    </row>
    <row r="6536" spans="1:4" ht="16.5" hidden="1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313">
        <f>参数调整!$K$37*怪物掉落配置方案!$D4484</f>
        <v>0</v>
      </c>
    </row>
    <row r="6537" spans="1:4" ht="16.5" hidden="1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313">
        <f>参数调整!$K$37*怪物掉落配置方案!$D4485</f>
        <v>4.5400927223921538E-3</v>
      </c>
    </row>
    <row r="6538" spans="1:4" ht="16.5" hidden="1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313">
        <f>参数调整!$K$37*怪物掉落配置方案!$D4486</f>
        <v>5.7460548517775699E-3</v>
      </c>
    </row>
    <row r="6539" spans="1:4" ht="16.5" hidden="1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313">
        <f>参数调整!$K$37*怪物掉落配置方案!$D4487</f>
        <v>7.0938948787377396E-3</v>
      </c>
    </row>
    <row r="6540" spans="1:4" ht="16.5" hidden="1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313">
        <f>参数调整!$K$37*怪物掉落配置方案!$D4488</f>
        <v>8.5836128032726663E-3</v>
      </c>
    </row>
    <row r="6541" spans="1:4" ht="16.5" hidden="1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313">
        <f>参数调整!$K$37*怪物掉落配置方案!$D4489</f>
        <v>1.0215208625382343E-2</v>
      </c>
    </row>
    <row r="6542" spans="1:4" ht="16.5" hidden="1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313">
        <f>参数调整!$K$37*怪物掉落配置方案!$D4490</f>
        <v>1.1988682345066781E-2</v>
      </c>
    </row>
    <row r="6543" spans="1:4" ht="16.5" hidden="1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313">
        <f>参数调整!$K$37*怪物掉落配置方案!$D4491</f>
        <v>1.3904033962325969E-2</v>
      </c>
    </row>
    <row r="6544" spans="1:4" ht="16.5" hidden="1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313">
        <f>参数调整!$K$37*怪物掉落配置方案!$D4492</f>
        <v>1.5961263477159916E-2</v>
      </c>
    </row>
    <row r="6545" spans="1:4" ht="16.5" hidden="1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313">
        <f>参数调整!$K$37*怪物掉落配置方案!$D4493</f>
        <v>1.8160370889568619E-2</v>
      </c>
    </row>
    <row r="6546" spans="1:4" ht="16.5" hidden="1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313">
        <f>参数调整!$K$37*怪物掉落配置方案!$D4494</f>
        <v>2.2984219407110283E-2</v>
      </c>
    </row>
    <row r="6547" spans="1:4" ht="16.5" hidden="1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313">
        <f>参数调整!$K$37*怪物掉落配置方案!$D4495</f>
        <v>2.8375579514950958E-2</v>
      </c>
    </row>
    <row r="6548" spans="1:4" ht="16.5" hidden="1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313">
        <f>参数调整!$K$37*怪物掉落配置方案!$D4496</f>
        <v>3.4334451213090665E-2</v>
      </c>
    </row>
    <row r="6549" spans="1:4" ht="16.5" hidden="1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313">
        <f>参数调整!$K$37*怪物掉落配置方案!$D4497</f>
        <v>4.4336842992110874E-2</v>
      </c>
    </row>
    <row r="6550" spans="1:4" ht="16.5" hidden="1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313">
        <f>参数调整!$K$37*怪物掉落配置方案!$D4498</f>
        <v>6.3845053908639648E-2</v>
      </c>
    </row>
    <row r="6551" spans="1:4" ht="16.5" hidden="1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313">
        <f>参数调整!$K$37*怪物掉落配置方案!$D4499</f>
        <v>8.6900212264537299E-2</v>
      </c>
    </row>
    <row r="6552" spans="1:4" ht="16.5" hidden="1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313">
        <f>参数调整!$K$37*怪物掉落配置方案!$D4500</f>
        <v>9.7115420889919674E-2</v>
      </c>
    </row>
    <row r="6553" spans="1:4" ht="16.5" hidden="1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313">
        <f>参数调整!$K$37*怪物掉落配置方案!$D4501</f>
        <v>0.11350231805980383</v>
      </c>
    </row>
    <row r="6554" spans="1:4" ht="16.5" hidden="1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313">
        <f>参数调整!$K$37*怪物掉落配置方案!$D4502</f>
        <v>0.13116611630786079</v>
      </c>
    </row>
    <row r="6555" spans="1:4" ht="16.5" hidden="1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313">
        <f>参数调整!$K$37*怪物掉落配置方案!$D4503</f>
        <v>0.15010681563409056</v>
      </c>
    </row>
    <row r="6556" spans="1:4" ht="16.5" hidden="1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313">
        <f>参数调整!$K$37*怪物掉落配置方案!$D4504</f>
        <v>0.17032441603849319</v>
      </c>
    </row>
    <row r="6557" spans="1:4" ht="16.5" hidden="1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313">
        <f>参数调整!$K$37*怪物掉落配置方案!$D4505</f>
        <v>0.19181891752106847</v>
      </c>
    </row>
    <row r="6558" spans="1:4" ht="16.5" hidden="1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313">
        <f>参数调整!$K$37*怪物掉落配置方案!$D4506</f>
        <v>0.21459032008181664</v>
      </c>
    </row>
    <row r="6559" spans="1:4" ht="16.5" hidden="1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313">
        <f>参数调整!$K$37*怪物掉落配置方案!$D4507</f>
        <v>0.23863862372073757</v>
      </c>
    </row>
    <row r="6560" spans="1:4" ht="16.5" hidden="1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313">
        <f>参数调整!$K$37*怪物掉落配置方案!$D4508</f>
        <v>0.26396382843783123</v>
      </c>
    </row>
    <row r="6561" spans="1:4" ht="16.5" hidden="1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313">
        <f>参数调整!$K$37*怪物掉落配置方案!$D4509</f>
        <v>0.2905659342330979</v>
      </c>
    </row>
    <row r="6562" spans="1:4" ht="16.5" hidden="1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313">
        <f>参数调整!$K$37*怪物掉落配置方案!$D4510</f>
        <v>0.31844494110653715</v>
      </c>
    </row>
    <row r="6563" spans="1:4" ht="16.5" hidden="1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313">
        <f>参数调整!$K$37*怪物掉落配置方案!$D4511</f>
        <v>0.34760084905814931</v>
      </c>
    </row>
    <row r="6564" spans="1:4" ht="16.5" hidden="1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313">
        <f>参数调整!$K$37*怪物掉落配置方案!$D4512</f>
        <v>1.1824214577031912E-3</v>
      </c>
    </row>
    <row r="6565" spans="1:4" ht="16.5" hidden="1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313">
        <f>参数调整!$K$37*怪物掉落配置方案!$D4513</f>
        <v>1.4965021574056012E-3</v>
      </c>
    </row>
    <row r="6566" spans="1:4" ht="16.5" hidden="1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313">
        <f>参数调整!$K$37*怪物掉落配置方案!$D4514</f>
        <v>1.8475335276612358E-3</v>
      </c>
    </row>
    <row r="6567" spans="1:4" ht="16.5" hidden="1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313">
        <f>参数调整!$K$37*怪物掉落配置方案!$D4515</f>
        <v>2.2355155684700956E-3</v>
      </c>
    </row>
    <row r="6568" spans="1:4" ht="16.5" hidden="1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313">
        <f>参数调整!$K$37*怪物掉落配置方案!$D4516</f>
        <v>2.6604482798321793E-3</v>
      </c>
    </row>
    <row r="6569" spans="1:4" ht="16.5" hidden="1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313">
        <f>参数调整!$K$37*怪物掉落配置方案!$D4517</f>
        <v>3.1223316617474892E-3</v>
      </c>
    </row>
    <row r="6570" spans="1:4" ht="16.5" hidden="1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313">
        <f>参数调整!$K$37*怪物掉落配置方案!$D4518</f>
        <v>3.6211657142160214E-3</v>
      </c>
    </row>
    <row r="6571" spans="1:4" ht="16.5" hidden="1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313">
        <f>参数调整!$K$37*怪物掉落配置方案!$D4519</f>
        <v>4.1569504372377811E-3</v>
      </c>
    </row>
    <row r="6572" spans="1:4" ht="16.5" hidden="1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313">
        <f>参数调整!$K$37*怪物掉落配置方案!$D4520</f>
        <v>4.7296858308127649E-3</v>
      </c>
    </row>
    <row r="6573" spans="1:4" ht="16.5" hidden="1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313">
        <f>参数调整!$K$37*怪物掉落配置方案!$D4521</f>
        <v>5.9860086296224047E-3</v>
      </c>
    </row>
    <row r="6574" spans="1:4" ht="16.5" hidden="1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313">
        <f>参数调整!$K$37*怪物掉落配置方案!$D4522</f>
        <v>7.3901341106449425E-3</v>
      </c>
    </row>
    <row r="6575" spans="1:4" ht="16.5" hidden="1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313">
        <f>参数调整!$K$37*怪物掉落配置方案!$D4523</f>
        <v>8.9420622738803825E-3</v>
      </c>
    </row>
    <row r="6576" spans="1:4" ht="16.5" hidden="1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313">
        <f>参数调整!$K$37*怪物掉落配置方案!$D4524</f>
        <v>1.1547084547882723E-2</v>
      </c>
    </row>
    <row r="6577" spans="1:4" ht="16.5" hidden="1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313">
        <f>参数调整!$K$37*怪物掉落配置方案!$D4525</f>
        <v>1.6627801748951121E-2</v>
      </c>
    </row>
    <row r="6578" spans="1:4" ht="16.5" hidden="1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313">
        <f>参数调整!$K$37*怪物掉落配置方案!$D4526</f>
        <v>2.2632285713850137E-2</v>
      </c>
    </row>
    <row r="6579" spans="1:4" ht="16.5" hidden="1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313">
        <f>参数调整!$K$37*怪物掉落配置方案!$D4527</f>
        <v>2.5292733993682322E-2</v>
      </c>
    </row>
    <row r="6580" spans="1:4" ht="16.5" hidden="1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313">
        <f>参数调整!$K$37*怪物掉落配置方案!$D4528</f>
        <v>2.956053644257977E-2</v>
      </c>
    </row>
    <row r="6581" spans="1:4" ht="16.5" hidden="1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313">
        <f>参数调整!$K$37*怪物掉落配置方案!$D4529</f>
        <v>3.4160894926456242E-2</v>
      </c>
    </row>
    <row r="6582" spans="1:4" ht="16.5" hidden="1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313">
        <f>参数调整!$K$37*怪物掉落配置方案!$D4530</f>
        <v>3.9093809445311746E-2</v>
      </c>
    </row>
    <row r="6583" spans="1:4" ht="16.5" hidden="1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313">
        <f>参数调整!$K$37*怪物掉落配置方案!$D4531</f>
        <v>4.4359279999146281E-2</v>
      </c>
    </row>
    <row r="6584" spans="1:4" ht="16.5" hidden="1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313">
        <f>参数调整!$K$37*怪物掉落配置方案!$D4532</f>
        <v>4.995730658795982E-2</v>
      </c>
    </row>
    <row r="6585" spans="1:4" ht="16.5" hidden="1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313">
        <f>参数调整!$K$37*怪物掉落配置方案!$D4533</f>
        <v>5.588788921175239E-2</v>
      </c>
    </row>
    <row r="6586" spans="1:4" ht="16.5" hidden="1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313">
        <f>参数调整!$K$37*怪物掉落配置方案!$D4534</f>
        <v>6.215102787052397E-2</v>
      </c>
    </row>
    <row r="6587" spans="1:4" ht="16.5" hidden="1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313">
        <f>参数调整!$K$37*怪物掉落配置方案!$D4535</f>
        <v>6.8746722564274568E-2</v>
      </c>
    </row>
    <row r="6588" spans="1:4" ht="16.5" hidden="1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313">
        <f>参数调整!$K$37*怪物掉落配置方案!$D4536</f>
        <v>7.5674973293004225E-2</v>
      </c>
    </row>
    <row r="6589" spans="1:4" ht="16.5" hidden="1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313">
        <f>参数调整!$K$37*怪物掉落配置方案!$D4537</f>
        <v>8.2935780056712885E-2</v>
      </c>
    </row>
    <row r="6590" spans="1:4" ht="16.5" hidden="1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313">
        <f>参数调整!$K$37*怪物掉落配置方案!$D4538</f>
        <v>9.0529142855400563E-2</v>
      </c>
    </row>
    <row r="6591" spans="1:4" ht="16.5" hidden="1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313">
        <f>参数调整!$K$37*怪物掉落配置方案!$D4539</f>
        <v>1.6246235338464058E-5</v>
      </c>
    </row>
    <row r="6592" spans="1:4" ht="16.5" hidden="1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313">
        <f>参数调整!$K$37*怪物掉落配置方案!$D4540</f>
        <v>2.0561641600243578E-5</v>
      </c>
    </row>
    <row r="6593" spans="1:4" ht="16.5" hidden="1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313">
        <f>参数调整!$K$37*怪物掉落配置方案!$D4541</f>
        <v>2.5384742716350088E-5</v>
      </c>
    </row>
    <row r="6594" spans="1:4" ht="16.5" hidden="1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313">
        <f>参数调整!$K$37*怪物掉落配置方案!$D4542</f>
        <v>3.0715538686783609E-5</v>
      </c>
    </row>
    <row r="6595" spans="1:4" ht="16.5" hidden="1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313">
        <f>参数调整!$K$37*怪物掉落配置方案!$D4543</f>
        <v>3.6554029511544124E-5</v>
      </c>
    </row>
    <row r="6596" spans="1:4" ht="16.5" hidden="1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313">
        <f>参数调整!$K$37*怪物掉落配置方案!$D4544</f>
        <v>4.290021519063165E-5</v>
      </c>
    </row>
    <row r="6597" spans="1:4" ht="16.5" hidden="1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313">
        <f>参数调整!$K$37*怪物掉落配置方案!$D4545</f>
        <v>4.9754095724046167E-5</v>
      </c>
    </row>
    <row r="6598" spans="1:4" ht="16.5" hidden="1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313">
        <f>参数调整!$K$37*怪物掉落配置方案!$D4546</f>
        <v>5.7115671111787695E-5</v>
      </c>
    </row>
    <row r="6599" spans="1:4" ht="16.5" hidden="1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313">
        <f>参数调整!$K$37*怪物掉落配置方案!$D4547</f>
        <v>6.4984941353856248E-5</v>
      </c>
    </row>
    <row r="6600" spans="1:4" ht="16.5" hidden="1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313">
        <f>参数调整!$K$37*怪物掉落配置方案!$D4548</f>
        <v>8.2246566400974284E-5</v>
      </c>
    </row>
    <row r="6601" spans="1:4" ht="16.5" hidden="1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313">
        <f>参数调整!$K$37*怪物掉落配置方案!$D4549</f>
        <v>1.0153897086540034E-4</v>
      </c>
    </row>
    <row r="6602" spans="1:4" ht="16.5" hidden="1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313">
        <f>参数调整!$K$37*怪物掉落配置方案!$D4550</f>
        <v>1.2286215474713444E-4</v>
      </c>
    </row>
    <row r="6603" spans="1:4" ht="16.5" hidden="1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313">
        <f>参数调整!$K$37*怪物掉落配置方案!$D4551</f>
        <v>1.5865464197718806E-4</v>
      </c>
    </row>
    <row r="6604" spans="1:4" ht="16.5" hidden="1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313">
        <f>参数调整!$K$37*怪物掉落配置方案!$D4552</f>
        <v>2.2846268444715073E-4</v>
      </c>
    </row>
    <row r="6605" spans="1:4" ht="16.5" hidden="1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313">
        <f>参数调整!$K$37*怪物掉落配置方案!$D4553</f>
        <v>3.1096309827528855E-4</v>
      </c>
    </row>
    <row r="6606" spans="1:4" ht="16.5" hidden="1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313">
        <f>参数调整!$K$37*怪物掉落配置方案!$D4554</f>
        <v>3.4751712778683275E-4</v>
      </c>
    </row>
    <row r="6607" spans="1:4" ht="16.5" hidden="1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313">
        <f>参数调整!$K$37*怪物掉落配置方案!$D4555</f>
        <v>4.0615588346160135E-4</v>
      </c>
    </row>
    <row r="6608" spans="1:4" ht="16.5" hidden="1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313">
        <f>参数调整!$K$37*怪物掉落配置方案!$D4556</f>
        <v>4.6936389282531302E-4</v>
      </c>
    </row>
    <row r="6609" spans="1:4" ht="16.5" hidden="1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313">
        <f>参数调整!$K$37*怪物掉落配置方案!$D4557</f>
        <v>5.3714115587796785E-4</v>
      </c>
    </row>
    <row r="6610" spans="1:4" ht="16.5" hidden="1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313">
        <f>参数调整!$K$37*怪物掉落配置方案!$D4558</f>
        <v>6.0948767261956576E-4</v>
      </c>
    </row>
    <row r="6611" spans="1:4" ht="16.5" hidden="1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313">
        <f>参数调整!$K$37*怪物掉落配置方案!$D4559</f>
        <v>6.864034430501064E-4</v>
      </c>
    </row>
    <row r="6612" spans="1:4" ht="16.5" hidden="1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313">
        <f>参数调整!$K$37*怪物掉落配置方案!$D4560</f>
        <v>7.6788846716959022E-4</v>
      </c>
    </row>
    <row r="6613" spans="1:4" ht="16.5" hidden="1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313">
        <f>参数调整!$K$37*怪物掉落配置方案!$D4561</f>
        <v>8.5394274497801678E-4</v>
      </c>
    </row>
    <row r="6614" spans="1:4" ht="16.5" hidden="1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313">
        <f>参数调整!$K$37*怪物掉落配置方案!$D4562</f>
        <v>9.4456627647538662E-4</v>
      </c>
    </row>
    <row r="6615" spans="1:4" ht="16.5" hidden="1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313">
        <f>参数调整!$K$37*怪物掉落配置方案!$D4563</f>
        <v>1.0397590616616997E-3</v>
      </c>
    </row>
    <row r="6616" spans="1:4" ht="16.5" hidden="1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313">
        <f>参数调整!$K$37*怪物掉落配置方案!$D4564</f>
        <v>1.1395211005369554E-3</v>
      </c>
    </row>
    <row r="6617" spans="1:4" ht="16.5" hidden="1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313">
        <f>参数调整!$K$37*怪物掉落配置方案!$D4565</f>
        <v>1.2438523931011544E-3</v>
      </c>
    </row>
    <row r="6618" spans="1:4" ht="16.5" hidden="1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313">
        <f>参数调整!$K$37*怪物掉落配置方案!$D4566</f>
        <v>0</v>
      </c>
    </row>
    <row r="6619" spans="1:4" ht="16.5" hidden="1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313">
        <f>参数调整!$K$37*怪物掉落配置方案!$D4567</f>
        <v>0</v>
      </c>
    </row>
    <row r="6620" spans="1:4" ht="16.5" hidden="1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313">
        <f>参数调整!$K$37*怪物掉落配置方案!$D4568</f>
        <v>0</v>
      </c>
    </row>
    <row r="6621" spans="1:4" ht="16.5" hidden="1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313">
        <f>参数调整!$K$37*怪物掉落配置方案!$D4569</f>
        <v>0</v>
      </c>
    </row>
    <row r="6622" spans="1:4" ht="16.5" hidden="1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313">
        <f>参数调整!$K$37*怪物掉落配置方案!$D4570</f>
        <v>0</v>
      </c>
    </row>
    <row r="6623" spans="1:4" ht="16.5" hidden="1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313">
        <f>参数调整!$K$37*怪物掉落配置方案!$D4571</f>
        <v>0</v>
      </c>
    </row>
    <row r="6624" spans="1:4" ht="16.5" hidden="1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313">
        <f>参数调整!$K$37*怪物掉落配置方案!$D4572</f>
        <v>0</v>
      </c>
    </row>
    <row r="6625" spans="1:4" ht="16.5" hidden="1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313">
        <f>参数调整!$K$37*怪物掉落配置方案!$D4573</f>
        <v>0</v>
      </c>
    </row>
    <row r="6626" spans="1:4" ht="16.5" hidden="1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313">
        <f>参数调整!$K$37*怪物掉落配置方案!$D4574</f>
        <v>0</v>
      </c>
    </row>
    <row r="6627" spans="1:4" ht="16.5" hidden="1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313">
        <f>参数调整!$K$37*怪物掉落配置方案!$D4575</f>
        <v>0</v>
      </c>
    </row>
    <row r="6628" spans="1:4" ht="16.5" hidden="1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313">
        <f>参数调整!$K$37*怪物掉落配置方案!$D4576</f>
        <v>0</v>
      </c>
    </row>
    <row r="6629" spans="1:4" ht="16.5" hidden="1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313">
        <f>参数调整!$K$37*怪物掉落配置方案!$D4577</f>
        <v>0</v>
      </c>
    </row>
    <row r="6630" spans="1:4" ht="16.5" hidden="1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313">
        <f>参数调整!$K$37*怪物掉落配置方案!$D4578</f>
        <v>0</v>
      </c>
    </row>
    <row r="6631" spans="1:4" ht="16.5" hidden="1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313">
        <f>参数调整!$K$37*怪物掉落配置方案!$D4579</f>
        <v>0</v>
      </c>
    </row>
    <row r="6632" spans="1:4" ht="16.5" hidden="1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313">
        <f>参数调整!$K$37*怪物掉落配置方案!$D4580</f>
        <v>0</v>
      </c>
    </row>
    <row r="6633" spans="1:4" ht="16.5" hidden="1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313">
        <f>参数调整!$K$37*怪物掉落配置方案!$D4581</f>
        <v>0</v>
      </c>
    </row>
    <row r="6634" spans="1:4" ht="16.5" hidden="1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313">
        <f>参数调整!$K$37*怪物掉落配置方案!$D4582</f>
        <v>0</v>
      </c>
    </row>
    <row r="6635" spans="1:4" ht="16.5" hidden="1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313">
        <f>参数调整!$K$37*怪物掉落配置方案!$D4583</f>
        <v>0</v>
      </c>
    </row>
    <row r="6636" spans="1:4" ht="16.5" hidden="1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313">
        <f>参数调整!$K$37*怪物掉落配置方案!$D4584</f>
        <v>0</v>
      </c>
    </row>
    <row r="6637" spans="1:4" ht="16.5" hidden="1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313">
        <f>参数调整!$K$37*怪物掉落配置方案!$D4585</f>
        <v>0</v>
      </c>
    </row>
    <row r="6638" spans="1:4" ht="16.5" hidden="1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313">
        <f>参数调整!$K$37*怪物掉落配置方案!$D4586</f>
        <v>0</v>
      </c>
    </row>
    <row r="6639" spans="1:4" ht="16.5" hidden="1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313">
        <f>参数调整!$K$37*怪物掉落配置方案!$D4587</f>
        <v>0</v>
      </c>
    </row>
    <row r="6640" spans="1:4" ht="16.5" hidden="1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313">
        <f>参数调整!$K$37*怪物掉落配置方案!$D4588</f>
        <v>0</v>
      </c>
    </row>
    <row r="6641" spans="1:4" ht="16.5" hidden="1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313">
        <f>参数调整!$K$37*怪物掉落配置方案!$D4589</f>
        <v>0</v>
      </c>
    </row>
    <row r="6642" spans="1:4" ht="16.5" hidden="1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313">
        <f>参数调整!$K$37*怪物掉落配置方案!$D4590</f>
        <v>0</v>
      </c>
    </row>
    <row r="6643" spans="1:4" ht="16.5" hidden="1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313">
        <f>参数调整!$K$37*怪物掉落配置方案!$D4591</f>
        <v>0</v>
      </c>
    </row>
    <row r="6644" spans="1:4" ht="16.5" hidden="1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313">
        <f>参数调整!$K$37*怪物掉落配置方案!$D4592</f>
        <v>0</v>
      </c>
    </row>
    <row r="6645" spans="1:4" ht="16.5" hidden="1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313">
        <f>参数调整!$K$37*怪物掉落配置方案!$D4593</f>
        <v>8.1231176692320289E-5</v>
      </c>
    </row>
    <row r="6646" spans="1:4" ht="16.5" hidden="1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313">
        <f>参数调整!$K$37*怪物掉落配置方案!$D4594</f>
        <v>1.0280820800121788E-4</v>
      </c>
    </row>
    <row r="6647" spans="1:4" ht="16.5" hidden="1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313">
        <f>参数调整!$K$37*怪物掉落配置方案!$D4595</f>
        <v>1.2692371358175044E-4</v>
      </c>
    </row>
    <row r="6648" spans="1:4" ht="16.5" hidden="1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313">
        <f>参数调整!$K$37*怪物掉落配置方案!$D4596</f>
        <v>1.5357769343391804E-4</v>
      </c>
    </row>
    <row r="6649" spans="1:4" ht="16.5" hidden="1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313">
        <f>参数调整!$K$37*怪物掉落配置方案!$D4597</f>
        <v>1.8277014755772061E-4</v>
      </c>
    </row>
    <row r="6650" spans="1:4" ht="16.5" hidden="1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313">
        <f>参数调整!$K$37*怪物掉落配置方案!$D4598</f>
        <v>2.1450107595315826E-4</v>
      </c>
    </row>
    <row r="6651" spans="1:4" ht="16.5" hidden="1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313">
        <f>参数调整!$K$37*怪物掉落配置方案!$D4599</f>
        <v>2.4877047862023084E-4</v>
      </c>
    </row>
    <row r="6652" spans="1:4" ht="16.5" hidden="1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313">
        <f>参数调整!$K$37*怪物掉落配置方案!$D4600</f>
        <v>2.855783555589385E-4</v>
      </c>
    </row>
    <row r="6653" spans="1:4" ht="16.5" hidden="1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313">
        <f>参数调整!$K$37*怪物掉落配置方案!$D4601</f>
        <v>3.2492470676928121E-4</v>
      </c>
    </row>
    <row r="6654" spans="1:4" ht="16.5" hidden="1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313">
        <f>参数调整!$K$37*怪物掉落配置方案!$D4602</f>
        <v>4.1123283200487145E-4</v>
      </c>
    </row>
    <row r="6655" spans="1:4" ht="16.5" hidden="1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313">
        <f>参数调整!$K$37*怪物掉落配置方案!$D4603</f>
        <v>5.0769485432700177E-4</v>
      </c>
    </row>
    <row r="6656" spans="1:4" ht="16.5" hidden="1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313">
        <f>参数调整!$K$37*怪物掉落配置方案!$D4604</f>
        <v>6.1431077373567218E-4</v>
      </c>
    </row>
    <row r="6657" spans="1:4" ht="16.5" hidden="1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313">
        <f>参数调整!$K$37*怪物掉落配置方案!$D4605</f>
        <v>7.9327320988594027E-4</v>
      </c>
    </row>
    <row r="6658" spans="1:4" ht="16.5" hidden="1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313">
        <f>参数调整!$K$37*怪物掉落配置方案!$D4606</f>
        <v>1.1423134222357538E-3</v>
      </c>
    </row>
    <row r="6659" spans="1:4" ht="16.5" hidden="1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313">
        <f>参数调整!$K$37*怪物掉落配置方案!$D4607</f>
        <v>1.5548154913764428E-3</v>
      </c>
    </row>
    <row r="6660" spans="1:4" ht="16.5" hidden="1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313">
        <f>参数调整!$K$37*怪物掉落配置方案!$D4608</f>
        <v>1.7375856389341639E-3</v>
      </c>
    </row>
    <row r="6661" spans="1:4" ht="16.5" hidden="1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313">
        <f>参数调整!$K$37*怪物掉落配置方案!$D4609</f>
        <v>2.0307794173080071E-3</v>
      </c>
    </row>
    <row r="6662" spans="1:4" ht="16.5" hidden="1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313">
        <f>参数调整!$K$37*怪物掉落配置方案!$D4610</f>
        <v>2.3468194641265653E-3</v>
      </c>
    </row>
    <row r="6663" spans="1:4" ht="16.5" hidden="1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313">
        <f>参数调整!$K$37*怪物掉落配置方案!$D4611</f>
        <v>2.6857057793898392E-3</v>
      </c>
    </row>
    <row r="6664" spans="1:4" ht="16.5" hidden="1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313">
        <f>参数调整!$K$37*怪物掉落配置方案!$D4612</f>
        <v>3.0474383630978287E-3</v>
      </c>
    </row>
    <row r="6665" spans="1:4" ht="16.5" hidden="1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313">
        <f>参数调整!$K$37*怪物掉落配置方案!$D4613</f>
        <v>3.4320172152505321E-3</v>
      </c>
    </row>
    <row r="6666" spans="1:4" ht="16.5" hidden="1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313">
        <f>参数调整!$K$37*怪物掉落配置方案!$D4614</f>
        <v>3.8394423358479512E-3</v>
      </c>
    </row>
    <row r="6667" spans="1:4" ht="16.5" hidden="1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313">
        <f>参数调整!$K$37*怪物掉落配置方案!$D4615</f>
        <v>4.2697137248900842E-3</v>
      </c>
    </row>
    <row r="6668" spans="1:4" ht="16.5" hidden="1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313">
        <f>参数调整!$K$37*怪物掉落配置方案!$D4616</f>
        <v>4.7228313823769333E-3</v>
      </c>
    </row>
    <row r="6669" spans="1:4" ht="16.5" hidden="1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313">
        <f>参数调整!$K$37*怪物掉落配置方案!$D4617</f>
        <v>5.1987953083084994E-3</v>
      </c>
    </row>
    <row r="6670" spans="1:4" ht="16.5" hidden="1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313">
        <f>参数调整!$K$37*怪物掉落配置方案!$D4618</f>
        <v>5.697605502684778E-3</v>
      </c>
    </row>
    <row r="6671" spans="1:4" ht="16.5" hidden="1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313">
        <f>参数调整!$K$37*怪物掉落配置方案!$D4619</f>
        <v>6.2192619655057719E-3</v>
      </c>
    </row>
    <row r="6672" spans="1:4" ht="16.5" hidden="1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313">
        <f>参数调整!$K$37*怪物掉落配置方案!$D4620</f>
        <v>1.3000294096767978E-2</v>
      </c>
    </row>
    <row r="6673" spans="1:4" ht="16.5" hidden="1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313">
        <f>参数调整!$K$37*怪物掉落配置方案!$D4621</f>
        <v>1.6453497216221975E-2</v>
      </c>
    </row>
    <row r="6674" spans="1:4" ht="16.5" hidden="1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313">
        <f>参数调整!$K$37*怪物掉落配置方案!$D4622</f>
        <v>2.0312959526199968E-2</v>
      </c>
    </row>
    <row r="6675" spans="1:4" ht="16.5" hidden="1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313">
        <f>参数调整!$K$37*怪物掉落配置方案!$D4623</f>
        <v>2.4578681026701962E-2</v>
      </c>
    </row>
    <row r="6676" spans="1:4" ht="16.5" hidden="1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313">
        <f>参数调整!$K$37*怪物掉落配置方案!$D4624</f>
        <v>2.9250661717727944E-2</v>
      </c>
    </row>
    <row r="6677" spans="1:4" ht="16.5" hidden="1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313">
        <f>参数调整!$K$37*怪物掉落配置方案!$D4625</f>
        <v>3.4328901599277949E-2</v>
      </c>
    </row>
    <row r="6678" spans="1:4" ht="16.5" hidden="1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313">
        <f>参数调整!$K$37*怪物掉落配置方案!$D4626</f>
        <v>3.9813400671351931E-2</v>
      </c>
    </row>
    <row r="6679" spans="1:4" ht="16.5" hidden="1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313">
        <f>参数调整!$K$37*怪物掉落配置方案!$D4627</f>
        <v>4.5704158933949926E-2</v>
      </c>
    </row>
    <row r="6680" spans="1:4" ht="16.5" hidden="1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313">
        <f>参数调整!$K$37*怪物掉落配置方案!$D4628</f>
        <v>5.2001176387071926E-2</v>
      </c>
    </row>
    <row r="6681" spans="1:4" ht="16.5" hidden="1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313">
        <f>参数调整!$K$37*怪物掉落配置方案!$D4629</f>
        <v>6.5813988864887901E-2</v>
      </c>
    </row>
    <row r="6682" spans="1:4" ht="16.5" hidden="1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313">
        <f>参数调整!$K$37*怪物掉落配置方案!$D4630</f>
        <v>8.1251838104799842E-2</v>
      </c>
    </row>
    <row r="6683" spans="1:4" ht="16.5" hidden="1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313">
        <f>参数调整!$K$37*怪物掉落配置方案!$D4631</f>
        <v>9.8314724106807846E-2</v>
      </c>
    </row>
    <row r="6684" spans="1:4" ht="16.5" hidden="1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313">
        <f>参数调整!$K$37*怪物掉落配置方案!$D4632</f>
        <v>0.12695599703874977</v>
      </c>
    </row>
    <row r="6685" spans="1:4" ht="16.5" hidden="1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313">
        <f>参数调整!$K$37*怪物掉落配置方案!$D4633</f>
        <v>0.18281663573579965</v>
      </c>
    </row>
    <row r="6686" spans="1:4" ht="16.5" hidden="1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313">
        <f>参数调整!$K$37*怪物掉落配置方案!$D4634</f>
        <v>0.24883375419594955</v>
      </c>
    </row>
    <row r="6687" spans="1:4" ht="16.5" hidden="1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313">
        <f>参数调整!$K$37*怪物掉落配置方案!$D4635</f>
        <v>0.27808441591367755</v>
      </c>
    </row>
    <row r="6688" spans="1:4" ht="16.5" hidden="1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313">
        <f>参数调整!$K$37*怪物掉落配置方案!$D4636</f>
        <v>0.32500735241919937</v>
      </c>
    </row>
    <row r="6689" spans="1:4" ht="16.5" hidden="1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313">
        <f>参数调整!$K$37*怪物掉落配置方案!$D4637</f>
        <v>0.37558662163943729</v>
      </c>
    </row>
    <row r="6690" spans="1:4" ht="16.5" hidden="1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313">
        <f>参数调整!$K$37*怪物掉落配置方案!$D4638</f>
        <v>0.4298222235743912</v>
      </c>
    </row>
    <row r="6691" spans="1:4" ht="16.5" hidden="1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313">
        <f>参数调整!$K$37*怪物掉落配置方案!$D4639</f>
        <v>0.48771415822406122</v>
      </c>
    </row>
    <row r="6692" spans="1:4" ht="16.5" hidden="1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313">
        <f>参数调整!$K$37*怪物掉落配置方案!$D4640</f>
        <v>0.54926242558844707</v>
      </c>
    </row>
    <row r="6693" spans="1:4" ht="16.5" hidden="1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313">
        <f>参数调整!$K$37*怪物掉落配置方案!$D4641</f>
        <v>0.61446702566754896</v>
      </c>
    </row>
    <row r="6694" spans="1:4" ht="16.5" hidden="1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313">
        <f>参数调整!$K$37*怪物掉落配置方案!$D4642</f>
        <v>0.68332795846136685</v>
      </c>
    </row>
    <row r="6695" spans="1:4" ht="16.5" hidden="1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313">
        <f>参数调整!$K$37*怪物掉落配置方案!$D4643</f>
        <v>0.75584522396990061</v>
      </c>
    </row>
    <row r="6696" spans="1:4" ht="16.5" hidden="1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313">
        <f>参数调整!$K$37*怪物掉落配置方案!$D4644</f>
        <v>0.8320188221931506</v>
      </c>
    </row>
    <row r="6697" spans="1:4" ht="16.5" hidden="1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313">
        <f>参数调整!$K$37*怪物掉落配置方案!$D4645</f>
        <v>0.91184875313111635</v>
      </c>
    </row>
    <row r="6698" spans="1:4" ht="16.5" hidden="1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313">
        <f>参数调整!$K$37*怪物掉落配置方案!$D4646</f>
        <v>0.99533501678379843</v>
      </c>
    </row>
    <row r="6699" spans="1:4" ht="16.5" hidden="1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313">
        <f>参数调整!$K$37*怪物掉落配置方案!$D4647</f>
        <v>5.8486447218470598E-5</v>
      </c>
    </row>
    <row r="6700" spans="1:4" ht="16.5" hidden="1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313">
        <f>参数调整!$K$37*怪物掉落配置方案!$D4648</f>
        <v>7.4021909760876864E-5</v>
      </c>
    </row>
    <row r="6701" spans="1:4" ht="16.5" hidden="1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313">
        <f>参数调整!$K$37*怪物掉落配置方案!$D4649</f>
        <v>9.1385073778860307E-5</v>
      </c>
    </row>
    <row r="6702" spans="1:4" ht="16.5" hidden="1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313">
        <f>参数调整!$K$37*怪物掉落配置方案!$D4650</f>
        <v>1.1057593927242098E-4</v>
      </c>
    </row>
    <row r="6703" spans="1:4" ht="16.5" hidden="1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313">
        <f>参数调整!$K$37*怪物掉落配置方案!$D4651</f>
        <v>1.3159450624155881E-4</v>
      </c>
    </row>
    <row r="6704" spans="1:4" ht="16.5" hidden="1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313">
        <f>参数调整!$K$37*怪物掉落配置方案!$D4652</f>
        <v>1.5444077468627392E-4</v>
      </c>
    </row>
    <row r="6705" spans="1:4" ht="16.5" hidden="1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313">
        <f>参数调整!$K$37*怪物掉落配置方案!$D4653</f>
        <v>1.7911474460656618E-4</v>
      </c>
    </row>
    <row r="6706" spans="1:4" ht="16.5" hidden="1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313">
        <f>参数调整!$K$37*怪物掉落配置方案!$D4654</f>
        <v>2.0561641600243572E-4</v>
      </c>
    </row>
    <row r="6707" spans="1:4" ht="16.5" hidden="1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313">
        <f>参数调整!$K$37*怪物掉落配置方案!$D4655</f>
        <v>2.3394578887388239E-4</v>
      </c>
    </row>
    <row r="6708" spans="1:4" ht="16.5" hidden="1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313">
        <f>参数调整!$K$37*怪物掉落配置方案!$D4656</f>
        <v>2.9608763904350746E-4</v>
      </c>
    </row>
    <row r="6709" spans="1:4" ht="16.5" hidden="1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313">
        <f>参数调整!$K$37*怪物掉落配置方案!$D4657</f>
        <v>3.6554029511544123E-4</v>
      </c>
    </row>
    <row r="6710" spans="1:4" ht="16.5" hidden="1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313">
        <f>参数调整!$K$37*怪物掉落配置方案!$D4658</f>
        <v>4.4230375708968392E-4</v>
      </c>
    </row>
    <row r="6711" spans="1:4" ht="16.5" hidden="1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313">
        <f>参数调整!$K$37*怪物掉落配置方案!$D4659</f>
        <v>5.711567111178769E-4</v>
      </c>
    </row>
    <row r="6712" spans="1:4" ht="16.5" hidden="1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313">
        <f>参数调整!$K$37*怪物掉落配置方案!$D4660</f>
        <v>8.2246566400974268E-4</v>
      </c>
    </row>
    <row r="6713" spans="1:4" ht="16.5" hidden="1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313">
        <f>参数调整!$K$37*怪物掉落配置方案!$D4661</f>
        <v>1.1194671537910386E-3</v>
      </c>
    </row>
    <row r="6714" spans="1:4" ht="16.5" hidden="1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313">
        <f>参数调整!$K$37*怪物掉落配置方案!$D4662</f>
        <v>1.2510616600325977E-3</v>
      </c>
    </row>
    <row r="6715" spans="1:4" ht="16.5" hidden="1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313">
        <f>参数调整!$K$37*怪物掉落配置方案!$D4663</f>
        <v>1.4621611804617649E-3</v>
      </c>
    </row>
    <row r="6716" spans="1:4" ht="16.5" hidden="1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313">
        <f>参数调整!$K$37*怪物掉落配置方案!$D4664</f>
        <v>1.6897100141711268E-3</v>
      </c>
    </row>
    <row r="6717" spans="1:4" ht="16.5" hidden="1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313">
        <f>参数调整!$K$37*怪物掉落配置方案!$D4665</f>
        <v>1.9337081611606837E-3</v>
      </c>
    </row>
    <row r="6718" spans="1:4" ht="16.5" hidden="1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313">
        <f>参数调整!$K$37*怪物掉落配置方案!$D4666</f>
        <v>2.1941556214304363E-3</v>
      </c>
    </row>
    <row r="6719" spans="1:4" ht="16.5" hidden="1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313">
        <f>参数调整!$K$37*怪物掉落配置方案!$D4667</f>
        <v>2.4710523949803827E-3</v>
      </c>
    </row>
    <row r="6720" spans="1:4" ht="16.5" hidden="1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313">
        <f>参数调整!$K$37*怪物掉落配置方案!$D4668</f>
        <v>2.764398481810525E-3</v>
      </c>
    </row>
    <row r="6721" spans="1:4" ht="16.5" hidden="1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313">
        <f>参数调整!$K$37*怪物掉落配置方案!$D4669</f>
        <v>3.0741938819208604E-3</v>
      </c>
    </row>
    <row r="6722" spans="1:4" ht="16.5" hidden="1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313">
        <f>参数调整!$K$37*怪物掉落配置方案!$D4670</f>
        <v>3.4004385953113909E-3</v>
      </c>
    </row>
    <row r="6723" spans="1:4" ht="16.5" hidden="1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313">
        <f>参数调整!$K$37*怪物掉落配置方案!$D4671</f>
        <v>3.7431326219821183E-3</v>
      </c>
    </row>
    <row r="6724" spans="1:4" ht="16.5" hidden="1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313">
        <f>参数调整!$K$37*怪物掉落配置方案!$D4672</f>
        <v>4.1022759619330391E-3</v>
      </c>
    </row>
    <row r="6725" spans="1:4" ht="16.5" hidden="1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313">
        <f>参数调整!$K$37*怪物掉落配置方案!$D4673</f>
        <v>4.4778686151641552E-3</v>
      </c>
    </row>
    <row r="6726" spans="1:4" ht="16.5" hidden="1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313">
        <f>参数调整!$K$37*怪物掉落配置方案!$D4674</f>
        <v>9.0801854447843079E-4</v>
      </c>
    </row>
    <row r="6727" spans="1:4" ht="16.5" hidden="1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313">
        <f>参数调整!$K$37*怪物掉落配置方案!$D4675</f>
        <v>1.1492109703555142E-3</v>
      </c>
    </row>
    <row r="6728" spans="1:4" ht="16.5" hidden="1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313">
        <f>参数调整!$K$37*怪物掉落配置方案!$D4676</f>
        <v>1.418778975747548E-3</v>
      </c>
    </row>
    <row r="6729" spans="1:4" ht="16.5" hidden="1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313">
        <f>参数调整!$K$37*怪物掉落配置方案!$D4677</f>
        <v>1.7167225606545332E-3</v>
      </c>
    </row>
    <row r="6730" spans="1:4" ht="16.5" hidden="1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313">
        <f>参数调整!$K$37*怪物掉落配置方案!$D4678</f>
        <v>2.0430417250764687E-3</v>
      </c>
    </row>
    <row r="6731" spans="1:4" ht="16.5" hidden="1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313">
        <f>参数调整!$K$37*怪物掉落配置方案!$D4679</f>
        <v>2.3977364690133565E-3</v>
      </c>
    </row>
    <row r="6732" spans="1:4" ht="16.5" hidden="1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313">
        <f>参数调整!$K$37*怪物掉落配置方案!$D4680</f>
        <v>2.780806792465194E-3</v>
      </c>
    </row>
    <row r="6733" spans="1:4" ht="16.5" hidden="1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313">
        <f>参数调整!$K$37*怪物掉落配置方案!$D4681</f>
        <v>3.1922526954319833E-3</v>
      </c>
    </row>
    <row r="6734" spans="1:4" ht="16.5" hidden="1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313">
        <f>参数调整!$K$37*怪物掉落配置方案!$D4682</f>
        <v>3.6320741779137231E-3</v>
      </c>
    </row>
    <row r="6735" spans="1:4" ht="16.5" hidden="1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313">
        <f>参数调整!$K$37*怪物掉落配置方案!$D4683</f>
        <v>4.5968438814220558E-3</v>
      </c>
    </row>
    <row r="6736" spans="1:4" ht="16.5" hidden="1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313">
        <f>参数调整!$K$37*怪物掉落配置方案!$D4684</f>
        <v>5.6751159029901918E-3</v>
      </c>
    </row>
    <row r="6737" spans="1:4" ht="16.5" hidden="1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313">
        <f>参数调整!$K$37*怪物掉落配置方案!$D4685</f>
        <v>6.8668902426181327E-3</v>
      </c>
    </row>
    <row r="6738" spans="1:4" ht="16.5" hidden="1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313">
        <f>参数调整!$K$37*怪物掉落配置方案!$D4686</f>
        <v>8.8673685984221751E-3</v>
      </c>
    </row>
    <row r="6739" spans="1:4" ht="16.5" hidden="1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313">
        <f>参数调整!$K$37*怪物掉落配置方案!$D4687</f>
        <v>1.276901078172793E-2</v>
      </c>
    </row>
    <row r="6740" spans="1:4" ht="16.5" hidden="1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313">
        <f>参数调整!$K$37*怪物掉落配置方案!$D4688</f>
        <v>1.7380042452907463E-2</v>
      </c>
    </row>
    <row r="6741" spans="1:4" ht="16.5" hidden="1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313">
        <f>参数调整!$K$37*怪物掉落配置方案!$D4689</f>
        <v>1.9423084177983933E-2</v>
      </c>
    </row>
    <row r="6742" spans="1:4" ht="16.5" hidden="1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313">
        <f>参数调整!$K$37*怪物掉落配置方案!$D4690</f>
        <v>2.2700463611960767E-2</v>
      </c>
    </row>
    <row r="6743" spans="1:4" ht="16.5" hidden="1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313">
        <f>参数调整!$K$37*怪物掉落配置方案!$D4691</f>
        <v>2.623322326157216E-2</v>
      </c>
    </row>
    <row r="6744" spans="1:4" ht="16.5" hidden="1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313">
        <f>参数调整!$K$37*怪物掉落配置方案!$D4692</f>
        <v>3.002136312681811E-2</v>
      </c>
    </row>
    <row r="6745" spans="1:4" ht="16.5" hidden="1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313">
        <f>参数调整!$K$37*怪物掉落配置方案!$D4693</f>
        <v>3.4064883207698633E-2</v>
      </c>
    </row>
    <row r="6746" spans="1:4" ht="16.5" hidden="1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313">
        <f>参数调整!$K$37*怪物掉落配置方案!$D4694</f>
        <v>3.836378350421369E-2</v>
      </c>
    </row>
    <row r="6747" spans="1:4" ht="16.5" hidden="1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313">
        <f>参数调整!$K$37*怪物掉落配置方案!$D4695</f>
        <v>4.2918064016363333E-2</v>
      </c>
    </row>
    <row r="6748" spans="1:4" ht="16.5" hidden="1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313">
        <f>参数调整!$K$37*怪物掉落配置方案!$D4696</f>
        <v>4.7727724744147507E-2</v>
      </c>
    </row>
    <row r="6749" spans="1:4" ht="16.5" hidden="1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313">
        <f>参数调整!$K$37*怪物掉落配置方案!$D4697</f>
        <v>5.2792765687566245E-2</v>
      </c>
    </row>
    <row r="6750" spans="1:4" ht="16.5" hidden="1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313">
        <f>参数调整!$K$37*怪物掉落配置方案!$D4698</f>
        <v>5.811318684661957E-2</v>
      </c>
    </row>
    <row r="6751" spans="1:4" ht="16.5" hidden="1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313">
        <f>参数调整!$K$37*怪物掉落配置方案!$D4699</f>
        <v>6.3688988221307433E-2</v>
      </c>
    </row>
    <row r="6752" spans="1:4" ht="16.5" hidden="1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313">
        <f>参数调整!$K$37*怪物掉落配置方案!$D4700</f>
        <v>6.9520169811629853E-2</v>
      </c>
    </row>
    <row r="6753" spans="1:4" ht="16.5" hidden="1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313">
        <f>参数调整!$K$37*怪物掉落配置方案!$D4701</f>
        <v>5.1885112559125089E-3</v>
      </c>
    </row>
    <row r="6754" spans="1:4" ht="16.5" hidden="1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313">
        <f>参数调整!$K$37*怪物掉落配置方案!$D4702</f>
        <v>6.5667095582642694E-3</v>
      </c>
    </row>
    <row r="6755" spans="1:4" ht="16.5" hidden="1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313">
        <f>参数调整!$K$37*怪物掉落配置方案!$D4703</f>
        <v>8.1070488373632937E-3</v>
      </c>
    </row>
    <row r="6756" spans="1:4" ht="16.5" hidden="1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313">
        <f>参数调整!$K$37*怪物掉落配置方案!$D4704</f>
        <v>9.8095290932095867E-3</v>
      </c>
    </row>
    <row r="6757" spans="1:4" ht="16.5" hidden="1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313">
        <f>参数调整!$K$37*怪物掉落配置方案!$D4705</f>
        <v>1.1674150325803139E-2</v>
      </c>
    </row>
    <row r="6758" spans="1:4" ht="16.5" hidden="1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313">
        <f>参数调整!$K$37*怪物掉落配置方案!$D4706</f>
        <v>1.3700912535143968E-2</v>
      </c>
    </row>
    <row r="6759" spans="1:4" ht="16.5" hidden="1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313">
        <f>参数调整!$K$37*怪物掉落配置方案!$D4707</f>
        <v>1.5889815721232051E-2</v>
      </c>
    </row>
    <row r="6760" spans="1:4" ht="16.5" hidden="1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313">
        <f>参数调整!$K$37*怪物掉落配置方案!$D4708</f>
        <v>1.8240859884067408E-2</v>
      </c>
    </row>
    <row r="6761" spans="1:4" ht="16.5" hidden="1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313">
        <f>参数调整!$K$37*怪物掉落配置方案!$D4709</f>
        <v>2.0754045023650036E-2</v>
      </c>
    </row>
    <row r="6762" spans="1:4" ht="16.5" hidden="1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313">
        <f>参数调整!$K$37*怪物掉落配置方案!$D4710</f>
        <v>2.6266838233057074E-2</v>
      </c>
    </row>
    <row r="6763" spans="1:4" ht="16.5" hidden="1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313">
        <f>参数调整!$K$37*怪物掉落配置方案!$D4711</f>
        <v>3.2428195349453168E-2</v>
      </c>
    </row>
    <row r="6764" spans="1:4" ht="16.5" hidden="1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313">
        <f>参数调整!$K$37*怪物掉落配置方案!$D4712</f>
        <v>3.9238116372838347E-2</v>
      </c>
    </row>
    <row r="6765" spans="1:4" ht="16.5" hidden="1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313">
        <f>参数调整!$K$37*怪物掉落配置方案!$D4713</f>
        <v>5.0669055233520582E-2</v>
      </c>
    </row>
    <row r="6766" spans="1:4" ht="16.5" hidden="1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313">
        <f>参数调整!$K$37*怪物掉落配置方案!$D4714</f>
        <v>7.2963439536269631E-2</v>
      </c>
    </row>
    <row r="6767" spans="1:4" ht="16.5" hidden="1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313">
        <f>参数调整!$K$37*怪物掉落配置方案!$D4715</f>
        <v>9.9311348257700327E-2</v>
      </c>
    </row>
    <row r="6768" spans="1:4" ht="16.5" hidden="1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313">
        <f>参数调整!$K$37*怪物掉落配置方案!$D4716</f>
        <v>0.1109854985835035</v>
      </c>
    </row>
    <row r="6769" spans="1:4" ht="16.5" hidden="1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313">
        <f>参数调整!$K$37*怪物掉落配置方案!$D4717</f>
        <v>0.12971278139781267</v>
      </c>
    </row>
    <row r="6770" spans="1:4" ht="16.5" hidden="1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313">
        <f>参数调整!$K$37*怪物掉落配置方案!$D4718</f>
        <v>0.14989933300284727</v>
      </c>
    </row>
    <row r="6771" spans="1:4" ht="16.5" hidden="1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313">
        <f>参数调整!$K$37*怪物掉落配置方案!$D4719</f>
        <v>0.17154515339860726</v>
      </c>
    </row>
    <row r="6772" spans="1:4" ht="16.5" hidden="1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313">
        <f>参数调整!$K$37*怪物掉落配置方案!$D4720</f>
        <v>0.1946502425850927</v>
      </c>
    </row>
    <row r="6773" spans="1:4" ht="16.5" hidden="1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313">
        <f>参数调整!$K$37*怪物掉落配置方案!$D4721</f>
        <v>0.21921460056230344</v>
      </c>
    </row>
    <row r="6774" spans="1:4" ht="16.5" hidden="1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313">
        <f>参数调整!$K$37*怪物掉落配置方案!$D4722</f>
        <v>0.24523822733023964</v>
      </c>
    </row>
    <row r="6775" spans="1:4" ht="16.5" hidden="1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313">
        <f>参数调整!$K$37*怪物掉落配置方案!$D4723</f>
        <v>0.27272112288890116</v>
      </c>
    </row>
    <row r="6776" spans="1:4" ht="16.5" hidden="1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313">
        <f>参数调整!$K$37*怪物掉落配置方案!$D4724</f>
        <v>0.30166328723828811</v>
      </c>
    </row>
    <row r="6777" spans="1:4" ht="16.5" hidden="1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313">
        <f>参数调整!$K$37*怪物掉落配置方案!$D4725</f>
        <v>0.33206472037840051</v>
      </c>
    </row>
    <row r="6778" spans="1:4" ht="16.5" hidden="1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313">
        <f>参数调整!$K$37*怪物掉落配置方案!$D4726</f>
        <v>0.36392542230923824</v>
      </c>
    </row>
    <row r="6779" spans="1:4" ht="16.5" hidden="1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313">
        <f>参数调整!$K$37*怪物掉落配置方案!$D4727</f>
        <v>0.39724539303080136</v>
      </c>
    </row>
    <row r="6780" spans="1:4" ht="16.5" hidden="1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313">
        <f>参数调整!$K$37*怪物掉落配置方案!$D4728</f>
        <v>6.4984941353856237E-6</v>
      </c>
    </row>
    <row r="6781" spans="1:4" ht="16.5" hidden="1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313">
        <f>参数调整!$K$37*怪物掉落配置方案!$D4729</f>
        <v>8.2246566400974304E-6</v>
      </c>
    </row>
    <row r="6782" spans="1:4" ht="16.5" hidden="1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313">
        <f>参数调整!$K$37*怪物掉落配置方案!$D4730</f>
        <v>1.0153897086540036E-5</v>
      </c>
    </row>
    <row r="6783" spans="1:4" ht="16.5" hidden="1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313">
        <f>参数调整!$K$37*怪物掉落配置方案!$D4731</f>
        <v>1.2286215474713444E-5</v>
      </c>
    </row>
    <row r="6784" spans="1:4" ht="16.5" hidden="1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313">
        <f>参数调整!$K$37*怪物掉落配置方案!$D4732</f>
        <v>1.462161180461765E-5</v>
      </c>
    </row>
    <row r="6785" spans="1:4" ht="16.5" hidden="1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313">
        <f>参数调整!$K$37*怪物掉落配置方案!$D4733</f>
        <v>1.7160086076252664E-5</v>
      </c>
    </row>
    <row r="6786" spans="1:4" ht="16.5" hidden="1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313">
        <f>参数调整!$K$37*怪物掉落配置方案!$D4734</f>
        <v>1.9901638289618468E-5</v>
      </c>
    </row>
    <row r="6787" spans="1:4" ht="16.5" hidden="1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313">
        <f>参数调整!$K$37*怪物掉落配置方案!$D4735</f>
        <v>2.284626844471508E-5</v>
      </c>
    </row>
    <row r="6788" spans="1:4" ht="16.5" hidden="1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313">
        <f>参数调整!$K$37*怪物掉落配置方案!$D4736</f>
        <v>2.5993976541542495E-5</v>
      </c>
    </row>
    <row r="6789" spans="1:4" ht="16.5" hidden="1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313">
        <f>参数调整!$K$37*怪物掉落配置方案!$D4737</f>
        <v>3.2898626560389722E-5</v>
      </c>
    </row>
    <row r="6790" spans="1:4" ht="16.5" hidden="1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313">
        <f>参数调整!$K$37*怪物掉落配置方案!$D4738</f>
        <v>4.0615588346160145E-5</v>
      </c>
    </row>
    <row r="6791" spans="1:4" ht="16.5" hidden="1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313">
        <f>参数调整!$K$37*怪物掉落配置方案!$D4739</f>
        <v>4.9144861898853777E-5</v>
      </c>
    </row>
    <row r="6792" spans="1:4" ht="16.5" hidden="1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313">
        <f>参数调整!$K$37*怪物掉落配置方案!$D4740</f>
        <v>6.3461856790875221E-5</v>
      </c>
    </row>
    <row r="6793" spans="1:4" ht="16.5" hidden="1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313">
        <f>参数调整!$K$37*怪物掉落配置方案!$D4741</f>
        <v>9.1385073778860307E-5</v>
      </c>
    </row>
    <row r="6794" spans="1:4" ht="16.5" hidden="1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313">
        <f>参数调整!$K$37*怪物掉落配置方案!$D4742</f>
        <v>1.2438523931011539E-4</v>
      </c>
    </row>
    <row r="6795" spans="1:4" ht="16.5" hidden="1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313">
        <f>参数调整!$K$37*怪物掉落配置方案!$D4743</f>
        <v>1.3900685111473311E-4</v>
      </c>
    </row>
    <row r="6796" spans="1:4" ht="16.5" hidden="1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313">
        <f>参数调整!$K$37*怪物掉落配置方案!$D4744</f>
        <v>1.6246235338464058E-4</v>
      </c>
    </row>
    <row r="6797" spans="1:4" ht="16.5" hidden="1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313">
        <f>参数调整!$K$37*怪物掉落配置方案!$D4745</f>
        <v>1.8774555713012525E-4</v>
      </c>
    </row>
    <row r="6798" spans="1:4" ht="16.5" hidden="1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313">
        <f>参数调整!$K$37*怪物掉落配置方案!$D4746</f>
        <v>2.1485646235118713E-4</v>
      </c>
    </row>
    <row r="6799" spans="1:4" ht="16.5" hidden="1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313">
        <f>参数调整!$K$37*怪物掉落配置方案!$D4747</f>
        <v>2.4379506904782631E-4</v>
      </c>
    </row>
    <row r="6800" spans="1:4" ht="16.5" hidden="1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313">
        <f>参数调整!$K$37*怪物掉落配置方案!$D4748</f>
        <v>2.7456137722004257E-4</v>
      </c>
    </row>
    <row r="6801" spans="1:4" ht="16.5" hidden="1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313">
        <f>参数调整!$K$37*怪物掉落配置方案!$D4749</f>
        <v>3.0715538686783609E-4</v>
      </c>
    </row>
    <row r="6802" spans="1:4" ht="16.5" hidden="1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313">
        <f>参数调整!$K$37*怪物掉落配置方案!$D4750</f>
        <v>3.4157709799120676E-4</v>
      </c>
    </row>
    <row r="6803" spans="1:4" ht="16.5" hidden="1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313">
        <f>参数调整!$K$37*怪物掉落配置方案!$D4751</f>
        <v>3.7782651059015463E-4</v>
      </c>
    </row>
    <row r="6804" spans="1:4" ht="16.5" hidden="1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313">
        <f>参数调整!$K$37*怪物掉落配置方案!$D4752</f>
        <v>4.1590362466467992E-4</v>
      </c>
    </row>
    <row r="6805" spans="1:4" ht="16.5" hidden="1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313">
        <f>参数调整!$K$37*怪物掉落配置方案!$D4753</f>
        <v>4.5580844021478215E-4</v>
      </c>
    </row>
    <row r="6806" spans="1:4" ht="16.5" hidden="1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313">
        <f>参数调整!$K$37*怪物掉落配置方案!$D4754</f>
        <v>4.9754095724046179E-4</v>
      </c>
    </row>
    <row r="6807" spans="1:4" ht="16.5" hidden="1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313">
        <f>参数调整!$K$37*怪物掉落配置方案!$D4755</f>
        <v>1.1824214577031912E-3</v>
      </c>
    </row>
    <row r="6808" spans="1:4" ht="16.5" hidden="1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313">
        <f>参数调整!$K$37*怪物掉落配置方案!$D4756</f>
        <v>1.4965021574056012E-3</v>
      </c>
    </row>
    <row r="6809" spans="1:4" ht="16.5" hidden="1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313">
        <f>参数调整!$K$37*怪物掉落配置方案!$D4757</f>
        <v>1.8475335276612358E-3</v>
      </c>
    </row>
    <row r="6810" spans="1:4" ht="16.5" hidden="1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313">
        <f>参数调整!$K$37*怪物掉落配置方案!$D4758</f>
        <v>2.2355155684700956E-3</v>
      </c>
    </row>
    <row r="6811" spans="1:4" ht="16.5" hidden="1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313">
        <f>参数调整!$K$37*怪物掉落配置方案!$D4759</f>
        <v>2.6604482798321793E-3</v>
      </c>
    </row>
    <row r="6812" spans="1:4" ht="16.5" hidden="1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313">
        <f>参数调整!$K$37*怪物掉落配置方案!$D4760</f>
        <v>3.1223316617474892E-3</v>
      </c>
    </row>
    <row r="6813" spans="1:4" ht="16.5" hidden="1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313">
        <f>参数调整!$K$37*怪物掉落配置方案!$D4761</f>
        <v>3.6211657142160214E-3</v>
      </c>
    </row>
    <row r="6814" spans="1:4" ht="16.5" hidden="1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313">
        <f>参数调整!$K$37*怪物掉落配置方案!$D4762</f>
        <v>4.1569504372377811E-3</v>
      </c>
    </row>
    <row r="6815" spans="1:4" ht="16.5" hidden="1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313">
        <f>参数调整!$K$37*怪物掉落配置方案!$D4763</f>
        <v>4.7296858308127649E-3</v>
      </c>
    </row>
    <row r="6816" spans="1:4" ht="16.5" hidden="1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313">
        <f>参数调整!$K$37*怪物掉落配置方案!$D4764</f>
        <v>5.9860086296224047E-3</v>
      </c>
    </row>
    <row r="6817" spans="1:4" ht="16.5" hidden="1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313">
        <f>参数调整!$K$37*怪物掉落配置方案!$D4765</f>
        <v>7.3901341106449425E-3</v>
      </c>
    </row>
    <row r="6818" spans="1:4" ht="16.5" hidden="1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313">
        <f>参数调整!$K$37*怪物掉落配置方案!$D4766</f>
        <v>8.9420622738803825E-3</v>
      </c>
    </row>
    <row r="6819" spans="1:4" ht="16.5" hidden="1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313">
        <f>参数调整!$K$37*怪物掉落配置方案!$D4767</f>
        <v>1.1547084547882723E-2</v>
      </c>
    </row>
    <row r="6820" spans="1:4" ht="16.5" hidden="1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313">
        <f>参数调整!$K$37*怪物掉落配置方案!$D4768</f>
        <v>1.6627801748951121E-2</v>
      </c>
    </row>
    <row r="6821" spans="1:4" ht="16.5" hidden="1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313">
        <f>参数调整!$K$37*怪物掉落配置方案!$D4769</f>
        <v>2.2632285713850137E-2</v>
      </c>
    </row>
    <row r="6822" spans="1:4" ht="16.5" hidden="1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313">
        <f>参数调整!$K$37*怪物掉落配置方案!$D4770</f>
        <v>2.5292733993682322E-2</v>
      </c>
    </row>
    <row r="6823" spans="1:4" ht="16.5" hidden="1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313">
        <f>参数调整!$K$37*怪物掉落配置方案!$D4771</f>
        <v>2.956053644257977E-2</v>
      </c>
    </row>
    <row r="6824" spans="1:4" ht="16.5" hidden="1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313">
        <f>参数调整!$K$37*怪物掉落配置方案!$D4772</f>
        <v>3.4160894926456242E-2</v>
      </c>
    </row>
    <row r="6825" spans="1:4" ht="16.5" hidden="1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313">
        <f>参数调整!$K$37*怪物掉落配置方案!$D4773</f>
        <v>3.9093809445311746E-2</v>
      </c>
    </row>
    <row r="6826" spans="1:4" ht="16.5" hidden="1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313">
        <f>参数调整!$K$37*怪物掉落配置方案!$D4774</f>
        <v>4.4359279999146281E-2</v>
      </c>
    </row>
    <row r="6827" spans="1:4" ht="16.5" hidden="1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313">
        <f>参数调整!$K$37*怪物掉落配置方案!$D4775</f>
        <v>4.995730658795982E-2</v>
      </c>
    </row>
    <row r="6828" spans="1:4" ht="16.5" hidden="1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313">
        <f>参数调整!$K$37*怪物掉落配置方案!$D4776</f>
        <v>5.588788921175239E-2</v>
      </c>
    </row>
    <row r="6829" spans="1:4" ht="16.5" hidden="1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313">
        <f>参数调整!$K$37*怪物掉落配置方案!$D4777</f>
        <v>6.215102787052397E-2</v>
      </c>
    </row>
    <row r="6830" spans="1:4" ht="16.5" hidden="1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313">
        <f>参数调整!$K$37*怪物掉落配置方案!$D4778</f>
        <v>6.8746722564274568E-2</v>
      </c>
    </row>
    <row r="6831" spans="1:4" ht="16.5" hidden="1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313">
        <f>参数调整!$K$37*怪物掉落配置方案!$D4779</f>
        <v>7.5674973293004225E-2</v>
      </c>
    </row>
    <row r="6832" spans="1:4" ht="16.5" hidden="1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313">
        <f>参数调整!$K$37*怪物掉落配置方案!$D4780</f>
        <v>8.2935780056712885E-2</v>
      </c>
    </row>
    <row r="6833" spans="1:4" ht="16.5" hidden="1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313">
        <f>参数调整!$K$37*怪物掉落配置方案!$D4781</f>
        <v>9.0529142855400563E-2</v>
      </c>
    </row>
    <row r="6834" spans="1:4" ht="16.5" hidden="1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313">
        <f>参数调整!$K$37*怪物掉落配置方案!$D4782</f>
        <v>1.1824214577031912E-3</v>
      </c>
    </row>
    <row r="6835" spans="1:4" ht="16.5" hidden="1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313">
        <f>参数调整!$K$37*怪物掉落配置方案!$D4783</f>
        <v>1.4965021574056012E-3</v>
      </c>
    </row>
    <row r="6836" spans="1:4" ht="16.5" hidden="1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313">
        <f>参数调整!$K$37*怪物掉落配置方案!$D4784</f>
        <v>1.8475335276612358E-3</v>
      </c>
    </row>
    <row r="6837" spans="1:4" ht="16.5" hidden="1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313">
        <f>参数调整!$K$37*怪物掉落配置方案!$D4785</f>
        <v>2.2355155684700956E-3</v>
      </c>
    </row>
    <row r="6838" spans="1:4" ht="16.5" hidden="1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313">
        <f>参数调整!$K$37*怪物掉落配置方案!$D4786</f>
        <v>2.6604482798321793E-3</v>
      </c>
    </row>
    <row r="6839" spans="1:4" ht="16.5" hidden="1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313">
        <f>参数调整!$K$37*怪物掉落配置方案!$D4787</f>
        <v>3.1223316617474892E-3</v>
      </c>
    </row>
    <row r="6840" spans="1:4" ht="16.5" hidden="1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313">
        <f>参数调整!$K$37*怪物掉落配置方案!$D4788</f>
        <v>3.6211657142160214E-3</v>
      </c>
    </row>
    <row r="6841" spans="1:4" ht="16.5" hidden="1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313">
        <f>参数调整!$K$37*怪物掉落配置方案!$D4789</f>
        <v>4.1569504372377811E-3</v>
      </c>
    </row>
    <row r="6842" spans="1:4" ht="16.5" hidden="1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313">
        <f>参数调整!$K$37*怪物掉落配置方案!$D4790</f>
        <v>4.7296858308127649E-3</v>
      </c>
    </row>
    <row r="6843" spans="1:4" ht="16.5" hidden="1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313">
        <f>参数调整!$K$37*怪物掉落配置方案!$D4791</f>
        <v>5.9860086296224047E-3</v>
      </c>
    </row>
    <row r="6844" spans="1:4" ht="16.5" hidden="1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313">
        <f>参数调整!$K$37*怪物掉落配置方案!$D4792</f>
        <v>7.3901341106449425E-3</v>
      </c>
    </row>
    <row r="6845" spans="1:4" ht="16.5" hidden="1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313">
        <f>参数调整!$K$37*怪物掉落配置方案!$D4793</f>
        <v>8.9420622738803825E-3</v>
      </c>
    </row>
    <row r="6846" spans="1:4" ht="16.5" hidden="1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313">
        <f>参数调整!$K$37*怪物掉落配置方案!$D4794</f>
        <v>1.1547084547882723E-2</v>
      </c>
    </row>
    <row r="6847" spans="1:4" ht="16.5" hidden="1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313">
        <f>参数调整!$K$37*怪物掉落配置方案!$D4795</f>
        <v>1.6627801748951121E-2</v>
      </c>
    </row>
    <row r="6848" spans="1:4" ht="16.5" hidden="1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313">
        <f>参数调整!$K$37*怪物掉落配置方案!$D4796</f>
        <v>2.2632285713850137E-2</v>
      </c>
    </row>
    <row r="6849" spans="1:4" ht="16.5" hidden="1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313">
        <f>参数调整!$K$37*怪物掉落配置方案!$D4797</f>
        <v>2.5292733993682322E-2</v>
      </c>
    </row>
    <row r="6850" spans="1:4" ht="16.5" hidden="1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313">
        <f>参数调整!$K$37*怪物掉落配置方案!$D4798</f>
        <v>2.956053644257977E-2</v>
      </c>
    </row>
    <row r="6851" spans="1:4" ht="16.5" hidden="1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313">
        <f>参数调整!$K$37*怪物掉落配置方案!$D4799</f>
        <v>3.4160894926456242E-2</v>
      </c>
    </row>
    <row r="6852" spans="1:4" ht="16.5" hidden="1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313">
        <f>参数调整!$K$37*怪物掉落配置方案!$D4800</f>
        <v>3.9093809445311746E-2</v>
      </c>
    </row>
    <row r="6853" spans="1:4" ht="16.5" hidden="1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313">
        <f>参数调整!$K$37*怪物掉落配置方案!$D4801</f>
        <v>4.4359279999146281E-2</v>
      </c>
    </row>
    <row r="6854" spans="1:4" ht="16.5" hidden="1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313">
        <f>参数调整!$K$37*怪物掉落配置方案!$D4802</f>
        <v>4.995730658795982E-2</v>
      </c>
    </row>
    <row r="6855" spans="1:4" ht="16.5" hidden="1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313">
        <f>参数调整!$K$37*怪物掉落配置方案!$D4803</f>
        <v>5.588788921175239E-2</v>
      </c>
    </row>
    <row r="6856" spans="1:4" ht="16.5" hidden="1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313">
        <f>参数调整!$K$37*怪物掉落配置方案!$D4804</f>
        <v>6.215102787052397E-2</v>
      </c>
    </row>
    <row r="6857" spans="1:4" ht="16.5" hidden="1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313">
        <f>参数调整!$K$37*怪物掉落配置方案!$D4805</f>
        <v>6.8746722564274568E-2</v>
      </c>
    </row>
    <row r="6858" spans="1:4" ht="16.5" hidden="1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313">
        <f>参数调整!$K$37*怪物掉落配置方案!$D4806</f>
        <v>7.5674973293004225E-2</v>
      </c>
    </row>
    <row r="6859" spans="1:4" ht="16.5" hidden="1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313">
        <f>参数调整!$K$37*怪物掉落配置方案!$D4807</f>
        <v>8.2935780056712885E-2</v>
      </c>
    </row>
    <row r="6860" spans="1:4" ht="16.5" hidden="1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313">
        <f>参数调整!$K$37*怪物掉落配置方案!$D4808</f>
        <v>9.0529142855400563E-2</v>
      </c>
    </row>
    <row r="6861" spans="1:4" ht="16.5" hidden="1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313">
        <f>参数调整!$K$37*怪物掉落配置方案!$D4809</f>
        <v>3.0310221383877414E-2</v>
      </c>
    </row>
    <row r="6862" spans="1:4" ht="16.5" hidden="1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313">
        <f>参数调整!$K$37*怪物掉落配置方案!$D4810</f>
        <v>3.8361373938969857E-2</v>
      </c>
    </row>
    <row r="6863" spans="1:4" ht="16.5" hidden="1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313">
        <f>参数调整!$K$37*怪物掉落配置方案!$D4811</f>
        <v>4.7359720912308459E-2</v>
      </c>
    </row>
    <row r="6864" spans="1:4" ht="16.5" hidden="1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313">
        <f>参数调整!$K$37*怪物掉落配置方案!$D4812</f>
        <v>5.730526230389324E-2</v>
      </c>
    </row>
    <row r="6865" spans="1:4" ht="16.5" hidden="1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313">
        <f>参数调整!$K$37*怪物掉落配置方案!$D4813</f>
        <v>6.8197998113724165E-2</v>
      </c>
    </row>
    <row r="6866" spans="1:4" ht="16.5" hidden="1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313">
        <f>参数调整!$K$37*怪物掉落配置方案!$D4814</f>
        <v>8.003792834180129E-2</v>
      </c>
    </row>
    <row r="6867" spans="1:4" ht="16.5" hidden="1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313">
        <f>参数调整!$K$37*怪物掉落配置方案!$D4815</f>
        <v>9.282505298812456E-2</v>
      </c>
    </row>
    <row r="6868" spans="1:4" ht="16.5" hidden="1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313">
        <f>参数调整!$K$37*怪物掉落配置方案!$D4816</f>
        <v>0.10655937205269403</v>
      </c>
    </row>
    <row r="6869" spans="1:4" ht="16.5" hidden="1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313">
        <f>参数调整!$K$37*怪物掉落配置方案!$D4817</f>
        <v>0.12124088553550967</v>
      </c>
    </row>
    <row r="6870" spans="1:4" ht="16.5" hidden="1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313">
        <f>参数调整!$K$37*怪物掉落配置方案!$D4818</f>
        <v>0.15344549575587943</v>
      </c>
    </row>
    <row r="6871" spans="1:4" ht="16.5" hidden="1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313">
        <f>参数调整!$K$37*怪物掉落配置方案!$D4819</f>
        <v>0.18943888364923381</v>
      </c>
    </row>
    <row r="6872" spans="1:4" ht="16.5" hidden="1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313">
        <f>参数调整!$K$37*怪物掉落配置方案!$D4820</f>
        <v>0.22922104921557296</v>
      </c>
    </row>
    <row r="6873" spans="1:4" ht="16.5" hidden="1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313">
        <f>参数调整!$K$37*怪物掉落配置方案!$D4821</f>
        <v>0.29599825570192784</v>
      </c>
    </row>
    <row r="6874" spans="1:4" ht="16.5" hidden="1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313">
        <f>参数调整!$K$37*怪物掉落配置方案!$D4822</f>
        <v>0.42623748821077601</v>
      </c>
    </row>
    <row r="6875" spans="1:4" ht="16.5" hidden="1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313">
        <f>参数调整!$K$37*怪物掉落配置方案!$D4823</f>
        <v>0.58015658117577851</v>
      </c>
    </row>
    <row r="6876" spans="1:4" ht="16.5" hidden="1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313">
        <f>参数调整!$K$37*怪物掉落配置方案!$D4824</f>
        <v>0.6483545792895028</v>
      </c>
    </row>
    <row r="6877" spans="1:4" ht="16.5" hidden="1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313">
        <f>参数调整!$K$37*怪物掉落配置方案!$D4825</f>
        <v>0.75775553459693523</v>
      </c>
    </row>
    <row r="6878" spans="1:4" ht="16.5" hidden="1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313">
        <f>参数调整!$K$37*怪物掉落配置方案!$D4826</f>
        <v>0.87568123966858313</v>
      </c>
    </row>
    <row r="6879" spans="1:4" ht="16.5" hidden="1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313">
        <f>参数调整!$K$37*怪物掉落配置方案!$D4827</f>
        <v>1.0021316945044467</v>
      </c>
    </row>
    <row r="6880" spans="1:4" ht="16.5" hidden="1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313">
        <f>参数调整!$K$37*怪物掉落配置方案!$D4828</f>
        <v>1.1371068991045261</v>
      </c>
    </row>
    <row r="6881" spans="1:4" ht="16.5" hidden="1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313">
        <f>参数调整!$K$37*怪物掉落配置方案!$D4829</f>
        <v>1.2806068534688206</v>
      </c>
    </row>
    <row r="6882" spans="1:4" ht="16.5" hidden="1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313">
        <f>参数调整!$K$37*怪物掉落配置方案!$D4830</f>
        <v>1.4326315575973312</v>
      </c>
    </row>
    <row r="6883" spans="1:4" ht="16.5" hidden="1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313">
        <f>参数调整!$K$37*怪物掉落配置方案!$D4831</f>
        <v>1.5931810114900564</v>
      </c>
    </row>
    <row r="6884" spans="1:4" ht="16.5" hidden="1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313">
        <f>参数调整!$K$37*怪物掉落配置方案!$D4832</f>
        <v>1.7622552151469975</v>
      </c>
    </row>
    <row r="6885" spans="1:4" ht="16.5" hidden="1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313">
        <f>参数调整!$K$37*怪物掉落配置方案!$D4833</f>
        <v>1.9398541685681545</v>
      </c>
    </row>
    <row r="6886" spans="1:4" ht="16.5" hidden="1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313">
        <f>参数调整!$K$37*怪物掉落配置方案!$D4834</f>
        <v>2.1259778717535269</v>
      </c>
    </row>
    <row r="6887" spans="1:4" ht="16.5" hidden="1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313">
        <f>参数调整!$K$37*怪物掉落配置方案!$D4835</f>
        <v>2.3206263247031145</v>
      </c>
    </row>
    <row r="6888" spans="1:4" ht="16.5" hidden="1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313">
        <f>参数调整!$K$37*怪物掉落配置方案!$D4836</f>
        <v>1.7870858872310463E-4</v>
      </c>
    </row>
    <row r="6889" spans="1:4" ht="16.5" hidden="1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313">
        <f>参数调整!$K$37*怪物掉落配置方案!$D4837</f>
        <v>2.2617805760267936E-4</v>
      </c>
    </row>
    <row r="6890" spans="1:4" ht="16.5" hidden="1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313">
        <f>参数调整!$K$37*怪物掉落配置方案!$D4838</f>
        <v>2.7923216987985099E-4</v>
      </c>
    </row>
    <row r="6891" spans="1:4" ht="16.5" hidden="1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313">
        <f>参数调整!$K$37*怪物掉落配置方案!$D4839</f>
        <v>3.3787092555461975E-4</v>
      </c>
    </row>
    <row r="6892" spans="1:4" ht="16.5" hidden="1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313">
        <f>参数调整!$K$37*怪物掉落配置方案!$D4840</f>
        <v>4.0209432462698526E-4</v>
      </c>
    </row>
    <row r="6893" spans="1:4" ht="16.5" hidden="1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313">
        <f>参数调整!$K$37*怪物掉落配置方案!$D4841</f>
        <v>4.7190236709694817E-4</v>
      </c>
    </row>
    <row r="6894" spans="1:4" ht="16.5" hidden="1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313">
        <f>参数调整!$K$37*怪物掉落配置方案!$D4842</f>
        <v>5.4729505296450783E-4</v>
      </c>
    </row>
    <row r="6895" spans="1:4" ht="16.5" hidden="1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313">
        <f>参数调整!$K$37*怪物掉落配置方案!$D4843</f>
        <v>6.2827238222966473E-4</v>
      </c>
    </row>
    <row r="6896" spans="1:4" ht="16.5" hidden="1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313">
        <f>参数调整!$K$37*怪物掉落配置方案!$D4844</f>
        <v>7.1483435489241853E-4</v>
      </c>
    </row>
    <row r="6897" spans="1:4" ht="16.5" hidden="1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313">
        <f>参数调整!$K$37*怪物掉落配置方案!$D4845</f>
        <v>9.0471223041071721E-4</v>
      </c>
    </row>
    <row r="6898" spans="1:4" ht="16.5" hidden="1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313">
        <f>参数调整!$K$37*怪物掉落配置方案!$D4846</f>
        <v>1.1169286795194037E-3</v>
      </c>
    </row>
    <row r="6899" spans="1:4" ht="16.5" hidden="1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313">
        <f>参数调整!$K$37*怪物掉落配置方案!$D4847</f>
        <v>1.3514837022184786E-3</v>
      </c>
    </row>
    <row r="6900" spans="1:4" ht="16.5" hidden="1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313">
        <f>参数调整!$K$37*怪物掉落配置方案!$D4848</f>
        <v>1.7452010617490684E-3</v>
      </c>
    </row>
    <row r="6901" spans="1:4" ht="16.5" hidden="1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313">
        <f>参数调整!$K$37*怪物掉落配置方案!$D4849</f>
        <v>2.5130895289186585E-3</v>
      </c>
    </row>
    <row r="6902" spans="1:4" ht="16.5" hidden="1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313">
        <f>参数调整!$K$37*怪物掉落配置方案!$D4850</f>
        <v>3.4205940810281736E-3</v>
      </c>
    </row>
    <row r="6903" spans="1:4" ht="16.5" hidden="1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313">
        <f>参数调整!$K$37*怪物掉落配置方案!$D4851</f>
        <v>3.8226884056551604E-3</v>
      </c>
    </row>
    <row r="6904" spans="1:4" ht="16.5" hidden="1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313">
        <f>参数调整!$K$37*怪物掉落配置方案!$D4852</f>
        <v>4.467714718077615E-3</v>
      </c>
    </row>
    <row r="6905" spans="1:4" ht="16.5" hidden="1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313">
        <f>参数调整!$K$37*怪物掉落配置方案!$D4853</f>
        <v>5.1630028210784438E-3</v>
      </c>
    </row>
    <row r="6906" spans="1:4" ht="16.5" hidden="1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313">
        <f>参数调整!$K$37*怪物掉落配置方案!$D4854</f>
        <v>5.9085527146576465E-3</v>
      </c>
    </row>
    <row r="6907" spans="1:4" ht="16.5" hidden="1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313">
        <f>参数调整!$K$37*怪物掉落配置方案!$D4855</f>
        <v>6.704364398815223E-3</v>
      </c>
    </row>
    <row r="6908" spans="1:4" ht="16.5" hidden="1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313">
        <f>参数调整!$K$37*怪物掉落配置方案!$D4856</f>
        <v>7.5504378735511699E-3</v>
      </c>
    </row>
    <row r="6909" spans="1:4" ht="16.5" hidden="1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313">
        <f>参数调整!$K$37*怪物掉落配置方案!$D4857</f>
        <v>8.4467731388654915E-3</v>
      </c>
    </row>
    <row r="6910" spans="1:4" ht="16.5" hidden="1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313">
        <f>参数调整!$K$37*怪物掉落配置方案!$D4858</f>
        <v>9.3933701947581851E-3</v>
      </c>
    </row>
    <row r="6911" spans="1:4" ht="16.5" hidden="1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313">
        <f>参数调整!$K$37*怪物掉落配置方案!$D4859</f>
        <v>1.0390229041229252E-2</v>
      </c>
    </row>
    <row r="6912" spans="1:4" ht="16.5" hidden="1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313">
        <f>参数调整!$K$37*怪物掉落配置方案!$D4860</f>
        <v>1.1437349678278697E-2</v>
      </c>
    </row>
    <row r="6913" spans="1:4" ht="16.5" hidden="1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313">
        <f>参数调整!$K$37*怪物掉落配置方案!$D4861</f>
        <v>1.2534732105906509E-2</v>
      </c>
    </row>
    <row r="6914" spans="1:4" ht="16.5" hidden="1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313">
        <f>参数调整!$K$37*怪物掉落配置方案!$D4862</f>
        <v>1.3682376324112698E-2</v>
      </c>
    </row>
    <row r="6915" spans="1:4" ht="16.5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313">
        <f>参数调整!$K$37*怪物掉落配置方案!$D4863</f>
        <v>3334</v>
      </c>
    </row>
    <row r="6916" spans="1:4" ht="16.5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313">
        <f>参数调整!$K$37*怪物掉落配置方案!$D4864</f>
        <v>5324</v>
      </c>
    </row>
    <row r="6917" spans="1:4" ht="16.5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313">
        <f>参数调整!$K$37*怪物掉落配置方案!$D4865</f>
        <v>8666</v>
      </c>
    </row>
    <row r="6918" spans="1:4" ht="16.5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313">
        <f>参数调整!$K$37*怪物掉落配置方案!$D4866</f>
        <v>10834</v>
      </c>
    </row>
    <row r="6919" spans="1:4" ht="16.5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313">
        <f>参数调整!$K$37*怪物掉落配置方案!$D4867</f>
        <v>10888</v>
      </c>
    </row>
    <row r="6920" spans="1:4" ht="16.5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313">
        <f>参数调整!$K$37*怪物掉落配置方案!$D4868</f>
        <v>11148</v>
      </c>
    </row>
    <row r="6921" spans="1:4" ht="16.5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313">
        <f>参数调整!$K$37*怪物掉落配置方案!$D4869</f>
        <v>12582</v>
      </c>
    </row>
    <row r="6922" spans="1:4" ht="16.5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313">
        <f>参数调整!$K$37*怪物掉落配置方案!$D4870</f>
        <v>20162</v>
      </c>
    </row>
    <row r="6923" spans="1:4" ht="16.5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313">
        <f>参数调整!$K$37*怪物掉落配置方案!$D4871</f>
        <v>34670</v>
      </c>
    </row>
    <row r="6924" spans="1:4" ht="16.5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313">
        <f>参数调整!$K$37*怪物掉落配置方案!$D4872</f>
        <v>40794</v>
      </c>
    </row>
    <row r="6925" spans="1:4" ht="16.5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313">
        <f>参数调整!$K$37*怪物掉落配置方案!$D4873</f>
        <v>63000</v>
      </c>
    </row>
    <row r="6926" spans="1:4" ht="16.5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313">
        <f>参数调整!$K$37*怪物掉落配置方案!$D4874</f>
        <v>65112</v>
      </c>
    </row>
    <row r="6927" spans="1:4" ht="16.5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313">
        <f>参数调整!$K$37*怪物掉落配置方案!$D4875</f>
        <v>259628</v>
      </c>
    </row>
    <row r="6928" spans="1:4" ht="16.5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313">
        <f>参数调整!$K$37*怪物掉落配置方案!$D4876</f>
        <v>888834</v>
      </c>
    </row>
    <row r="6929" spans="1:4" ht="16.5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313">
        <f>参数调整!$K$37*怪物掉落配置方案!$D4877</f>
        <v>10736778</v>
      </c>
    </row>
    <row r="6930" spans="1:4" ht="16.5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313">
        <f>参数调整!$K$37*怪物掉落配置方案!$D4878</f>
        <v>9762934</v>
      </c>
    </row>
    <row r="6931" spans="1:4" ht="16.5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313">
        <f>参数调整!$K$37*怪物掉落配置方案!$D4879</f>
        <v>11666666</v>
      </c>
    </row>
    <row r="6932" spans="1:4" ht="16.5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313">
        <f>参数调整!$K$37*怪物掉落配置方案!$D4880</f>
        <v>2333334</v>
      </c>
    </row>
    <row r="6933" spans="1:4" ht="16.5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313">
        <f>参数调整!$K$37*怪物掉落配置方案!$D4881</f>
        <v>2333334</v>
      </c>
    </row>
    <row r="6934" spans="1:4" ht="16.5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313">
        <f>参数调整!$K$37*怪物掉落配置方案!$D4882</f>
        <v>2333334</v>
      </c>
    </row>
    <row r="6935" spans="1:4" ht="16.5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313">
        <f>参数调整!$K$37*怪物掉落配置方案!$D4883</f>
        <v>2333334</v>
      </c>
    </row>
    <row r="6936" spans="1:4" ht="16.5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313">
        <f>参数调整!$K$37*怪物掉落配置方案!$D4884</f>
        <v>2333334</v>
      </c>
    </row>
    <row r="6937" spans="1:4" ht="16.5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313">
        <f>参数调整!$K$37*怪物掉落配置方案!$D4885</f>
        <v>1166666</v>
      </c>
    </row>
    <row r="6938" spans="1:4" ht="16.5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313">
        <f>参数调整!$K$37*怪物掉落配置方案!$D4886</f>
        <v>1166666</v>
      </c>
    </row>
    <row r="6939" spans="1:4" ht="16.5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313">
        <f>参数调整!$K$37*怪物掉落配置方案!$D4887</f>
        <v>1166666</v>
      </c>
    </row>
    <row r="6940" spans="1:4" ht="16.5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313">
        <f>参数调整!$K$37*怪物掉落配置方案!$D4888</f>
        <v>1166666</v>
      </c>
    </row>
    <row r="6941" spans="1:4" ht="16.5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313">
        <f>参数调整!$K$37*怪物掉落配置方案!$D4889</f>
        <v>1166666</v>
      </c>
    </row>
    <row r="6942" spans="1:4" ht="16.5" hidden="1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313">
        <f>参数调整!$K$37*怪物掉落配置方案!$D4890</f>
        <v>1.0377022511825016E-3</v>
      </c>
    </row>
    <row r="6943" spans="1:4" ht="16.5" hidden="1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313">
        <f>参数调整!$K$37*怪物掉落配置方案!$D4891</f>
        <v>1.3133419116528539E-3</v>
      </c>
    </row>
    <row r="6944" spans="1:4" ht="16.5" hidden="1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313">
        <f>参数调整!$K$37*怪物掉落配置方案!$D4892</f>
        <v>1.6214097674726586E-3</v>
      </c>
    </row>
    <row r="6945" spans="1:4" ht="16.5" hidden="1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313">
        <f>参数调整!$K$37*怪物掉落配置方案!$D4893</f>
        <v>1.9619058186419172E-3</v>
      </c>
    </row>
    <row r="6946" spans="1:4" ht="16.5" hidden="1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313">
        <f>参数调整!$K$37*怪物掉落配置方案!$D4894</f>
        <v>2.3348300651606282E-3</v>
      </c>
    </row>
    <row r="6947" spans="1:4" ht="16.5" hidden="1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313">
        <f>参数调整!$K$37*怪物掉落配置方案!$D4895</f>
        <v>2.7401825070287938E-3</v>
      </c>
    </row>
    <row r="6948" spans="1:4" ht="16.5" hidden="1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313">
        <f>参数调整!$K$37*怪物掉落配置方案!$D4896</f>
        <v>3.1779631442464106E-3</v>
      </c>
    </row>
    <row r="6949" spans="1:4" ht="16.5" hidden="1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313">
        <f>参数调整!$K$37*怪物掉落配置方案!$D4897</f>
        <v>3.6481719768134821E-3</v>
      </c>
    </row>
    <row r="6950" spans="1:4" ht="16.5" hidden="1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313">
        <f>参数调整!$K$37*怪物掉落配置方案!$D4898</f>
        <v>4.1508090047300073E-3</v>
      </c>
    </row>
    <row r="6951" spans="1:4" ht="16.5" hidden="1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313">
        <f>参数调整!$K$37*怪物掉落配置方案!$D4899</f>
        <v>5.2533676466114147E-3</v>
      </c>
    </row>
    <row r="6952" spans="1:4" ht="16.5" hidden="1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313">
        <f>参数调整!$K$37*怪物掉落配置方案!$D4900</f>
        <v>6.4856390698906346E-3</v>
      </c>
    </row>
    <row r="6953" spans="1:4" ht="16.5" hidden="1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313">
        <f>参数调整!$K$37*怪物掉落配置方案!$D4901</f>
        <v>7.8476232745676687E-3</v>
      </c>
    </row>
    <row r="6954" spans="1:4" ht="16.5" hidden="1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313">
        <f>参数调整!$K$37*怪物掉落配置方案!$D4902</f>
        <v>1.0133811046704118E-2</v>
      </c>
    </row>
    <row r="6955" spans="1:4" ht="16.5" hidden="1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313">
        <f>参数调整!$K$37*怪物掉落配置方案!$D4903</f>
        <v>1.4592687907253925E-2</v>
      </c>
    </row>
    <row r="6956" spans="1:4" ht="16.5" hidden="1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313">
        <f>参数调整!$K$37*怪物掉落配置方案!$D4904</f>
        <v>1.9862269651540067E-2</v>
      </c>
    </row>
    <row r="6957" spans="1:4" ht="16.5" hidden="1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313">
        <f>参数调整!$K$37*怪物掉落配置方案!$D4905</f>
        <v>2.21970997167007E-2</v>
      </c>
    </row>
    <row r="6958" spans="1:4" ht="16.5" hidden="1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313">
        <f>参数调整!$K$37*怪物掉落配置方案!$D4906</f>
        <v>2.5942556279562538E-2</v>
      </c>
    </row>
    <row r="6959" spans="1:4" ht="16.5" hidden="1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313">
        <f>参数调整!$K$37*怪物掉落配置方案!$D4907</f>
        <v>2.9979866600569456E-2</v>
      </c>
    </row>
    <row r="6960" spans="1:4" ht="16.5" hidden="1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313">
        <f>参数调整!$K$37*怪物掉落配置方案!$D4908</f>
        <v>3.4309030679721457E-2</v>
      </c>
    </row>
    <row r="6961" spans="1:4" ht="16.5" hidden="1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313">
        <f>参数调整!$K$37*怪物掉落配置方案!$D4909</f>
        <v>3.8930048517018548E-2</v>
      </c>
    </row>
    <row r="6962" spans="1:4" ht="16.5" hidden="1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313">
        <f>参数调整!$K$37*怪物掉落配置方案!$D4910</f>
        <v>4.3842920112460687E-2</v>
      </c>
    </row>
    <row r="6963" spans="1:4" ht="16.5" hidden="1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313">
        <f>参数调整!$K$37*怪物掉落配置方案!$D4911</f>
        <v>4.904764546604793E-2</v>
      </c>
    </row>
    <row r="6964" spans="1:4" ht="16.5" hidden="1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313">
        <f>参数调整!$K$37*怪物掉落配置方案!$D4912</f>
        <v>5.4544224577780236E-2</v>
      </c>
    </row>
    <row r="6965" spans="1:4" ht="16.5" hidden="1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313">
        <f>参数调整!$K$37*怪物掉落配置方案!$D4913</f>
        <v>6.0332657447657624E-2</v>
      </c>
    </row>
    <row r="6966" spans="1:4" ht="16.5" hidden="1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313">
        <f>参数调整!$K$37*怪物掉落配置方案!$D4914</f>
        <v>6.6412944075680103E-2</v>
      </c>
    </row>
    <row r="6967" spans="1:4" ht="16.5" hidden="1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313">
        <f>参数调整!$K$37*怪物掉落配置方案!$D4915</f>
        <v>7.2785084461847643E-2</v>
      </c>
    </row>
    <row r="6968" spans="1:4" ht="16.5" hidden="1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313">
        <f>参数调整!$K$37*怪物掉落配置方案!$D4916</f>
        <v>7.9449078606160281E-2</v>
      </c>
    </row>
    <row r="6969" spans="1:4" ht="16.5" hidden="1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313">
        <f>参数调整!$K$37*怪物掉落配置方案!$D4917</f>
        <v>0</v>
      </c>
    </row>
    <row r="6970" spans="1:4" ht="16.5" hidden="1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313">
        <f>参数调整!$K$37*怪物掉落配置方案!$D4918</f>
        <v>0</v>
      </c>
    </row>
    <row r="6971" spans="1:4" ht="16.5" hidden="1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313">
        <f>参数调整!$K$37*怪物掉落配置方案!$D4919</f>
        <v>0</v>
      </c>
    </row>
    <row r="6972" spans="1:4" ht="16.5" hidden="1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313">
        <f>参数调整!$K$37*怪物掉落配置方案!$D4920</f>
        <v>0</v>
      </c>
    </row>
    <row r="6973" spans="1:4" ht="16.5" hidden="1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313">
        <f>参数调整!$K$37*怪物掉落配置方案!$D4921</f>
        <v>0</v>
      </c>
    </row>
    <row r="6974" spans="1:4" ht="16.5" hidden="1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313">
        <f>参数调整!$K$37*怪物掉落配置方案!$D4922</f>
        <v>0</v>
      </c>
    </row>
    <row r="6975" spans="1:4" ht="16.5" hidden="1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313">
        <f>参数调整!$K$37*怪物掉落配置方案!$D4923</f>
        <v>0</v>
      </c>
    </row>
    <row r="6976" spans="1:4" ht="16.5" hidden="1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313">
        <f>参数调整!$K$37*怪物掉落配置方案!$D4924</f>
        <v>0</v>
      </c>
    </row>
    <row r="6977" spans="1:4" ht="16.5" hidden="1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313">
        <f>参数调整!$K$37*怪物掉落配置方案!$D4925</f>
        <v>0</v>
      </c>
    </row>
    <row r="6978" spans="1:4" ht="16.5" hidden="1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313">
        <f>参数调整!$K$37*怪物掉落配置方案!$D4926</f>
        <v>0</v>
      </c>
    </row>
    <row r="6979" spans="1:4" ht="16.5" hidden="1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313">
        <f>参数调整!$K$37*怪物掉落配置方案!$D4927</f>
        <v>0</v>
      </c>
    </row>
    <row r="6980" spans="1:4" ht="16.5" hidden="1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313">
        <f>参数调整!$K$37*怪物掉落配置方案!$D4928</f>
        <v>0</v>
      </c>
    </row>
    <row r="6981" spans="1:4" ht="16.5" hidden="1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313">
        <f>参数调整!$K$37*怪物掉落配置方案!$D4929</f>
        <v>0</v>
      </c>
    </row>
    <row r="6982" spans="1:4" ht="16.5" hidden="1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313">
        <f>参数调整!$K$37*怪物掉落配置方案!$D4930</f>
        <v>0</v>
      </c>
    </row>
    <row r="6983" spans="1:4" ht="16.5" hidden="1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313">
        <f>参数调整!$K$37*怪物掉落配置方案!$D4931</f>
        <v>0</v>
      </c>
    </row>
    <row r="6984" spans="1:4" ht="16.5" hidden="1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313">
        <f>参数调整!$K$37*怪物掉落配置方案!$D4932</f>
        <v>0</v>
      </c>
    </row>
    <row r="6985" spans="1:4" ht="16.5" hidden="1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313">
        <f>参数调整!$K$37*怪物掉落配置方案!$D4933</f>
        <v>0</v>
      </c>
    </row>
    <row r="6986" spans="1:4" ht="16.5" hidden="1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313">
        <f>参数调整!$K$37*怪物掉落配置方案!$D4934</f>
        <v>0</v>
      </c>
    </row>
    <row r="6987" spans="1:4" ht="16.5" hidden="1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313">
        <f>参数调整!$K$37*怪物掉落配置方案!$D4935</f>
        <v>0</v>
      </c>
    </row>
    <row r="6988" spans="1:4" ht="16.5" hidden="1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313">
        <f>参数调整!$K$37*怪物掉落配置方案!$D4936</f>
        <v>0</v>
      </c>
    </row>
    <row r="6989" spans="1:4" ht="16.5" hidden="1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313">
        <f>参数调整!$K$37*怪物掉落配置方案!$D4937</f>
        <v>0</v>
      </c>
    </row>
    <row r="6990" spans="1:4" ht="16.5" hidden="1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313">
        <f>参数调整!$K$37*怪物掉落配置方案!$D4938</f>
        <v>0</v>
      </c>
    </row>
    <row r="6991" spans="1:4" ht="16.5" hidden="1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313">
        <f>参数调整!$K$37*怪物掉落配置方案!$D4939</f>
        <v>0</v>
      </c>
    </row>
    <row r="6992" spans="1:4" ht="16.5" hidden="1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313">
        <f>参数调整!$K$37*怪物掉落配置方案!$D4940</f>
        <v>0</v>
      </c>
    </row>
    <row r="6993" spans="1:4" ht="16.5" hidden="1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313">
        <f>参数调整!$K$37*怪物掉落配置方案!$D4941</f>
        <v>0</v>
      </c>
    </row>
    <row r="6994" spans="1:4" ht="16.5" hidden="1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313">
        <f>参数调整!$K$37*怪物掉落配置方案!$D4942</f>
        <v>0</v>
      </c>
    </row>
    <row r="6995" spans="1:4" ht="16.5" hidden="1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313">
        <f>参数调整!$K$37*怪物掉落配置方案!$D4943</f>
        <v>0</v>
      </c>
    </row>
    <row r="6996" spans="1:4" ht="16.5" hidden="1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313">
        <f>参数调整!$K$37*怪物掉落配置方案!$D4944</f>
        <v>4.9232587948801426E-4</v>
      </c>
    </row>
    <row r="6997" spans="1:4" ht="16.5" hidden="1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313">
        <f>参数调整!$K$37*怪物掉落配置方案!$D4945</f>
        <v>6.2309994122701821E-4</v>
      </c>
    </row>
    <row r="6998" spans="1:4" ht="16.5" hidden="1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313">
        <f>参数调整!$K$37*怪物掉落配置方案!$D4946</f>
        <v>7.692591867000222E-4</v>
      </c>
    </row>
    <row r="6999" spans="1:4" ht="16.5" hidden="1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313">
        <f>参数调整!$K$37*怪物掉落配置方案!$D4947</f>
        <v>9.30803615907027E-4</v>
      </c>
    </row>
    <row r="7000" spans="1:4" ht="16.5" hidden="1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313">
        <f>参数调整!$K$37*怪物掉落配置方案!$D4948</f>
        <v>1.107733228848032E-3</v>
      </c>
    </row>
    <row r="7001" spans="1:4" ht="16.5" hidden="1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313">
        <f>参数调整!$K$37*怪物掉落配置方案!$D4949</f>
        <v>1.3000480255230377E-3</v>
      </c>
    </row>
    <row r="7002" spans="1:4" ht="16.5" hidden="1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313">
        <f>参数调整!$K$37*怪物掉落配置方案!$D4950</f>
        <v>1.5077480059320432E-3</v>
      </c>
    </row>
    <row r="7003" spans="1:4" ht="16.5" hidden="1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313">
        <f>参数调整!$K$37*怪物掉落配置方案!$D4951</f>
        <v>1.7308331700750499E-3</v>
      </c>
    </row>
    <row r="7004" spans="1:4" ht="16.5" hidden="1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313">
        <f>参数调整!$K$37*怪物掉落配置方案!$D4952</f>
        <v>1.9693035179520575E-3</v>
      </c>
    </row>
    <row r="7005" spans="1:4" ht="16.5" hidden="1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313">
        <f>参数调整!$K$37*怪物掉落配置方案!$D4953</f>
        <v>2.492399764908072E-3</v>
      </c>
    </row>
    <row r="7006" spans="1:4" ht="16.5" hidden="1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313">
        <f>参数调整!$K$37*怪物掉落配置方案!$D4954</f>
        <v>3.0770367468000888E-3</v>
      </c>
    </row>
    <row r="7007" spans="1:4" ht="16.5" hidden="1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313">
        <f>参数调整!$K$37*怪物掉落配置方案!$D4955</f>
        <v>3.723214463628108E-3</v>
      </c>
    </row>
    <row r="7008" spans="1:4" ht="16.5" hidden="1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313">
        <f>参数调整!$K$37*怪物掉落配置方案!$D4956</f>
        <v>4.8078699168751385E-3</v>
      </c>
    </row>
    <row r="7009" spans="1:4" ht="16.5" hidden="1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313">
        <f>参数调整!$K$37*怪物掉落配置方案!$D4957</f>
        <v>6.9233326803001989E-3</v>
      </c>
    </row>
    <row r="7010" spans="1:4" ht="16.5" hidden="1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313">
        <f>参数调整!$K$37*怪物掉落配置方案!$D4958</f>
        <v>9.4234250370752708E-3</v>
      </c>
    </row>
    <row r="7011" spans="1:4" ht="16.5" hidden="1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313">
        <f>参数调整!$K$37*怪物掉落配置方案!$D4959</f>
        <v>1.0531158265923305E-2</v>
      </c>
    </row>
    <row r="7012" spans="1:4" ht="16.5" hidden="1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313">
        <f>参数调整!$K$37*怪物掉落配置方案!$D4960</f>
        <v>1.2308146987200355E-2</v>
      </c>
    </row>
    <row r="7013" spans="1:4" ht="16.5" hidden="1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313">
        <f>参数调整!$K$37*怪物掉落配置方案!$D4961</f>
        <v>1.4223602362083409E-2</v>
      </c>
    </row>
    <row r="7014" spans="1:4" ht="16.5" hidden="1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313">
        <f>参数调整!$K$37*怪物掉落配置方案!$D4962</f>
        <v>1.6277524390572468E-2</v>
      </c>
    </row>
    <row r="7015" spans="1:4" ht="16.5" hidden="1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313">
        <f>参数调整!$K$37*怪物掉落配置方案!$D4963</f>
        <v>1.8469913072667536E-2</v>
      </c>
    </row>
    <row r="7016" spans="1:4" ht="16.5" hidden="1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313">
        <f>参数调整!$K$37*怪物掉落配置方案!$D4964</f>
        <v>2.0800768408368604E-2</v>
      </c>
    </row>
    <row r="7017" spans="1:4" ht="16.5" hidden="1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313">
        <f>参数调整!$K$37*怪物掉落配置方案!$D4965</f>
        <v>2.3270090397675674E-2</v>
      </c>
    </row>
    <row r="7018" spans="1:4" ht="16.5" hidden="1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313">
        <f>参数调整!$K$37*怪物掉落配置方案!$D4966</f>
        <v>2.5877879040588744E-2</v>
      </c>
    </row>
    <row r="7019" spans="1:4" ht="16.5" hidden="1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313">
        <f>参数调整!$K$37*怪物掉落配置方案!$D4967</f>
        <v>2.862413433710782E-2</v>
      </c>
    </row>
    <row r="7020" spans="1:4" ht="16.5" hidden="1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313">
        <f>参数调整!$K$37*怪物掉落配置方案!$D4968</f>
        <v>3.1508856287232913E-2</v>
      </c>
    </row>
    <row r="7021" spans="1:4" ht="16.5" hidden="1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313">
        <f>参数调整!$K$37*怪物掉落配置方案!$D4969</f>
        <v>3.4532044890964002E-2</v>
      </c>
    </row>
    <row r="7022" spans="1:4" ht="16.5" hidden="1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313">
        <f>参数调整!$K$37*怪物掉落配置方案!$D4970</f>
        <v>3.769370014830109E-2</v>
      </c>
    </row>
    <row r="7023" spans="1:4" ht="16.5" hidden="1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313">
        <f>参数调整!$K$37*怪物掉落配置方案!$D4971</f>
        <v>1.3000294096767978E-2</v>
      </c>
    </row>
    <row r="7024" spans="1:4" ht="16.5" hidden="1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313">
        <f>参数调整!$K$37*怪物掉落配置方案!$D4972</f>
        <v>1.6453497216221975E-2</v>
      </c>
    </row>
    <row r="7025" spans="1:4" ht="16.5" hidden="1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313">
        <f>参数调整!$K$37*怪物掉落配置方案!$D4973</f>
        <v>2.0312959526199968E-2</v>
      </c>
    </row>
    <row r="7026" spans="1:4" ht="16.5" hidden="1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313">
        <f>参数调整!$K$37*怪物掉落配置方案!$D4974</f>
        <v>2.4578681026701962E-2</v>
      </c>
    </row>
    <row r="7027" spans="1:4" ht="16.5" hidden="1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313">
        <f>参数调整!$K$37*怪物掉落配置方案!$D4975</f>
        <v>2.9250661717727944E-2</v>
      </c>
    </row>
    <row r="7028" spans="1:4" ht="16.5" hidden="1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313">
        <f>参数调整!$K$37*怪物掉落配置方案!$D4976</f>
        <v>3.4328901599277949E-2</v>
      </c>
    </row>
    <row r="7029" spans="1:4" ht="16.5" hidden="1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313">
        <f>参数调整!$K$37*怪物掉落配置方案!$D4977</f>
        <v>3.9813400671351931E-2</v>
      </c>
    </row>
    <row r="7030" spans="1:4" ht="16.5" hidden="1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313">
        <f>参数调整!$K$37*怪物掉落配置方案!$D4978</f>
        <v>4.5704158933949926E-2</v>
      </c>
    </row>
    <row r="7031" spans="1:4" ht="16.5" hidden="1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313">
        <f>参数调整!$K$37*怪物掉落配置方案!$D4979</f>
        <v>5.2001176387071926E-2</v>
      </c>
    </row>
    <row r="7032" spans="1:4" ht="16.5" hidden="1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313">
        <f>参数调整!$K$37*怪物掉落配置方案!$D4980</f>
        <v>6.5813988864887901E-2</v>
      </c>
    </row>
    <row r="7033" spans="1:4" ht="16.5" hidden="1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313">
        <f>参数调整!$K$37*怪物掉落配置方案!$D4981</f>
        <v>8.1251838104799842E-2</v>
      </c>
    </row>
    <row r="7034" spans="1:4" ht="16.5" hidden="1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313">
        <f>参数调整!$K$37*怪物掉落配置方案!$D4982</f>
        <v>9.8314724106807846E-2</v>
      </c>
    </row>
    <row r="7035" spans="1:4" ht="16.5" hidden="1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313">
        <f>参数调整!$K$37*怪物掉落配置方案!$D4983</f>
        <v>0.12695599703874977</v>
      </c>
    </row>
    <row r="7036" spans="1:4" ht="16.5" hidden="1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313">
        <f>参数调整!$K$37*怪物掉落配置方案!$D4984</f>
        <v>0.18281663573579965</v>
      </c>
    </row>
    <row r="7037" spans="1:4" ht="16.5" hidden="1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313">
        <f>参数调整!$K$37*怪物掉落配置方案!$D4985</f>
        <v>0.24883375419594955</v>
      </c>
    </row>
    <row r="7038" spans="1:4" ht="16.5" hidden="1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313">
        <f>参数调整!$K$37*怪物掉落配置方案!$D4986</f>
        <v>0.27808441591367755</v>
      </c>
    </row>
    <row r="7039" spans="1:4" ht="16.5" hidden="1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313">
        <f>参数调整!$K$37*怪物掉落配置方案!$D4987</f>
        <v>0.32500735241919937</v>
      </c>
    </row>
    <row r="7040" spans="1:4" ht="16.5" hidden="1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313">
        <f>参数调整!$K$37*怪物掉落配置方案!$D4988</f>
        <v>0.37558662163943729</v>
      </c>
    </row>
    <row r="7041" spans="1:4" ht="16.5" hidden="1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313">
        <f>参数调整!$K$37*怪物掉落配置方案!$D4989</f>
        <v>0.4298222235743912</v>
      </c>
    </row>
    <row r="7042" spans="1:4" ht="16.5" hidden="1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313">
        <f>参数调整!$K$37*怪物掉落配置方案!$D4990</f>
        <v>0.48771415822406122</v>
      </c>
    </row>
    <row r="7043" spans="1:4" ht="16.5" hidden="1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313">
        <f>参数调整!$K$37*怪物掉落配置方案!$D4991</f>
        <v>0.54926242558844707</v>
      </c>
    </row>
    <row r="7044" spans="1:4" ht="16.5" hidden="1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313">
        <f>参数调整!$K$37*怪物掉落配置方案!$D4992</f>
        <v>0.61446702566754896</v>
      </c>
    </row>
    <row r="7045" spans="1:4" ht="16.5" hidden="1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313">
        <f>参数调整!$K$37*怪物掉落配置方案!$D4993</f>
        <v>0.68332795846136685</v>
      </c>
    </row>
    <row r="7046" spans="1:4" ht="16.5" hidden="1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313">
        <f>参数调整!$K$37*怪物掉落配置方案!$D4994</f>
        <v>0.75584522396990061</v>
      </c>
    </row>
    <row r="7047" spans="1:4" ht="16.5" hidden="1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313">
        <f>参数调整!$K$37*怪物掉落配置方案!$D4995</f>
        <v>0.8320188221931506</v>
      </c>
    </row>
    <row r="7048" spans="1:4" ht="16.5" hidden="1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313">
        <f>参数调整!$K$37*怪物掉落配置方案!$D4996</f>
        <v>0.91184875313111635</v>
      </c>
    </row>
    <row r="7049" spans="1:4" ht="16.5" hidden="1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313">
        <f>参数调整!$K$37*怪物掉落配置方案!$D4997</f>
        <v>0.99533501678379843</v>
      </c>
    </row>
    <row r="7050" spans="1:4" ht="16.5" hidden="1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313">
        <f>参数调整!$K$37*怪物掉落配置方案!$D4998</f>
        <v>6.4984941353856237E-6</v>
      </c>
    </row>
    <row r="7051" spans="1:4" ht="16.5" hidden="1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313">
        <f>参数调整!$K$37*怪物掉落配置方案!$D4999</f>
        <v>8.2246566400974304E-6</v>
      </c>
    </row>
    <row r="7052" spans="1:4" ht="16.5" hidden="1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313">
        <f>参数调整!$K$37*怪物掉落配置方案!$D5000</f>
        <v>1.0153897086540036E-5</v>
      </c>
    </row>
    <row r="7053" spans="1:4" ht="16.5" hidden="1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313">
        <f>参数调整!$K$37*怪物掉落配置方案!$D5001</f>
        <v>1.2286215474713444E-5</v>
      </c>
    </row>
    <row r="7054" spans="1:4" ht="16.5" hidden="1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313">
        <f>参数调整!$K$37*怪物掉落配置方案!$D5002</f>
        <v>1.462161180461765E-5</v>
      </c>
    </row>
    <row r="7055" spans="1:4" ht="16.5" hidden="1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313">
        <f>参数调整!$K$37*怪物掉落配置方案!$D5003</f>
        <v>1.7160086076252664E-5</v>
      </c>
    </row>
    <row r="7056" spans="1:4" ht="16.5" hidden="1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313">
        <f>参数调整!$K$37*怪物掉落配置方案!$D5004</f>
        <v>1.9901638289618468E-5</v>
      </c>
    </row>
    <row r="7057" spans="1:4" ht="16.5" hidden="1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313">
        <f>参数调整!$K$37*怪物掉落配置方案!$D5005</f>
        <v>2.284626844471508E-5</v>
      </c>
    </row>
    <row r="7058" spans="1:4" ht="16.5" hidden="1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313">
        <f>参数调整!$K$37*怪物掉落配置方案!$D5006</f>
        <v>2.5993976541542495E-5</v>
      </c>
    </row>
    <row r="7059" spans="1:4" ht="16.5" hidden="1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313">
        <f>参数调整!$K$37*怪物掉落配置方案!$D5007</f>
        <v>3.2898626560389722E-5</v>
      </c>
    </row>
    <row r="7060" spans="1:4" ht="16.5" hidden="1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313">
        <f>参数调整!$K$37*怪物掉落配置方案!$D5008</f>
        <v>4.0615588346160145E-5</v>
      </c>
    </row>
    <row r="7061" spans="1:4" ht="16.5" hidden="1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313">
        <f>参数调整!$K$37*怪物掉落配置方案!$D5009</f>
        <v>4.9144861898853777E-5</v>
      </c>
    </row>
    <row r="7062" spans="1:4" ht="16.5" hidden="1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313">
        <f>参数调整!$K$37*怪物掉落配置方案!$D5010</f>
        <v>6.3461856790875221E-5</v>
      </c>
    </row>
    <row r="7063" spans="1:4" ht="16.5" hidden="1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313">
        <f>参数调整!$K$37*怪物掉落配置方案!$D5011</f>
        <v>9.1385073778860307E-5</v>
      </c>
    </row>
    <row r="7064" spans="1:4" ht="16.5" hidden="1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313">
        <f>参数调整!$K$37*怪物掉落配置方案!$D5012</f>
        <v>1.2438523931011539E-4</v>
      </c>
    </row>
    <row r="7065" spans="1:4" ht="16.5" hidden="1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313">
        <f>参数调整!$K$37*怪物掉落配置方案!$D5013</f>
        <v>1.3900685111473311E-4</v>
      </c>
    </row>
    <row r="7066" spans="1:4" ht="16.5" hidden="1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313">
        <f>参数调整!$K$37*怪物掉落配置方案!$D5014</f>
        <v>1.6246235338464058E-4</v>
      </c>
    </row>
    <row r="7067" spans="1:4" ht="16.5" hidden="1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313">
        <f>参数调整!$K$37*怪物掉落配置方案!$D5015</f>
        <v>1.8774555713012525E-4</v>
      </c>
    </row>
    <row r="7068" spans="1:4" ht="16.5" hidden="1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313">
        <f>参数调整!$K$37*怪物掉落配置方案!$D5016</f>
        <v>2.1485646235118713E-4</v>
      </c>
    </row>
    <row r="7069" spans="1:4" ht="16.5" hidden="1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313">
        <f>参数调整!$K$37*怪物掉落配置方案!$D5017</f>
        <v>2.4379506904782631E-4</v>
      </c>
    </row>
    <row r="7070" spans="1:4" ht="16.5" hidden="1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313">
        <f>参数调整!$K$37*怪物掉落配置方案!$D5018</f>
        <v>2.7456137722004257E-4</v>
      </c>
    </row>
    <row r="7071" spans="1:4" ht="16.5" hidden="1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313">
        <f>参数调整!$K$37*怪物掉落配置方案!$D5019</f>
        <v>3.0715538686783609E-4</v>
      </c>
    </row>
    <row r="7072" spans="1:4" ht="16.5" hidden="1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313">
        <f>参数调整!$K$37*怪物掉落配置方案!$D5020</f>
        <v>3.4157709799120676E-4</v>
      </c>
    </row>
    <row r="7073" spans="1:4" ht="16.5" hidden="1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313">
        <f>参数调整!$K$37*怪物掉落配置方案!$D5021</f>
        <v>3.7782651059015463E-4</v>
      </c>
    </row>
    <row r="7074" spans="1:4" ht="16.5" hidden="1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313">
        <f>参数调整!$K$37*怪物掉落配置方案!$D5022</f>
        <v>4.1590362466467992E-4</v>
      </c>
    </row>
    <row r="7075" spans="1:4" ht="16.5" hidden="1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313">
        <f>参数调整!$K$37*怪物掉落配置方案!$D5023</f>
        <v>4.5580844021478215E-4</v>
      </c>
    </row>
    <row r="7076" spans="1:4" ht="16.5" hidden="1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313">
        <f>参数调整!$K$37*怪物掉落配置方案!$D5024</f>
        <v>4.9754095724046179E-4</v>
      </c>
    </row>
    <row r="7077" spans="1:4" ht="16.5" hidden="1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313">
        <f>参数调整!$K$37*怪物掉落配置方案!$D5025</f>
        <v>1.7870858872310463E-3</v>
      </c>
    </row>
    <row r="7078" spans="1:4" ht="16.5" hidden="1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313">
        <f>参数调整!$K$37*怪物掉落配置方案!$D5026</f>
        <v>2.2617805760267932E-3</v>
      </c>
    </row>
    <row r="7079" spans="1:4" ht="16.5" hidden="1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313">
        <f>参数调整!$K$37*怪物掉落配置方案!$D5027</f>
        <v>2.7923216987985095E-3</v>
      </c>
    </row>
    <row r="7080" spans="1:4" ht="16.5" hidden="1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313">
        <f>参数调整!$K$37*怪物掉落配置方案!$D5028</f>
        <v>3.3787092555461968E-3</v>
      </c>
    </row>
    <row r="7081" spans="1:4" ht="16.5" hidden="1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313">
        <f>参数调整!$K$37*怪物掉落配置方案!$D5029</f>
        <v>4.0209432462698534E-3</v>
      </c>
    </row>
    <row r="7082" spans="1:4" ht="16.5" hidden="1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313">
        <f>参数调整!$K$37*怪物掉落配置方案!$D5030</f>
        <v>4.7190236709694815E-3</v>
      </c>
    </row>
    <row r="7083" spans="1:4" ht="16.5" hidden="1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313">
        <f>参数调整!$K$37*怪物掉落配置方案!$D5031</f>
        <v>5.4729505296450777E-3</v>
      </c>
    </row>
    <row r="7084" spans="1:4" ht="16.5" hidden="1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313">
        <f>参数调整!$K$37*怪物掉落配置方案!$D5032</f>
        <v>6.2827238222966479E-3</v>
      </c>
    </row>
    <row r="7085" spans="1:4" ht="16.5" hidden="1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313">
        <f>参数调整!$K$37*怪物掉落配置方案!$D5033</f>
        <v>7.1483435489241853E-3</v>
      </c>
    </row>
    <row r="7086" spans="1:4" ht="16.5" hidden="1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313">
        <f>参数调整!$K$37*怪物掉落配置方案!$D5034</f>
        <v>9.0471223041071729E-3</v>
      </c>
    </row>
    <row r="7087" spans="1:4" ht="16.5" hidden="1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313">
        <f>参数调整!$K$37*怪物掉落配置方案!$D5035</f>
        <v>1.1169286795194038E-2</v>
      </c>
    </row>
    <row r="7088" spans="1:4" ht="16.5" hidden="1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313">
        <f>参数调整!$K$37*怪物掉落配置方案!$D5036</f>
        <v>1.3514837022184789E-2</v>
      </c>
    </row>
    <row r="7089" spans="1:4" ht="16.5" hidden="1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313">
        <f>参数调整!$K$37*怪物掉落配置方案!$D5037</f>
        <v>1.7452010617490687E-2</v>
      </c>
    </row>
    <row r="7090" spans="1:4" ht="16.5" hidden="1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313">
        <f>参数调整!$K$37*怪物掉落配置方案!$D5038</f>
        <v>2.5130895289186581E-2</v>
      </c>
    </row>
    <row r="7091" spans="1:4" ht="16.5" hidden="1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313">
        <f>参数调整!$K$37*怪物掉落配置方案!$D5039</f>
        <v>3.4205940810281742E-2</v>
      </c>
    </row>
    <row r="7092" spans="1:4" ht="16.5" hidden="1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313">
        <f>参数调整!$K$37*怪物掉落配置方案!$D5040</f>
        <v>3.8226884056551599E-2</v>
      </c>
    </row>
    <row r="7093" spans="1:4" ht="16.5" hidden="1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313">
        <f>参数调整!$K$37*怪物掉落配置方案!$D5041</f>
        <v>4.4677147180776151E-2</v>
      </c>
    </row>
    <row r="7094" spans="1:4" ht="16.5" hidden="1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313">
        <f>参数调整!$K$37*怪物掉落配置方案!$D5042</f>
        <v>5.1630028210784433E-2</v>
      </c>
    </row>
    <row r="7095" spans="1:4" ht="16.5" hidden="1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313">
        <f>参数调整!$K$37*怪物掉落配置方案!$D5043</f>
        <v>5.9085527146576451E-2</v>
      </c>
    </row>
    <row r="7096" spans="1:4" ht="16.5" hidden="1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313">
        <f>参数调整!$K$37*怪物掉落配置方案!$D5044</f>
        <v>6.7043643988152213E-2</v>
      </c>
    </row>
    <row r="7097" spans="1:4" ht="16.5" hidden="1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313">
        <f>参数调整!$K$37*怪物掉落配置方案!$D5045</f>
        <v>7.5504378735511704E-2</v>
      </c>
    </row>
    <row r="7098" spans="1:4" ht="16.5" hidden="1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313">
        <f>参数调整!$K$37*怪物掉落配置方案!$D5046</f>
        <v>8.4467731388654918E-2</v>
      </c>
    </row>
    <row r="7099" spans="1:4" ht="16.5" hidden="1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313">
        <f>参数调整!$K$37*怪物掉落配置方案!$D5047</f>
        <v>9.3933701947581841E-2</v>
      </c>
    </row>
    <row r="7100" spans="1:4" ht="16.5" hidden="1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313">
        <f>参数调整!$K$37*怪物掉落配置方案!$D5048</f>
        <v>0.10390229041229253</v>
      </c>
    </row>
    <row r="7101" spans="1:4" ht="16.5" hidden="1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313">
        <f>参数调整!$K$37*怪物掉落配置方案!$D5049</f>
        <v>0.11437349678278697</v>
      </c>
    </row>
    <row r="7102" spans="1:4" ht="16.5" hidden="1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313">
        <f>参数调整!$K$37*怪物掉落配置方案!$D5050</f>
        <v>0.1253473210590651</v>
      </c>
    </row>
    <row r="7103" spans="1:4" ht="16.5" hidden="1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313">
        <f>参数调整!$K$37*怪物掉落配置方案!$D5051</f>
        <v>0.13682376324112697</v>
      </c>
    </row>
    <row r="7104" spans="1:4" ht="16.5" hidden="1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313">
        <f>参数调整!$K$37*怪物掉落配置方案!$D5052</f>
        <v>6.4984941353856234E-5</v>
      </c>
    </row>
    <row r="7105" spans="1:4" ht="16.5" hidden="1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313">
        <f>参数调整!$K$37*怪物掉落配置方案!$D5053</f>
        <v>8.2246566400974311E-5</v>
      </c>
    </row>
    <row r="7106" spans="1:4" ht="16.5" hidden="1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313">
        <f>参数调整!$K$37*怪物掉落配置方案!$D5054</f>
        <v>1.0153897086540035E-4</v>
      </c>
    </row>
    <row r="7107" spans="1:4" ht="16.5" hidden="1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313">
        <f>参数调整!$K$37*怪物掉落配置方案!$D5055</f>
        <v>1.2286215474713444E-4</v>
      </c>
    </row>
    <row r="7108" spans="1:4" ht="16.5" hidden="1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313">
        <f>参数调整!$K$37*怪物掉落配置方案!$D5056</f>
        <v>1.462161180461765E-4</v>
      </c>
    </row>
    <row r="7109" spans="1:4" ht="16.5" hidden="1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313">
        <f>参数调整!$K$37*怪物掉落配置方案!$D5057</f>
        <v>1.716008607625266E-4</v>
      </c>
    </row>
    <row r="7110" spans="1:4" ht="16.5" hidden="1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313">
        <f>参数调整!$K$37*怪物掉落配置方案!$D5058</f>
        <v>1.9901638289618467E-4</v>
      </c>
    </row>
    <row r="7111" spans="1:4" ht="16.5" hidden="1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313">
        <f>参数调整!$K$37*怪物掉落配置方案!$D5059</f>
        <v>2.2846268444715078E-4</v>
      </c>
    </row>
    <row r="7112" spans="1:4" ht="16.5" hidden="1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313">
        <f>参数调整!$K$37*怪物掉落配置方案!$D5060</f>
        <v>2.5993976541542499E-4</v>
      </c>
    </row>
    <row r="7113" spans="1:4" ht="16.5" hidden="1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313">
        <f>参数调整!$K$37*怪物掉落配置方案!$D5061</f>
        <v>3.2898626560389714E-4</v>
      </c>
    </row>
    <row r="7114" spans="1:4" ht="16.5" hidden="1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313">
        <f>参数调整!$K$37*怪物掉落配置方案!$D5062</f>
        <v>4.0615588346160135E-4</v>
      </c>
    </row>
    <row r="7115" spans="1:4" ht="16.5" hidden="1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313">
        <f>参数调整!$K$37*怪物掉落配置方案!$D5063</f>
        <v>4.9144861898853774E-4</v>
      </c>
    </row>
    <row r="7116" spans="1:4" ht="16.5" hidden="1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313">
        <f>参数调整!$K$37*怪物掉落配置方案!$D5064</f>
        <v>6.3461856790875224E-4</v>
      </c>
    </row>
    <row r="7117" spans="1:4" ht="16.5" hidden="1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313">
        <f>参数调整!$K$37*怪物掉落配置方案!$D5065</f>
        <v>9.138507377886029E-4</v>
      </c>
    </row>
    <row r="7118" spans="1:4" ht="16.5" hidden="1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313">
        <f>参数调整!$K$37*怪物掉落配置方案!$D5066</f>
        <v>1.2438523931011542E-3</v>
      </c>
    </row>
    <row r="7119" spans="1:4" ht="16.5" hidden="1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313">
        <f>参数调整!$K$37*怪物掉落配置方案!$D5067</f>
        <v>1.390068511147331E-3</v>
      </c>
    </row>
    <row r="7120" spans="1:4" ht="16.5" hidden="1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313">
        <f>参数调整!$K$37*怪物掉落配置方案!$D5068</f>
        <v>1.6246235338464054E-3</v>
      </c>
    </row>
    <row r="7121" spans="1:4" ht="16.5" hidden="1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313">
        <f>参数调整!$K$37*怪物掉落配置方案!$D5069</f>
        <v>1.8774555713012521E-3</v>
      </c>
    </row>
    <row r="7122" spans="1:4" ht="16.5" hidden="1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313">
        <f>参数调整!$K$37*怪物掉落配置方案!$D5070</f>
        <v>2.1485646235118714E-3</v>
      </c>
    </row>
    <row r="7123" spans="1:4" ht="16.5" hidden="1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313">
        <f>参数调整!$K$37*怪物掉落配置方案!$D5071</f>
        <v>2.437950690478263E-3</v>
      </c>
    </row>
    <row r="7124" spans="1:4" ht="16.5" hidden="1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313">
        <f>参数调整!$K$37*怪物掉落配置方案!$D5072</f>
        <v>2.7456137722004256E-3</v>
      </c>
    </row>
    <row r="7125" spans="1:4" ht="16.5" hidden="1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313">
        <f>参数调整!$K$37*怪物掉落配置方案!$D5073</f>
        <v>3.0715538686783609E-3</v>
      </c>
    </row>
    <row r="7126" spans="1:4" ht="16.5" hidden="1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313">
        <f>参数调整!$K$37*怪物掉落配置方案!$D5074</f>
        <v>3.4157709799120671E-3</v>
      </c>
    </row>
    <row r="7127" spans="1:4" ht="16.5" hidden="1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313">
        <f>参数调整!$K$37*怪物掉落配置方案!$D5075</f>
        <v>3.7782651059015465E-3</v>
      </c>
    </row>
    <row r="7128" spans="1:4" ht="16.5" hidden="1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313">
        <f>参数调整!$K$37*怪物掉落配置方案!$D5076</f>
        <v>4.159036246646799E-3</v>
      </c>
    </row>
    <row r="7129" spans="1:4" ht="16.5" hidden="1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313">
        <f>参数调整!$K$37*怪物掉落配置方案!$D5077</f>
        <v>4.5580844021478216E-3</v>
      </c>
    </row>
    <row r="7130" spans="1:4" ht="16.5" hidden="1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313">
        <f>参数调整!$K$37*怪物掉落配置方案!$D5078</f>
        <v>4.9754095724046177E-3</v>
      </c>
    </row>
    <row r="7131" spans="1:4" ht="16.5" hidden="1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313">
        <f>参数调整!$K$37*怪物掉落配置方案!$D5079</f>
        <v>9.0801854447843076E-3</v>
      </c>
    </row>
    <row r="7132" spans="1:4" ht="16.5" hidden="1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313">
        <f>参数调整!$K$37*怪物掉落配置方案!$D5080</f>
        <v>1.149210970355514E-2</v>
      </c>
    </row>
    <row r="7133" spans="1:4" ht="16.5" hidden="1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313">
        <f>参数调整!$K$37*怪物掉落配置方案!$D5081</f>
        <v>1.4187789757475479E-2</v>
      </c>
    </row>
    <row r="7134" spans="1:4" ht="16.5" hidden="1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313">
        <f>参数调整!$K$37*怪物掉落配置方案!$D5082</f>
        <v>1.7167225606545333E-2</v>
      </c>
    </row>
    <row r="7135" spans="1:4" ht="16.5" hidden="1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313">
        <f>参数调整!$K$37*怪物掉落配置方案!$D5083</f>
        <v>2.0430417250764686E-2</v>
      </c>
    </row>
    <row r="7136" spans="1:4" ht="16.5" hidden="1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313">
        <f>参数调整!$K$37*怪物掉落配置方案!$D5084</f>
        <v>2.3977364690133562E-2</v>
      </c>
    </row>
    <row r="7137" spans="1:4" ht="16.5" hidden="1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313">
        <f>参数调整!$K$37*怪物掉落配置方案!$D5085</f>
        <v>2.7808067924651937E-2</v>
      </c>
    </row>
    <row r="7138" spans="1:4" ht="16.5" hidden="1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313">
        <f>参数调整!$K$37*怪物掉落配置方案!$D5086</f>
        <v>3.1922526954319831E-2</v>
      </c>
    </row>
    <row r="7139" spans="1:4" ht="16.5" hidden="1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313">
        <f>参数调整!$K$37*怪物掉落配置方案!$D5087</f>
        <v>3.6320741779137238E-2</v>
      </c>
    </row>
    <row r="7140" spans="1:4" ht="16.5" hidden="1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313">
        <f>参数调整!$K$37*怪物掉落配置方案!$D5088</f>
        <v>4.5968438814220566E-2</v>
      </c>
    </row>
    <row r="7141" spans="1:4" ht="16.5" hidden="1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313">
        <f>参数调整!$K$37*怪物掉落配置方案!$D5089</f>
        <v>5.6751159029901917E-2</v>
      </c>
    </row>
    <row r="7142" spans="1:4" ht="16.5" hidden="1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313">
        <f>参数调整!$K$37*怪物掉落配置方案!$D5090</f>
        <v>6.866890242618133E-2</v>
      </c>
    </row>
    <row r="7143" spans="1:4" ht="16.5" hidden="1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313">
        <f>参数调整!$K$37*怪物掉落配置方案!$D5091</f>
        <v>8.8673685984221748E-2</v>
      </c>
    </row>
    <row r="7144" spans="1:4" ht="16.5" hidden="1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313">
        <f>参数调整!$K$37*怪物掉落配置方案!$D5092</f>
        <v>0.1276901078172793</v>
      </c>
    </row>
    <row r="7145" spans="1:4" ht="16.5" hidden="1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313">
        <f>参数调整!$K$37*怪物掉落配置方案!$D5093</f>
        <v>0.1738004245290746</v>
      </c>
    </row>
    <row r="7146" spans="1:4" ht="16.5" hidden="1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313">
        <f>参数调整!$K$37*怪物掉落配置方案!$D5094</f>
        <v>0.19423084177983935</v>
      </c>
    </row>
    <row r="7147" spans="1:4" ht="16.5" hidden="1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313">
        <f>参数调整!$K$37*怪物掉落配置方案!$D5095</f>
        <v>0.22700463611960767</v>
      </c>
    </row>
    <row r="7148" spans="1:4" ht="16.5" hidden="1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313">
        <f>参数调整!$K$37*怪物掉落配置方案!$D5096</f>
        <v>0.26233223261572158</v>
      </c>
    </row>
    <row r="7149" spans="1:4" ht="16.5" hidden="1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313">
        <f>参数调整!$K$37*怪物掉落配置方案!$D5097</f>
        <v>0.30021363126818112</v>
      </c>
    </row>
    <row r="7150" spans="1:4" ht="16.5" hidden="1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313">
        <f>参数调整!$K$37*怪物掉落配置方案!$D5098</f>
        <v>0.34064883207698637</v>
      </c>
    </row>
    <row r="7151" spans="1:4" ht="16.5" hidden="1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313">
        <f>参数调整!$K$37*怪物掉落配置方案!$D5099</f>
        <v>0.38363783504213694</v>
      </c>
    </row>
    <row r="7152" spans="1:4" ht="16.5" hidden="1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313">
        <f>参数调整!$K$37*怪物掉落配置方案!$D5100</f>
        <v>0.42918064016363328</v>
      </c>
    </row>
    <row r="7153" spans="1:4" ht="16.5" hidden="1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313">
        <f>参数调整!$K$37*怪物掉落配置方案!$D5101</f>
        <v>0.47727724744147515</v>
      </c>
    </row>
    <row r="7154" spans="1:4" ht="16.5" hidden="1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313">
        <f>参数调整!$K$37*怪物掉落配置方案!$D5102</f>
        <v>0.52792765687566245</v>
      </c>
    </row>
    <row r="7155" spans="1:4" ht="16.5" hidden="1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313">
        <f>参数调整!$K$37*怪物掉落配置方案!$D5103</f>
        <v>0.5811318684661958</v>
      </c>
    </row>
    <row r="7156" spans="1:4" ht="16.5" hidden="1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313">
        <f>参数调整!$K$37*怪物掉落配置方案!$D5104</f>
        <v>0.6368898822130743</v>
      </c>
    </row>
    <row r="7157" spans="1:4" ht="16.5" hidden="1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313">
        <f>参数调整!$K$37*怪物掉落配置方案!$D5105</f>
        <v>0.69520169811629862</v>
      </c>
    </row>
    <row r="7158" spans="1:4" ht="16.5" hidden="1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313">
        <f>参数调整!$K$37*怪物掉落配置方案!$D5106</f>
        <v>1.1824214577031912E-3</v>
      </c>
    </row>
    <row r="7159" spans="1:4" ht="16.5" hidden="1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313">
        <f>参数调整!$K$37*怪物掉落配置方案!$D5107</f>
        <v>1.4965021574056012E-3</v>
      </c>
    </row>
    <row r="7160" spans="1:4" ht="16.5" hidden="1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313">
        <f>参数调整!$K$37*怪物掉落配置方案!$D5108</f>
        <v>1.8475335276612358E-3</v>
      </c>
    </row>
    <row r="7161" spans="1:4" ht="16.5" hidden="1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313">
        <f>参数调整!$K$37*怪物掉落配置方案!$D5109</f>
        <v>2.2355155684700956E-3</v>
      </c>
    </row>
    <row r="7162" spans="1:4" ht="16.5" hidden="1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313">
        <f>参数调整!$K$37*怪物掉落配置方案!$D5110</f>
        <v>2.6604482798321793E-3</v>
      </c>
    </row>
    <row r="7163" spans="1:4" ht="16.5" hidden="1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313">
        <f>参数调整!$K$37*怪物掉落配置方案!$D5111</f>
        <v>3.1223316617474892E-3</v>
      </c>
    </row>
    <row r="7164" spans="1:4" ht="16.5" hidden="1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313">
        <f>参数调整!$K$37*怪物掉落配置方案!$D5112</f>
        <v>3.6211657142160214E-3</v>
      </c>
    </row>
    <row r="7165" spans="1:4" ht="16.5" hidden="1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313">
        <f>参数调整!$K$37*怪物掉落配置方案!$D5113</f>
        <v>4.1569504372377811E-3</v>
      </c>
    </row>
    <row r="7166" spans="1:4" ht="16.5" hidden="1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313">
        <f>参数调整!$K$37*怪物掉落配置方案!$D5114</f>
        <v>4.7296858308127649E-3</v>
      </c>
    </row>
    <row r="7167" spans="1:4" ht="16.5" hidden="1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313">
        <f>参数调整!$K$37*怪物掉落配置方案!$D5115</f>
        <v>5.9860086296224047E-3</v>
      </c>
    </row>
    <row r="7168" spans="1:4" ht="16.5" hidden="1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313">
        <f>参数调整!$K$37*怪物掉落配置方案!$D5116</f>
        <v>7.3901341106449425E-3</v>
      </c>
    </row>
    <row r="7169" spans="1:4" ht="16.5" hidden="1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313">
        <f>参数调整!$K$37*怪物掉落配置方案!$D5117</f>
        <v>8.9420622738803825E-3</v>
      </c>
    </row>
    <row r="7170" spans="1:4" ht="16.5" hidden="1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313">
        <f>参数调整!$K$37*怪物掉落配置方案!$D5118</f>
        <v>1.1547084547882723E-2</v>
      </c>
    </row>
    <row r="7171" spans="1:4" ht="16.5" hidden="1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313">
        <f>参数调整!$K$37*怪物掉落配置方案!$D5119</f>
        <v>1.6627801748951121E-2</v>
      </c>
    </row>
    <row r="7172" spans="1:4" ht="16.5" hidden="1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313">
        <f>参数调整!$K$37*怪物掉落配置方案!$D5120</f>
        <v>2.2632285713850137E-2</v>
      </c>
    </row>
    <row r="7173" spans="1:4" ht="16.5" hidden="1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313">
        <f>参数调整!$K$37*怪物掉落配置方案!$D5121</f>
        <v>2.5292733993682322E-2</v>
      </c>
    </row>
    <row r="7174" spans="1:4" ht="16.5" hidden="1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313">
        <f>参数调整!$K$37*怪物掉落配置方案!$D5122</f>
        <v>2.956053644257977E-2</v>
      </c>
    </row>
    <row r="7175" spans="1:4" ht="16.5" hidden="1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313">
        <f>参数调整!$K$37*怪物掉落配置方案!$D5123</f>
        <v>3.4160894926456242E-2</v>
      </c>
    </row>
    <row r="7176" spans="1:4" ht="16.5" hidden="1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313">
        <f>参数调整!$K$37*怪物掉落配置方案!$D5124</f>
        <v>3.9093809445311746E-2</v>
      </c>
    </row>
    <row r="7177" spans="1:4" ht="16.5" hidden="1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313">
        <f>参数调整!$K$37*怪物掉落配置方案!$D5125</f>
        <v>4.4359279999146281E-2</v>
      </c>
    </row>
    <row r="7178" spans="1:4" ht="16.5" hidden="1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313">
        <f>参数调整!$K$37*怪物掉落配置方案!$D5126</f>
        <v>4.995730658795982E-2</v>
      </c>
    </row>
    <row r="7179" spans="1:4" ht="16.5" hidden="1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313">
        <f>参数调整!$K$37*怪物掉落配置方案!$D5127</f>
        <v>5.588788921175239E-2</v>
      </c>
    </row>
    <row r="7180" spans="1:4" ht="16.5" hidden="1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313">
        <f>参数调整!$K$37*怪物掉落配置方案!$D5128</f>
        <v>6.215102787052397E-2</v>
      </c>
    </row>
    <row r="7181" spans="1:4" ht="16.5" hidden="1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313">
        <f>参数调整!$K$37*怪物掉落配置方案!$D5129</f>
        <v>6.8746722564274568E-2</v>
      </c>
    </row>
    <row r="7182" spans="1:4" ht="16.5" hidden="1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313">
        <f>参数调整!$K$37*怪物掉落配置方案!$D5130</f>
        <v>7.5674973293004225E-2</v>
      </c>
    </row>
    <row r="7183" spans="1:4" ht="16.5" hidden="1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313">
        <f>参数调整!$K$37*怪物掉落配置方案!$D5131</f>
        <v>8.2935780056712885E-2</v>
      </c>
    </row>
    <row r="7184" spans="1:4" ht="16.5" hidden="1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313">
        <f>参数调整!$K$37*怪物掉落配置方案!$D5132</f>
        <v>9.0529142855400563E-2</v>
      </c>
    </row>
    <row r="7185" spans="1:4" ht="16.5" hidden="1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313">
        <f>参数调整!$K$38*怪物掉落配置方案!$D4107</f>
        <v>1.1877452919163956E-3</v>
      </c>
    </row>
    <row r="7186" spans="1:4" ht="16.5" hidden="1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313">
        <f>参数调整!$K$38*怪物掉落配置方案!$D4108</f>
        <v>1.5032401350816883E-3</v>
      </c>
    </row>
    <row r="7187" spans="1:4" ht="16.5" hidden="1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313">
        <f>参数调整!$K$38*怪物掉落配置方案!$D4109</f>
        <v>1.855852018619368E-3</v>
      </c>
    </row>
    <row r="7188" spans="1:4" ht="16.5" hidden="1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313">
        <f>参数调整!$K$38*怪物掉落配置方案!$D4110</f>
        <v>2.2455809425294352E-3</v>
      </c>
    </row>
    <row r="7189" spans="1:4" ht="16.5" hidden="1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313">
        <f>参数调整!$K$38*怪物掉落配置方案!$D4111</f>
        <v>2.6724269068118889E-3</v>
      </c>
    </row>
    <row r="7190" spans="1:4" ht="16.5" hidden="1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313">
        <f>参数调整!$K$38*怪物掉落配置方案!$D4112</f>
        <v>3.1363899114667314E-3</v>
      </c>
    </row>
    <row r="7191" spans="1:4" ht="16.5" hidden="1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313">
        <f>参数调整!$K$38*怪物掉落配置方案!$D4113</f>
        <v>3.6374699564939604E-3</v>
      </c>
    </row>
    <row r="7192" spans="1:4" ht="16.5" hidden="1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313">
        <f>参数调整!$K$38*怪物掉落配置方案!$D4114</f>
        <v>4.1756670418935772E-3</v>
      </c>
    </row>
    <row r="7193" spans="1:4" ht="16.5" hidden="1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313">
        <f>参数调整!$K$38*怪物掉落配置方案!$D4115</f>
        <v>4.7509811676655824E-3</v>
      </c>
    </row>
    <row r="7194" spans="1:4" ht="16.5" hidden="1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313">
        <f>参数调整!$K$38*怪物掉落配置方案!$D4116</f>
        <v>6.0129605403267516E-3</v>
      </c>
    </row>
    <row r="7195" spans="1:4" ht="16.5" hidden="1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313">
        <f>参数调整!$K$38*怪物掉落配置方案!$D4117</f>
        <v>7.4234080744774705E-3</v>
      </c>
    </row>
    <row r="7196" spans="1:4" ht="16.5" hidden="1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313">
        <f>参数调整!$K$38*怪物掉落配置方案!$D4118</f>
        <v>8.9823237701177408E-3</v>
      </c>
    </row>
    <row r="7197" spans="1:4" ht="16.5" hidden="1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313">
        <f>参数调整!$K$38*怪物掉落配置方案!$D4119</f>
        <v>1.1599075116371047E-2</v>
      </c>
    </row>
    <row r="7198" spans="1:4" ht="16.5" hidden="1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313">
        <f>参数调整!$K$38*怪物掉落配置方案!$D4120</f>
        <v>1.6702668167574306E-2</v>
      </c>
    </row>
    <row r="7199" spans="1:4" ht="16.5" hidden="1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313">
        <f>参数调整!$K$38*怪物掉落配置方案!$D4121</f>
        <v>2.2734187228087253E-2</v>
      </c>
    </row>
    <row r="7200" spans="1:4" ht="16.5" hidden="1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313">
        <f>参数调整!$K$38*怪物掉落配置方案!$D4122</f>
        <v>2.5406614134899148E-2</v>
      </c>
    </row>
    <row r="7201" spans="1:4" ht="16.5" hidden="1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313">
        <f>参数调整!$K$38*怪物掉落配置方案!$D4123</f>
        <v>2.9693632297909882E-2</v>
      </c>
    </row>
    <row r="7202" spans="1:4" ht="16.5" hidden="1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313">
        <f>参数调整!$K$38*怪物掉落配置方案!$D4124</f>
        <v>3.4314703824272104E-2</v>
      </c>
    </row>
    <row r="7203" spans="1:4" ht="16.5" hidden="1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313">
        <f>参数调整!$K$38*怪物掉落配置方案!$D4125</f>
        <v>3.9269828713985815E-2</v>
      </c>
    </row>
    <row r="7204" spans="1:4" ht="16.5" hidden="1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313">
        <f>参数调整!$K$38*怪物掉落配置方案!$D4126</f>
        <v>4.4559006967051021E-2</v>
      </c>
    </row>
    <row r="7205" spans="1:4" ht="16.5" hidden="1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313">
        <f>参数调整!$K$38*怪物掉落配置方案!$D4127</f>
        <v>5.0182238583467702E-2</v>
      </c>
    </row>
    <row r="7206" spans="1:4" ht="16.5" hidden="1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313">
        <f>参数调整!$K$38*怪物掉落配置方案!$D4128</f>
        <v>5.6139523563235871E-2</v>
      </c>
    </row>
    <row r="7207" spans="1:4" ht="16.5" hidden="1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313">
        <f>参数调整!$K$38*怪物掉落配置方案!$D4129</f>
        <v>6.2430861906355523E-2</v>
      </c>
    </row>
    <row r="7208" spans="1:4" ht="16.5" hidden="1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313">
        <f>参数调整!$K$38*怪物掉落配置方案!$D4130</f>
        <v>6.9056253612826662E-2</v>
      </c>
    </row>
    <row r="7209" spans="1:4" ht="16.5" hidden="1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313">
        <f>参数调整!$K$38*怪物掉落配置方案!$D4131</f>
        <v>7.6015698682649319E-2</v>
      </c>
    </row>
    <row r="7210" spans="1:4" ht="16.5" hidden="1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313">
        <f>参数调整!$K$38*怪物掉落配置方案!$D4132</f>
        <v>8.3309197115823422E-2</v>
      </c>
    </row>
    <row r="7211" spans="1:4" ht="16.5" hidden="1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313">
        <f>参数调整!$K$38*怪物掉落配置方案!$D4133</f>
        <v>9.0936748912349027E-2</v>
      </c>
    </row>
    <row r="7212" spans="1:4" ht="16.5" hidden="1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313">
        <f>参数调整!$K$38*怪物掉落配置方案!$D4134</f>
        <v>1.5565533767737526E-2</v>
      </c>
    </row>
    <row r="7213" spans="1:4" ht="16.5" hidden="1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313">
        <f>参数调整!$K$38*怪物掉落配置方案!$D4135</f>
        <v>1.9700128674792809E-2</v>
      </c>
    </row>
    <row r="7214" spans="1:4" ht="16.5" hidden="1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313">
        <f>参数调整!$K$38*怪物掉落配置方案!$D4136</f>
        <v>2.4321146512089879E-2</v>
      </c>
    </row>
    <row r="7215" spans="1:4" ht="16.5" hidden="1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313">
        <f>参数调整!$K$38*怪物掉落配置方案!$D4137</f>
        <v>2.942858727962876E-2</v>
      </c>
    </row>
    <row r="7216" spans="1:4" ht="16.5" hidden="1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313">
        <f>参数调整!$K$38*怪物掉落配置方案!$D4138</f>
        <v>3.5022450977409414E-2</v>
      </c>
    </row>
    <row r="7217" spans="1:4" ht="16.5" hidden="1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313">
        <f>参数调整!$K$38*怪物掉落配置方案!$D4139</f>
        <v>4.1102737605431906E-2</v>
      </c>
    </row>
    <row r="7218" spans="1:4" ht="16.5" hidden="1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313">
        <f>参数调整!$K$38*怪物掉落配置方案!$D4140</f>
        <v>4.7669447163696158E-2</v>
      </c>
    </row>
    <row r="7219" spans="1:4" ht="16.5" hidden="1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313">
        <f>参数调整!$K$38*怪物掉落配置方案!$D4141</f>
        <v>5.4722579652202223E-2</v>
      </c>
    </row>
    <row r="7220" spans="1:4" ht="16.5" hidden="1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313">
        <f>参数调整!$K$38*怪物掉落配置方案!$D4142</f>
        <v>6.2262135070950103E-2</v>
      </c>
    </row>
    <row r="7221" spans="1:4" ht="16.5" hidden="1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313">
        <f>参数调整!$K$38*怪物掉落配置方案!$D4143</f>
        <v>7.8800514699171223E-2</v>
      </c>
    </row>
    <row r="7222" spans="1:4" ht="16.5" hidden="1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313">
        <f>参数调整!$K$38*怪物掉落配置方案!$D4144</f>
        <v>9.7284586048359503E-2</v>
      </c>
    </row>
    <row r="7223" spans="1:4" ht="16.5" hidden="1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313">
        <f>参数调整!$K$38*怪物掉落配置方案!$D4145</f>
        <v>0.11771434911851504</v>
      </c>
    </row>
    <row r="7224" spans="1:4" ht="16.5" hidden="1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313">
        <f>参数调整!$K$38*怪物掉落配置方案!$D4146</f>
        <v>0.15200716570056175</v>
      </c>
    </row>
    <row r="7225" spans="1:4" ht="16.5" hidden="1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313">
        <f>参数调整!$K$38*怪物掉落配置方案!$D4147</f>
        <v>0.21889031860880889</v>
      </c>
    </row>
    <row r="7226" spans="1:4" ht="16.5" hidden="1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313">
        <f>参数调整!$K$38*怪物掉落配置方案!$D4148</f>
        <v>0.29793404477310098</v>
      </c>
    </row>
    <row r="7227" spans="1:4" ht="16.5" hidden="1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313">
        <f>参数调整!$K$38*怪物掉落配置方案!$D4149</f>
        <v>0.33295649575051051</v>
      </c>
    </row>
    <row r="7228" spans="1:4" ht="16.5" hidden="1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313">
        <f>参数调整!$K$38*怪物掉落配置方案!$D4150</f>
        <v>0.38913834419343801</v>
      </c>
    </row>
    <row r="7229" spans="1:4" ht="16.5" hidden="1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313">
        <f>参数调整!$K$38*怪物掉落配置方案!$D4151</f>
        <v>0.44969799900854179</v>
      </c>
    </row>
    <row r="7230" spans="1:4" ht="16.5" hidden="1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313">
        <f>参数调整!$K$38*怪物掉落配置方案!$D4152</f>
        <v>0.51463546019582185</v>
      </c>
    </row>
    <row r="7231" spans="1:4" ht="16.5" hidden="1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313">
        <f>参数调整!$K$38*怪物掉落配置方案!$D4153</f>
        <v>0.58395072775527812</v>
      </c>
    </row>
    <row r="7232" spans="1:4" ht="16.5" hidden="1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313">
        <f>参数调整!$K$38*怪物掉落配置方案!$D4154</f>
        <v>0.65764380168691028</v>
      </c>
    </row>
    <row r="7233" spans="1:4" ht="16.5" hidden="1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313">
        <f>参数调整!$K$38*怪物掉落配置方案!$D4155</f>
        <v>0.73571468199071899</v>
      </c>
    </row>
    <row r="7234" spans="1:4" ht="16.5" hidden="1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313">
        <f>参数调整!$K$38*怪物掉落配置方案!$D4156</f>
        <v>0.81816336866670347</v>
      </c>
    </row>
    <row r="7235" spans="1:4" ht="16.5" hidden="1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313">
        <f>参数调整!$K$38*怪物掉落配置方案!$D4157</f>
        <v>0.9049898617148644</v>
      </c>
    </row>
    <row r="7236" spans="1:4" ht="16.5" hidden="1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313">
        <f>参数调整!$K$38*怪物掉落配置方案!$D4158</f>
        <v>0.99619416113520154</v>
      </c>
    </row>
    <row r="7237" spans="1:4" ht="16.5" hidden="1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313">
        <f>参数调整!$K$38*怪物掉落配置方案!$D4159</f>
        <v>1.0917762669277147</v>
      </c>
    </row>
    <row r="7238" spans="1:4" ht="16.5" hidden="1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313">
        <f>参数调整!$K$38*怪物掉落配置方案!$D4160</f>
        <v>1.1917361790924041</v>
      </c>
    </row>
    <row r="7239" spans="1:4" ht="16.5" hidden="1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313">
        <f>参数调整!$K$38*怪物掉落配置方案!$D4161</f>
        <v>201</v>
      </c>
    </row>
    <row r="7240" spans="1:4" ht="16.5" hidden="1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313">
        <f>参数调整!$K$38*怪物掉落配置方案!$D4162</f>
        <v>255</v>
      </c>
    </row>
    <row r="7241" spans="1:4" ht="16.5" hidden="1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313">
        <f>参数调整!$K$38*怪物掉落配置方案!$D4163</f>
        <v>315</v>
      </c>
    </row>
    <row r="7242" spans="1:4" ht="16.5" hidden="1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313">
        <f>参数调整!$K$38*怪物掉落配置方案!$D4164</f>
        <v>381</v>
      </c>
    </row>
    <row r="7243" spans="1:4" ht="16.5" hidden="1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313">
        <f>参数调整!$K$38*怪物掉落配置方案!$D4165</f>
        <v>453</v>
      </c>
    </row>
    <row r="7244" spans="1:4" ht="16.5" hidden="1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313">
        <f>参数调整!$K$38*怪物掉落配置方案!$D4166</f>
        <v>531</v>
      </c>
    </row>
    <row r="7245" spans="1:4" ht="16.5" hidden="1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313">
        <f>参数调整!$K$38*怪物掉落配置方案!$D4167</f>
        <v>618</v>
      </c>
    </row>
    <row r="7246" spans="1:4" ht="16.5" hidden="1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313">
        <f>参数调整!$K$38*怪物掉落配置方案!$D4168</f>
        <v>708</v>
      </c>
    </row>
    <row r="7247" spans="1:4" ht="16.5" hidden="1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313">
        <f>参数调整!$K$38*怪物掉落配置方案!$D4169</f>
        <v>804</v>
      </c>
    </row>
    <row r="7248" spans="1:4" ht="16.5" hidden="1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313">
        <f>参数调整!$K$38*怪物掉落配置方案!$D4170</f>
        <v>1020</v>
      </c>
    </row>
    <row r="7249" spans="1:4" ht="16.5" hidden="1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313">
        <f>参数调整!$K$38*怪物掉落配置方案!$D4171</f>
        <v>1257</v>
      </c>
    </row>
    <row r="7250" spans="1:4" ht="16.5" hidden="1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313">
        <f>参数调整!$K$38*怪物掉落配置方案!$D4172</f>
        <v>1524</v>
      </c>
    </row>
    <row r="7251" spans="1:4" ht="16.5" hidden="1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313">
        <f>参数调整!$K$38*怪物掉落配置方案!$D4173</f>
        <v>1965</v>
      </c>
    </row>
    <row r="7252" spans="1:4" ht="16.5" hidden="1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313">
        <f>参数调整!$K$38*怪物掉落配置方案!$D4174</f>
        <v>2832</v>
      </c>
    </row>
    <row r="7253" spans="1:4" ht="16.5" hidden="1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313">
        <f>参数调整!$K$38*怪物掉落配置方案!$D4175</f>
        <v>3855</v>
      </c>
    </row>
    <row r="7254" spans="1:4" ht="16.5" hidden="1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313">
        <f>参数调整!$K$38*怪物掉落配置方案!$D4176</f>
        <v>4308</v>
      </c>
    </row>
    <row r="7255" spans="1:4" ht="16.5" hidden="1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313">
        <f>参数调整!$K$38*怪物掉落配置方案!$D4177</f>
        <v>5034</v>
      </c>
    </row>
    <row r="7256" spans="1:4" ht="16.5" hidden="1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313">
        <f>参数调整!$K$38*怪物掉落配置方案!$D4178</f>
        <v>5817</v>
      </c>
    </row>
    <row r="7257" spans="1:4" ht="16.5" hidden="1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313">
        <f>参数调整!$K$38*怪物掉落配置方案!$D4179</f>
        <v>6657</v>
      </c>
    </row>
    <row r="7258" spans="1:4" ht="16.5" hidden="1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313">
        <f>参数调整!$K$38*怪物掉落配置方案!$D4180</f>
        <v>7554</v>
      </c>
    </row>
    <row r="7259" spans="1:4" ht="16.5" hidden="1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313">
        <f>参数调整!$K$38*怪物掉落配置方案!$D4181</f>
        <v>8508</v>
      </c>
    </row>
    <row r="7260" spans="1:4" ht="16.5" hidden="1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313">
        <f>参数调整!$K$38*怪物掉落配置方案!$D4182</f>
        <v>9516</v>
      </c>
    </row>
    <row r="7261" spans="1:4" ht="16.5" hidden="1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313">
        <f>参数调整!$K$38*怪物掉落配置方案!$D4183</f>
        <v>10584</v>
      </c>
    </row>
    <row r="7262" spans="1:4" ht="16.5" hidden="1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313">
        <f>参数调整!$K$38*怪物掉落配置方案!$D4184</f>
        <v>11706</v>
      </c>
    </row>
    <row r="7263" spans="1:4" ht="16.5" hidden="1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313">
        <f>参数调整!$K$38*怪物掉落配置方案!$D4185</f>
        <v>12885</v>
      </c>
    </row>
    <row r="7264" spans="1:4" ht="16.5" hidden="1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313">
        <f>参数调整!$K$38*怪物掉落配置方案!$D4186</f>
        <v>14121</v>
      </c>
    </row>
    <row r="7265" spans="1:4" ht="16.5" hidden="1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313">
        <f>参数调整!$K$38*怪物掉落配置方案!$D4187</f>
        <v>15414</v>
      </c>
    </row>
    <row r="7266" spans="1:4" ht="16.5" hidden="1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313">
        <f>参数调整!$K$38*怪物掉落配置方案!$D4188</f>
        <v>2.4369353007696089E-5</v>
      </c>
    </row>
    <row r="7267" spans="1:4" ht="16.5" hidden="1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313">
        <f>参数调整!$K$38*怪物掉落配置方案!$D4189</f>
        <v>3.0842462400365367E-5</v>
      </c>
    </row>
    <row r="7268" spans="1:4" ht="16.5" hidden="1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313">
        <f>参数调整!$K$38*怪物掉落配置方案!$D4190</f>
        <v>3.807711407452513E-5</v>
      </c>
    </row>
    <row r="7269" spans="1:4" ht="16.5" hidden="1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313">
        <f>参数调整!$K$38*怪物掉落配置方案!$D4191</f>
        <v>4.6073308030175413E-5</v>
      </c>
    </row>
    <row r="7270" spans="1:4" ht="16.5" hidden="1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313">
        <f>参数调整!$K$38*怪物掉落配置方案!$D4192</f>
        <v>5.4831044267316189E-5</v>
      </c>
    </row>
    <row r="7271" spans="1:4" ht="16.5" hidden="1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313">
        <f>参数调整!$K$38*怪物掉落配置方案!$D4193</f>
        <v>6.4350322785947472E-5</v>
      </c>
    </row>
    <row r="7272" spans="1:4" ht="16.5" hidden="1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313">
        <f>参数调整!$K$38*怪物掉落配置方案!$D4194</f>
        <v>7.4631143586069247E-5</v>
      </c>
    </row>
    <row r="7273" spans="1:4" ht="16.5" hidden="1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313">
        <f>参数调整!$K$38*怪物掉落配置方案!$D4195</f>
        <v>8.5673506667681543E-5</v>
      </c>
    </row>
    <row r="7274" spans="1:4" ht="16.5" hidden="1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313">
        <f>参数调整!$K$38*怪物掉落配置方案!$D4196</f>
        <v>9.7477412030784371E-5</v>
      </c>
    </row>
    <row r="7275" spans="1:4" ht="16.5" hidden="1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313">
        <f>参数调整!$K$38*怪物掉落配置方案!$D4197</f>
        <v>1.2336984960146141E-4</v>
      </c>
    </row>
    <row r="7276" spans="1:4" ht="16.5" hidden="1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313">
        <f>参数调整!$K$38*怪物掉落配置方案!$D4198</f>
        <v>1.5230845629810052E-4</v>
      </c>
    </row>
    <row r="7277" spans="1:4" ht="16.5" hidden="1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313">
        <f>参数调整!$K$38*怪物掉落配置方案!$D4199</f>
        <v>1.8429323212070165E-4</v>
      </c>
    </row>
    <row r="7278" spans="1:4" ht="16.5" hidden="1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313">
        <f>参数调整!$K$38*怪物掉落配置方案!$D4200</f>
        <v>2.379819629657821E-4</v>
      </c>
    </row>
    <row r="7279" spans="1:4" ht="16.5" hidden="1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313">
        <f>参数调整!$K$38*怪物掉落配置方案!$D4201</f>
        <v>3.4269402667072612E-4</v>
      </c>
    </row>
    <row r="7280" spans="1:4" ht="16.5" hidden="1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313">
        <f>参数调整!$K$38*怪物掉落配置方案!$D4202</f>
        <v>4.6644464741293283E-4</v>
      </c>
    </row>
    <row r="7281" spans="1:4" ht="16.5" hidden="1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313">
        <f>参数调整!$K$38*怪物掉落配置方案!$D4203</f>
        <v>5.2127569168024918E-4</v>
      </c>
    </row>
    <row r="7282" spans="1:4" ht="16.5" hidden="1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313">
        <f>参数调整!$K$38*怪物掉落配置方案!$D4204</f>
        <v>6.0923382519240208E-4</v>
      </c>
    </row>
    <row r="7283" spans="1:4" ht="16.5" hidden="1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313">
        <f>参数调整!$K$38*怪物掉落配置方案!$D4205</f>
        <v>7.0404583923796952E-4</v>
      </c>
    </row>
    <row r="7284" spans="1:4" ht="16.5" hidden="1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313">
        <f>参数调整!$K$38*怪物掉落配置方案!$D4206</f>
        <v>8.0571173381695184E-4</v>
      </c>
    </row>
    <row r="7285" spans="1:4" ht="16.5" hidden="1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313">
        <f>参数调整!$K$38*怪物掉落配置方案!$D4207</f>
        <v>9.1423150892934869E-4</v>
      </c>
    </row>
    <row r="7286" spans="1:4" ht="16.5" hidden="1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313">
        <f>参数调整!$K$38*怪物掉落配置方案!$D4208</f>
        <v>1.0296051645751595E-3</v>
      </c>
    </row>
    <row r="7287" spans="1:4" ht="16.5" hidden="1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313">
        <f>参数调整!$K$38*怪物掉落配置方案!$D4209</f>
        <v>1.1518327007543853E-3</v>
      </c>
    </row>
    <row r="7288" spans="1:4" ht="16.5" hidden="1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313">
        <f>参数调整!$K$38*怪物掉落配置方案!$D4210</f>
        <v>1.2809141174670252E-3</v>
      </c>
    </row>
    <row r="7289" spans="1:4" ht="16.5" hidden="1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313">
        <f>参数调整!$K$38*怪物掉落配置方案!$D4211</f>
        <v>1.4168494147130798E-3</v>
      </c>
    </row>
    <row r="7290" spans="1:4" ht="16.5" hidden="1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313">
        <f>参数调整!$K$38*怪物掉落配置方案!$D4212</f>
        <v>1.5596385924925497E-3</v>
      </c>
    </row>
    <row r="7291" spans="1:4" ht="16.5" hidden="1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313">
        <f>参数调整!$K$38*怪物掉落配置方案!$D4213</f>
        <v>1.709281650805433E-3</v>
      </c>
    </row>
    <row r="7292" spans="1:4" ht="16.5" hidden="1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313">
        <f>参数调整!$K$38*怪物掉落配置方案!$D4214</f>
        <v>1.8657785896517317E-3</v>
      </c>
    </row>
    <row r="7293" spans="1:4" ht="16.5" hidden="1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313">
        <f>参数调整!$K$38*怪物掉落配置方案!$D4215</f>
        <v>0</v>
      </c>
    </row>
    <row r="7294" spans="1:4" ht="16.5" hidden="1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313">
        <f>参数调整!$K$38*怪物掉落配置方案!$D4216</f>
        <v>0</v>
      </c>
    </row>
    <row r="7295" spans="1:4" ht="16.5" hidden="1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313">
        <f>参数调整!$K$38*怪物掉落配置方案!$D4217</f>
        <v>0</v>
      </c>
    </row>
    <row r="7296" spans="1:4" ht="16.5" hidden="1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313">
        <f>参数调整!$K$38*怪物掉落配置方案!$D4218</f>
        <v>0</v>
      </c>
    </row>
    <row r="7297" spans="1:4" ht="16.5" hidden="1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313">
        <f>参数调整!$K$38*怪物掉落配置方案!$D4219</f>
        <v>0</v>
      </c>
    </row>
    <row r="7298" spans="1:4" ht="16.5" hidden="1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313">
        <f>参数调整!$K$38*怪物掉落配置方案!$D4220</f>
        <v>0</v>
      </c>
    </row>
    <row r="7299" spans="1:4" ht="16.5" hidden="1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313">
        <f>参数调整!$K$38*怪物掉落配置方案!$D4221</f>
        <v>0</v>
      </c>
    </row>
    <row r="7300" spans="1:4" ht="16.5" hidden="1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313">
        <f>参数调整!$K$38*怪物掉落配置方案!$D4222</f>
        <v>0</v>
      </c>
    </row>
    <row r="7301" spans="1:4" ht="16.5" hidden="1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313">
        <f>参数调整!$K$38*怪物掉落配置方案!$D4223</f>
        <v>0</v>
      </c>
    </row>
    <row r="7302" spans="1:4" ht="16.5" hidden="1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313">
        <f>参数调整!$K$38*怪物掉落配置方案!$D4224</f>
        <v>0</v>
      </c>
    </row>
    <row r="7303" spans="1:4" ht="16.5" hidden="1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313">
        <f>参数调整!$K$38*怪物掉落配置方案!$D4225</f>
        <v>0</v>
      </c>
    </row>
    <row r="7304" spans="1:4" ht="16.5" hidden="1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313">
        <f>参数调整!$K$38*怪物掉落配置方案!$D4226</f>
        <v>0</v>
      </c>
    </row>
    <row r="7305" spans="1:4" ht="16.5" hidden="1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313">
        <f>参数调整!$K$38*怪物掉落配置方案!$D4227</f>
        <v>0</v>
      </c>
    </row>
    <row r="7306" spans="1:4" ht="16.5" hidden="1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313">
        <f>参数调整!$K$38*怪物掉落配置方案!$D4228</f>
        <v>0</v>
      </c>
    </row>
    <row r="7307" spans="1:4" ht="16.5" hidden="1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313">
        <f>参数调整!$K$38*怪物掉落配置方案!$D4229</f>
        <v>0</v>
      </c>
    </row>
    <row r="7308" spans="1:4" ht="16.5" hidden="1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313">
        <f>参数调整!$K$38*怪物掉落配置方案!$D4230</f>
        <v>0</v>
      </c>
    </row>
    <row r="7309" spans="1:4" ht="16.5" hidden="1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313">
        <f>参数调整!$K$38*怪物掉落配置方案!$D4231</f>
        <v>0</v>
      </c>
    </row>
    <row r="7310" spans="1:4" ht="16.5" hidden="1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313">
        <f>参数调整!$K$38*怪物掉落配置方案!$D4232</f>
        <v>0</v>
      </c>
    </row>
    <row r="7311" spans="1:4" ht="16.5" hidden="1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313">
        <f>参数调整!$K$38*怪物掉落配置方案!$D4233</f>
        <v>0</v>
      </c>
    </row>
    <row r="7312" spans="1:4" ht="16.5" hidden="1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313">
        <f>参数调整!$K$38*怪物掉落配置方案!$D4234</f>
        <v>0</v>
      </c>
    </row>
    <row r="7313" spans="1:4" ht="16.5" hidden="1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313">
        <f>参数调整!$K$38*怪物掉落配置方案!$D4235</f>
        <v>0</v>
      </c>
    </row>
    <row r="7314" spans="1:4" ht="16.5" hidden="1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313">
        <f>参数调整!$K$38*怪物掉落配置方案!$D4236</f>
        <v>0</v>
      </c>
    </row>
    <row r="7315" spans="1:4" ht="16.5" hidden="1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313">
        <f>参数调整!$K$38*怪物掉落配置方案!$D4237</f>
        <v>0</v>
      </c>
    </row>
    <row r="7316" spans="1:4" ht="16.5" hidden="1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313">
        <f>参数调整!$K$38*怪物掉落配置方案!$D4238</f>
        <v>0</v>
      </c>
    </row>
    <row r="7317" spans="1:4" ht="16.5" hidden="1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313">
        <f>参数调整!$K$38*怪物掉落配置方案!$D4239</f>
        <v>0</v>
      </c>
    </row>
    <row r="7318" spans="1:4" ht="16.5" hidden="1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313">
        <f>参数调整!$K$38*怪物掉落配置方案!$D4240</f>
        <v>0</v>
      </c>
    </row>
    <row r="7319" spans="1:4" ht="16.5" hidden="1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313">
        <f>参数调整!$K$38*怪物掉落配置方案!$D4241</f>
        <v>0</v>
      </c>
    </row>
    <row r="7320" spans="1:4" ht="16.5" hidden="1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313">
        <f>参数调整!$K$38*怪物掉落配置方案!$D4242</f>
        <v>0</v>
      </c>
    </row>
    <row r="7321" spans="1:4" ht="16.5" hidden="1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313">
        <f>参数调整!$K$38*怪物掉落配置方案!$D4243</f>
        <v>0</v>
      </c>
    </row>
    <row r="7322" spans="1:4" ht="16.5" hidden="1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313">
        <f>参数调整!$K$38*怪物掉落配置方案!$D4244</f>
        <v>0</v>
      </c>
    </row>
    <row r="7323" spans="1:4" ht="16.5" hidden="1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313">
        <f>参数调整!$K$38*怪物掉落配置方案!$D4245</f>
        <v>0</v>
      </c>
    </row>
    <row r="7324" spans="1:4" ht="16.5" hidden="1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313">
        <f>参数调整!$K$38*怪物掉落配置方案!$D4246</f>
        <v>0</v>
      </c>
    </row>
    <row r="7325" spans="1:4" ht="16.5" hidden="1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313">
        <f>参数调整!$K$38*怪物掉落配置方案!$D4247</f>
        <v>0</v>
      </c>
    </row>
    <row r="7326" spans="1:4" ht="16.5" hidden="1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313">
        <f>参数调整!$K$38*怪物掉落配置方案!$D4248</f>
        <v>0</v>
      </c>
    </row>
    <row r="7327" spans="1:4" ht="16.5" hidden="1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313">
        <f>参数调整!$K$38*怪物掉落配置方案!$D4249</f>
        <v>0</v>
      </c>
    </row>
    <row r="7328" spans="1:4" ht="16.5" hidden="1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313">
        <f>参数调整!$K$38*怪物掉落配置方案!$D4250</f>
        <v>0</v>
      </c>
    </row>
    <row r="7329" spans="1:4" ht="16.5" hidden="1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313">
        <f>参数调整!$K$38*怪物掉落配置方案!$D4251</f>
        <v>0</v>
      </c>
    </row>
    <row r="7330" spans="1:4" ht="16.5" hidden="1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313">
        <f>参数调整!$K$38*怪物掉落配置方案!$D4252</f>
        <v>0</v>
      </c>
    </row>
    <row r="7331" spans="1:4" ht="16.5" hidden="1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313">
        <f>参数调整!$K$38*怪物掉落配置方案!$D4253</f>
        <v>0</v>
      </c>
    </row>
    <row r="7332" spans="1:4" ht="16.5" hidden="1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313">
        <f>参数调整!$K$38*怪物掉落配置方案!$D4254</f>
        <v>0</v>
      </c>
    </row>
    <row r="7333" spans="1:4" ht="16.5" hidden="1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313">
        <f>参数调整!$K$38*怪物掉落配置方案!$D4255</f>
        <v>0</v>
      </c>
    </row>
    <row r="7334" spans="1:4" ht="16.5" hidden="1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313">
        <f>参数调整!$K$38*怪物掉落配置方案!$D4256</f>
        <v>0</v>
      </c>
    </row>
    <row r="7335" spans="1:4" ht="16.5" hidden="1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313">
        <f>参数调整!$K$38*怪物掉落配置方案!$D4257</f>
        <v>0</v>
      </c>
    </row>
    <row r="7336" spans="1:4" ht="16.5" hidden="1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313">
        <f>参数调整!$K$38*怪物掉落配置方案!$D4258</f>
        <v>0</v>
      </c>
    </row>
    <row r="7337" spans="1:4" ht="16.5" hidden="1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313">
        <f>参数调整!$K$38*怪物掉落配置方案!$D4259</f>
        <v>0</v>
      </c>
    </row>
    <row r="7338" spans="1:4" ht="16.5" hidden="1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313">
        <f>参数调整!$K$38*怪物掉落配置方案!$D4260</f>
        <v>0</v>
      </c>
    </row>
    <row r="7339" spans="1:4" ht="16.5" hidden="1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313">
        <f>参数调整!$K$38*怪物掉落配置方案!$D4261</f>
        <v>0</v>
      </c>
    </row>
    <row r="7340" spans="1:4" ht="16.5" hidden="1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313">
        <f>参数调整!$K$38*怪物掉落配置方案!$D4262</f>
        <v>0</v>
      </c>
    </row>
    <row r="7341" spans="1:4" ht="16.5" hidden="1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313">
        <f>参数调整!$K$38*怪物掉落配置方案!$D4263</f>
        <v>0</v>
      </c>
    </row>
    <row r="7342" spans="1:4" ht="16.5" hidden="1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313">
        <f>参数调整!$K$38*怪物掉落配置方案!$D4264</f>
        <v>0</v>
      </c>
    </row>
    <row r="7343" spans="1:4" ht="16.5" hidden="1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313">
        <f>参数调整!$K$38*怪物掉落配置方案!$D4265</f>
        <v>0</v>
      </c>
    </row>
    <row r="7344" spans="1:4" ht="16.5" hidden="1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313">
        <f>参数调整!$K$38*怪物掉落配置方案!$D4266</f>
        <v>0</v>
      </c>
    </row>
    <row r="7345" spans="1:4" ht="16.5" hidden="1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313">
        <f>参数调整!$K$38*怪物掉落配置方案!$D4267</f>
        <v>0</v>
      </c>
    </row>
    <row r="7346" spans="1:4" ht="16.5" hidden="1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313">
        <f>参数调整!$K$38*怪物掉落配置方案!$D4268</f>
        <v>0</v>
      </c>
    </row>
    <row r="7347" spans="1:4" ht="16.5" hidden="1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313">
        <f>参数调整!$K$38*怪物掉落配置方案!$D4269</f>
        <v>0</v>
      </c>
    </row>
    <row r="7348" spans="1:4" ht="16.5" hidden="1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313">
        <f>参数调整!$K$38*怪物掉落配置方案!$D4270</f>
        <v>0</v>
      </c>
    </row>
    <row r="7349" spans="1:4" ht="16.5" hidden="1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313">
        <f>参数调整!$K$38*怪物掉落配置方案!$D4271</f>
        <v>0</v>
      </c>
    </row>
    <row r="7350" spans="1:4" ht="16.5" hidden="1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313">
        <f>参数调整!$K$38*怪物掉落配置方案!$D4272</f>
        <v>0</v>
      </c>
    </row>
    <row r="7351" spans="1:4" ht="16.5" hidden="1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313">
        <f>参数调整!$K$38*怪物掉落配置方案!$D4273</f>
        <v>0</v>
      </c>
    </row>
    <row r="7352" spans="1:4" ht="16.5" hidden="1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313">
        <f>参数调整!$K$38*怪物掉落配置方案!$D4274</f>
        <v>0</v>
      </c>
    </row>
    <row r="7353" spans="1:4" ht="16.5" hidden="1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313">
        <f>参数调整!$K$38*怪物掉落配置方案!$D4275</f>
        <v>0</v>
      </c>
    </row>
    <row r="7354" spans="1:4" ht="16.5" hidden="1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313">
        <f>参数调整!$K$38*怪物掉落配置方案!$D4276</f>
        <v>0</v>
      </c>
    </row>
    <row r="7355" spans="1:4" ht="16.5" hidden="1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313">
        <f>参数调整!$K$38*怪物掉落配置方案!$D4277</f>
        <v>0</v>
      </c>
    </row>
    <row r="7356" spans="1:4" ht="16.5" hidden="1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313">
        <f>参数调整!$K$38*怪物掉落配置方案!$D4278</f>
        <v>0</v>
      </c>
    </row>
    <row r="7357" spans="1:4" ht="16.5" hidden="1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313">
        <f>参数调整!$K$38*怪物掉落配置方案!$D4279</f>
        <v>0</v>
      </c>
    </row>
    <row r="7358" spans="1:4" ht="16.5" hidden="1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313">
        <f>参数调整!$K$38*怪物掉落配置方案!$D4280</f>
        <v>0</v>
      </c>
    </row>
    <row r="7359" spans="1:4" ht="16.5" hidden="1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313">
        <f>参数调整!$K$38*怪物掉落配置方案!$D4281</f>
        <v>0</v>
      </c>
    </row>
    <row r="7360" spans="1:4" ht="16.5" hidden="1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313">
        <f>参数调整!$K$38*怪物掉落配置方案!$D4282</f>
        <v>0</v>
      </c>
    </row>
    <row r="7361" spans="1:4" ht="16.5" hidden="1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313">
        <f>参数调整!$K$38*怪物掉落配置方案!$D4283</f>
        <v>0</v>
      </c>
    </row>
    <row r="7362" spans="1:4" ht="16.5" hidden="1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313">
        <f>参数调整!$K$38*怪物掉落配置方案!$D4284</f>
        <v>0</v>
      </c>
    </row>
    <row r="7363" spans="1:4" ht="16.5" hidden="1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313">
        <f>参数调整!$K$38*怪物掉落配置方案!$D4285</f>
        <v>0</v>
      </c>
    </row>
    <row r="7364" spans="1:4" ht="16.5" hidden="1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313">
        <f>参数调整!$K$38*怪物掉落配置方案!$D4286</f>
        <v>0</v>
      </c>
    </row>
    <row r="7365" spans="1:4" ht="16.5" hidden="1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313">
        <f>参数调整!$K$38*怪物掉落配置方案!$D4287</f>
        <v>0</v>
      </c>
    </row>
    <row r="7366" spans="1:4" ht="16.5" hidden="1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313">
        <f>参数调整!$K$38*怪物掉落配置方案!$D4288</f>
        <v>0</v>
      </c>
    </row>
    <row r="7367" spans="1:4" ht="16.5" hidden="1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313">
        <f>参数调整!$K$38*怪物掉落配置方案!$D4289</f>
        <v>0</v>
      </c>
    </row>
    <row r="7368" spans="1:4" ht="16.5" hidden="1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313">
        <f>参数调整!$K$38*怪物掉落配置方案!$D4290</f>
        <v>0</v>
      </c>
    </row>
    <row r="7369" spans="1:4" ht="16.5" hidden="1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313">
        <f>参数调整!$K$38*怪物掉落配置方案!$D4291</f>
        <v>0</v>
      </c>
    </row>
    <row r="7370" spans="1:4" ht="16.5" hidden="1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313">
        <f>参数调整!$K$38*怪物掉落配置方案!$D4292</f>
        <v>0</v>
      </c>
    </row>
    <row r="7371" spans="1:4" ht="16.5" hidden="1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313">
        <f>参数调整!$K$38*怪物掉落配置方案!$D4293</f>
        <v>0</v>
      </c>
    </row>
    <row r="7372" spans="1:4" ht="16.5" hidden="1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313">
        <f>参数调整!$K$38*怪物掉落配置方案!$D4294</f>
        <v>0</v>
      </c>
    </row>
    <row r="7373" spans="1:4" ht="16.5" hidden="1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313">
        <f>参数调整!$K$38*怪物掉落配置方案!$D4295</f>
        <v>0</v>
      </c>
    </row>
    <row r="7374" spans="1:4" ht="16.5" hidden="1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313">
        <f>参数调整!$K$38*怪物掉落配置方案!$D4296</f>
        <v>0</v>
      </c>
    </row>
    <row r="7375" spans="1:4" ht="16.5" hidden="1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313">
        <f>参数调整!$K$38*怪物掉落配置方案!$D4297</f>
        <v>0</v>
      </c>
    </row>
    <row r="7376" spans="1:4" ht="16.5" hidden="1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313">
        <f>参数调整!$K$38*怪物掉落配置方案!$D4298</f>
        <v>0</v>
      </c>
    </row>
    <row r="7377" spans="1:4" ht="16.5" hidden="1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313">
        <f>参数调整!$K$38*怪物掉落配置方案!$D4299</f>
        <v>0</v>
      </c>
    </row>
    <row r="7378" spans="1:4" ht="16.5" hidden="1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313">
        <f>参数调整!$K$38*怪物掉落配置方案!$D4300</f>
        <v>0</v>
      </c>
    </row>
    <row r="7379" spans="1:4" ht="16.5" hidden="1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313">
        <f>参数调整!$K$38*怪物掉落配置方案!$D4301</f>
        <v>0</v>
      </c>
    </row>
    <row r="7380" spans="1:4" ht="16.5" hidden="1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313">
        <f>参数调整!$K$38*怪物掉落配置方案!$D4302</f>
        <v>0</v>
      </c>
    </row>
    <row r="7381" spans="1:4" ht="16.5" hidden="1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313">
        <f>参数调整!$K$38*怪物掉落配置方案!$D4303</f>
        <v>0</v>
      </c>
    </row>
    <row r="7382" spans="1:4" ht="16.5" hidden="1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313">
        <f>参数调整!$K$38*怪物掉落配置方案!$D4304</f>
        <v>0</v>
      </c>
    </row>
    <row r="7383" spans="1:4" ht="16.5" hidden="1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313">
        <f>参数调整!$K$38*怪物掉落配置方案!$D4305</f>
        <v>0</v>
      </c>
    </row>
    <row r="7384" spans="1:4" ht="16.5" hidden="1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313">
        <f>参数调整!$K$38*怪物掉落配置方案!$D4306</f>
        <v>0</v>
      </c>
    </row>
    <row r="7385" spans="1:4" ht="16.5" hidden="1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313">
        <f>参数调整!$K$38*怪物掉落配置方案!$D4307</f>
        <v>0</v>
      </c>
    </row>
    <row r="7386" spans="1:4" ht="16.5" hidden="1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313">
        <f>参数调整!$K$38*怪物掉落配置方案!$D4308</f>
        <v>0</v>
      </c>
    </row>
    <row r="7387" spans="1:4" ht="16.5" hidden="1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313">
        <f>参数调整!$K$38*怪物掉落配置方案!$D4309</f>
        <v>0</v>
      </c>
    </row>
    <row r="7388" spans="1:4" ht="16.5" hidden="1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313">
        <f>参数调整!$K$38*怪物掉落配置方案!$D4310</f>
        <v>0</v>
      </c>
    </row>
    <row r="7389" spans="1:4" ht="16.5" hidden="1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313">
        <f>参数调整!$K$38*怪物掉落配置方案!$D4311</f>
        <v>0</v>
      </c>
    </row>
    <row r="7390" spans="1:4" ht="16.5" hidden="1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313">
        <f>参数调整!$K$38*怪物掉落配置方案!$D4312</f>
        <v>0</v>
      </c>
    </row>
    <row r="7391" spans="1:4" ht="16.5" hidden="1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313">
        <f>参数调整!$K$38*怪物掉落配置方案!$D4313</f>
        <v>0</v>
      </c>
    </row>
    <row r="7392" spans="1:4" ht="16.5" hidden="1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313">
        <f>参数调整!$K$38*怪物掉落配置方案!$D4314</f>
        <v>0</v>
      </c>
    </row>
    <row r="7393" spans="1:4" ht="16.5" hidden="1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313">
        <f>参数调整!$K$38*怪物掉落配置方案!$D4315</f>
        <v>0</v>
      </c>
    </row>
    <row r="7394" spans="1:4" ht="16.5" hidden="1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313">
        <f>参数调整!$K$38*怪物掉落配置方案!$D4316</f>
        <v>0</v>
      </c>
    </row>
    <row r="7395" spans="1:4" ht="16.5" hidden="1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313">
        <f>参数调整!$K$38*怪物掉落配置方案!$D4317</f>
        <v>0</v>
      </c>
    </row>
    <row r="7396" spans="1:4" ht="16.5" hidden="1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313">
        <f>参数调整!$K$38*怪物掉落配置方案!$D4318</f>
        <v>0</v>
      </c>
    </row>
    <row r="7397" spans="1:4" ht="16.5" hidden="1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313">
        <f>参数调整!$K$38*怪物掉落配置方案!$D4319</f>
        <v>0</v>
      </c>
    </row>
    <row r="7398" spans="1:4" ht="16.5" hidden="1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313">
        <f>参数调整!$K$38*怪物掉落配置方案!$D4320</f>
        <v>0</v>
      </c>
    </row>
    <row r="7399" spans="1:4" ht="16.5" hidden="1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313">
        <f>参数调整!$K$38*怪物掉落配置方案!$D4321</f>
        <v>0</v>
      </c>
    </row>
    <row r="7400" spans="1:4" ht="16.5" hidden="1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313">
        <f>参数调整!$K$38*怪物掉落配置方案!$D4322</f>
        <v>0</v>
      </c>
    </row>
    <row r="7401" spans="1:4" ht="16.5" hidden="1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313">
        <f>参数调整!$K$38*怪物掉落配置方案!$D4323</f>
        <v>0</v>
      </c>
    </row>
    <row r="7402" spans="1:4" ht="16.5" hidden="1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313">
        <f>参数调整!$K$38*怪物掉落配置方案!$D4324</f>
        <v>0</v>
      </c>
    </row>
    <row r="7403" spans="1:4" ht="16.5" hidden="1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313">
        <f>参数调整!$K$38*怪物掉落配置方案!$D4325</f>
        <v>0</v>
      </c>
    </row>
    <row r="7404" spans="1:4" ht="16.5" hidden="1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313">
        <f>参数调整!$K$38*怪物掉落配置方案!$D4326</f>
        <v>0</v>
      </c>
    </row>
    <row r="7405" spans="1:4" ht="16.5" hidden="1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313">
        <f>参数调整!$K$38*怪物掉落配置方案!$D4327</f>
        <v>0</v>
      </c>
    </row>
    <row r="7406" spans="1:4" ht="16.5" hidden="1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313">
        <f>参数调整!$K$38*怪物掉落配置方案!$D4328</f>
        <v>0</v>
      </c>
    </row>
    <row r="7407" spans="1:4" ht="16.5" hidden="1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313">
        <f>参数调整!$K$38*怪物掉落配置方案!$D4329</f>
        <v>0</v>
      </c>
    </row>
    <row r="7408" spans="1:4" ht="16.5" hidden="1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313">
        <f>参数调整!$K$38*怪物掉落配置方案!$D4330</f>
        <v>0</v>
      </c>
    </row>
    <row r="7409" spans="1:4" ht="16.5" hidden="1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313">
        <f>参数调整!$K$38*怪物掉落配置方案!$D4331</f>
        <v>0</v>
      </c>
    </row>
    <row r="7410" spans="1:4" ht="16.5" hidden="1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313">
        <f>参数调整!$K$38*怪物掉落配置方案!$D4332</f>
        <v>0</v>
      </c>
    </row>
    <row r="7411" spans="1:4" ht="16.5" hidden="1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313">
        <f>参数调整!$K$38*怪物掉落配置方案!$D4333</f>
        <v>0</v>
      </c>
    </row>
    <row r="7412" spans="1:4" ht="16.5" hidden="1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313">
        <f>参数调整!$K$38*怪物掉落配置方案!$D4334</f>
        <v>0</v>
      </c>
    </row>
    <row r="7413" spans="1:4" ht="16.5" hidden="1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313">
        <f>参数调整!$K$38*怪物掉落配置方案!$D4335</f>
        <v>0</v>
      </c>
    </row>
    <row r="7414" spans="1:4" ht="16.5" hidden="1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313">
        <f>参数调整!$K$38*怪物掉落配置方案!$D4336</f>
        <v>0</v>
      </c>
    </row>
    <row r="7415" spans="1:4" ht="16.5" hidden="1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313">
        <f>参数调整!$K$38*怪物掉落配置方案!$D4337</f>
        <v>0</v>
      </c>
    </row>
    <row r="7416" spans="1:4" ht="16.5" hidden="1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313">
        <f>参数调整!$K$38*怪物掉落配置方案!$D4338</f>
        <v>0</v>
      </c>
    </row>
    <row r="7417" spans="1:4" ht="16.5" hidden="1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313">
        <f>参数调整!$K$38*怪物掉落配置方案!$D4339</f>
        <v>0</v>
      </c>
    </row>
    <row r="7418" spans="1:4" ht="16.5" hidden="1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313">
        <f>参数调整!$K$38*怪物掉落配置方案!$D4340</f>
        <v>0</v>
      </c>
    </row>
    <row r="7419" spans="1:4" ht="16.5" hidden="1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313">
        <f>参数调整!$K$38*怪物掉落配置方案!$D4341</f>
        <v>0</v>
      </c>
    </row>
    <row r="7420" spans="1:4" ht="16.5" hidden="1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313">
        <f>参数调整!$K$38*怪物掉落配置方案!$D4342</f>
        <v>0</v>
      </c>
    </row>
    <row r="7421" spans="1:4" ht="16.5" hidden="1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313">
        <f>参数调整!$K$38*怪物掉落配置方案!$D4343</f>
        <v>0</v>
      </c>
    </row>
    <row r="7422" spans="1:4" ht="16.5" hidden="1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313">
        <f>参数调整!$K$38*怪物掉落配置方案!$D4344</f>
        <v>0</v>
      </c>
    </row>
    <row r="7423" spans="1:4" ht="16.5" hidden="1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313">
        <f>参数调整!$K$38*怪物掉落配置方案!$D4345</f>
        <v>0</v>
      </c>
    </row>
    <row r="7424" spans="1:4" ht="16.5" hidden="1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313">
        <f>参数调整!$K$38*怪物掉落配置方案!$D4346</f>
        <v>0</v>
      </c>
    </row>
    <row r="7425" spans="1:4" ht="16.5" hidden="1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313">
        <f>参数调整!$K$38*怪物掉落配置方案!$D4347</f>
        <v>0</v>
      </c>
    </row>
    <row r="7426" spans="1:4" ht="16.5" hidden="1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313">
        <f>参数调整!$K$38*怪物掉落配置方案!$D4348</f>
        <v>0</v>
      </c>
    </row>
    <row r="7427" spans="1:4" ht="16.5" hidden="1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313">
        <f>参数调整!$K$38*怪物掉落配置方案!$D4349</f>
        <v>0</v>
      </c>
    </row>
    <row r="7428" spans="1:4" ht="16.5" hidden="1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313">
        <f>参数调整!$K$38*怪物掉落配置方案!$D4350</f>
        <v>0</v>
      </c>
    </row>
    <row r="7429" spans="1:4" ht="16.5" hidden="1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313">
        <f>参数调整!$K$38*怪物掉落配置方案!$D4351</f>
        <v>0</v>
      </c>
    </row>
    <row r="7430" spans="1:4" ht="16.5" hidden="1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313">
        <f>参数调整!$K$38*怪物掉落配置方案!$D4352</f>
        <v>0</v>
      </c>
    </row>
    <row r="7431" spans="1:4" ht="16.5" hidden="1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313">
        <f>参数调整!$K$38*怪物掉落配置方案!$D4353</f>
        <v>0</v>
      </c>
    </row>
    <row r="7432" spans="1:4" ht="16.5" hidden="1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313">
        <f>参数调整!$K$38*怪物掉落配置方案!$D4354</f>
        <v>0</v>
      </c>
    </row>
    <row r="7433" spans="1:4" ht="16.5" hidden="1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313">
        <f>参数调整!$K$38*怪物掉落配置方案!$D4355</f>
        <v>0</v>
      </c>
    </row>
    <row r="7434" spans="1:4" ht="16.5" hidden="1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313">
        <f>参数调整!$K$38*怪物掉落配置方案!$D4356</f>
        <v>0</v>
      </c>
    </row>
    <row r="7435" spans="1:4" ht="16.5" hidden="1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313">
        <f>参数调整!$K$38*怪物掉落配置方案!$D4357</f>
        <v>0</v>
      </c>
    </row>
    <row r="7436" spans="1:4" ht="16.5" hidden="1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313">
        <f>参数调整!$K$38*怪物掉落配置方案!$D4358</f>
        <v>0</v>
      </c>
    </row>
    <row r="7437" spans="1:4" ht="16.5" hidden="1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313">
        <f>参数调整!$K$38*怪物掉落配置方案!$D4359</f>
        <v>0</v>
      </c>
    </row>
    <row r="7438" spans="1:4" ht="16.5" hidden="1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313">
        <f>参数调整!$K$38*怪物掉落配置方案!$D4360</f>
        <v>0</v>
      </c>
    </row>
    <row r="7439" spans="1:4" ht="16.5" hidden="1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313">
        <f>参数调整!$K$38*怪物掉落配置方案!$D4361</f>
        <v>0</v>
      </c>
    </row>
    <row r="7440" spans="1:4" ht="16.5" hidden="1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313">
        <f>参数调整!$K$38*怪物掉落配置方案!$D4362</f>
        <v>0</v>
      </c>
    </row>
    <row r="7441" spans="1:4" ht="16.5" hidden="1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313">
        <f>参数调整!$K$38*怪物掉落配置方案!$D4363</f>
        <v>0</v>
      </c>
    </row>
    <row r="7442" spans="1:4" ht="16.5" hidden="1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313">
        <f>参数调整!$K$38*怪物掉落配置方案!$D4364</f>
        <v>0</v>
      </c>
    </row>
    <row r="7443" spans="1:4" ht="16.5" hidden="1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313">
        <f>参数调整!$K$38*怪物掉落配置方案!$D4365</f>
        <v>0</v>
      </c>
    </row>
    <row r="7444" spans="1:4" ht="16.5" hidden="1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313">
        <f>参数调整!$K$38*怪物掉落配置方案!$D4366</f>
        <v>0</v>
      </c>
    </row>
    <row r="7445" spans="1:4" ht="16.5" hidden="1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313">
        <f>参数调整!$K$38*怪物掉落配置方案!$D4367</f>
        <v>0</v>
      </c>
    </row>
    <row r="7446" spans="1:4" ht="16.5" hidden="1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313">
        <f>参数调整!$K$38*怪物掉落配置方案!$D4368</f>
        <v>0</v>
      </c>
    </row>
    <row r="7447" spans="1:4" ht="16.5" hidden="1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313">
        <f>参数调整!$K$38*怪物掉落配置方案!$D4369</f>
        <v>0</v>
      </c>
    </row>
    <row r="7448" spans="1:4" ht="16.5" hidden="1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313">
        <f>参数调整!$K$38*怪物掉落配置方案!$D4370</f>
        <v>0</v>
      </c>
    </row>
    <row r="7449" spans="1:4" ht="16.5" hidden="1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313">
        <f>参数调整!$K$38*怪物掉落配置方案!$D4371</f>
        <v>0</v>
      </c>
    </row>
    <row r="7450" spans="1:4" ht="16.5" hidden="1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313">
        <f>参数调整!$K$38*怪物掉落配置方案!$D4372</f>
        <v>0</v>
      </c>
    </row>
    <row r="7451" spans="1:4" ht="16.5" hidden="1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313">
        <f>参数调整!$K$38*怪物掉落配置方案!$D4373</f>
        <v>0</v>
      </c>
    </row>
    <row r="7452" spans="1:4" ht="16.5" hidden="1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313">
        <f>参数调整!$K$38*怪物掉落配置方案!$D4374</f>
        <v>0</v>
      </c>
    </row>
    <row r="7453" spans="1:4" ht="16.5" hidden="1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313">
        <f>参数调整!$K$38*怪物掉落配置方案!$D4375</f>
        <v>0</v>
      </c>
    </row>
    <row r="7454" spans="1:4" ht="16.5" hidden="1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313">
        <f>参数调整!$K$38*怪物掉落配置方案!$D4376</f>
        <v>0</v>
      </c>
    </row>
    <row r="7455" spans="1:4" ht="16.5" hidden="1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313">
        <f>参数调整!$K$38*怪物掉落配置方案!$D4377</f>
        <v>0</v>
      </c>
    </row>
    <row r="7456" spans="1:4" ht="16.5" hidden="1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313">
        <f>参数调整!$K$38*怪物掉落配置方案!$D4378</f>
        <v>0</v>
      </c>
    </row>
    <row r="7457" spans="1:4" ht="16.5" hidden="1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313">
        <f>参数调整!$K$38*怪物掉落配置方案!$D4379</f>
        <v>0</v>
      </c>
    </row>
    <row r="7458" spans="1:4" ht="16.5" hidden="1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313">
        <f>参数调整!$K$38*怪物掉落配置方案!$D4380</f>
        <v>0</v>
      </c>
    </row>
    <row r="7459" spans="1:4" ht="16.5" hidden="1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313">
        <f>参数调整!$K$38*怪物掉落配置方案!$D4381</f>
        <v>0</v>
      </c>
    </row>
    <row r="7460" spans="1:4" ht="16.5" hidden="1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313">
        <f>参数调整!$K$38*怪物掉落配置方案!$D4382</f>
        <v>0</v>
      </c>
    </row>
    <row r="7461" spans="1:4" ht="16.5" hidden="1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313">
        <f>参数调整!$K$38*怪物掉落配置方案!$D4383</f>
        <v>0</v>
      </c>
    </row>
    <row r="7462" spans="1:4" ht="16.5" hidden="1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313">
        <f>参数调整!$K$38*怪物掉落配置方案!$D4384</f>
        <v>0</v>
      </c>
    </row>
    <row r="7463" spans="1:4" ht="16.5" hidden="1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313">
        <f>参数调整!$K$38*怪物掉落配置方案!$D4385</f>
        <v>0</v>
      </c>
    </row>
    <row r="7464" spans="1:4" ht="16.5" hidden="1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313">
        <f>参数调整!$K$38*怪物掉落配置方案!$D4386</f>
        <v>0</v>
      </c>
    </row>
    <row r="7465" spans="1:4" ht="16.5" hidden="1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313">
        <f>参数调整!$K$38*怪物掉落配置方案!$D4387</f>
        <v>0</v>
      </c>
    </row>
    <row r="7466" spans="1:4" ht="16.5" hidden="1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313">
        <f>参数调整!$K$38*怪物掉落配置方案!$D4388</f>
        <v>0</v>
      </c>
    </row>
    <row r="7467" spans="1:4" ht="16.5" hidden="1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313">
        <f>参数调整!$K$38*怪物掉落配置方案!$D4389</f>
        <v>0</v>
      </c>
    </row>
    <row r="7468" spans="1:4" ht="16.5" hidden="1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313">
        <f>参数调整!$K$38*怪物掉落配置方案!$D4390</f>
        <v>0</v>
      </c>
    </row>
    <row r="7469" spans="1:4" ht="16.5" hidden="1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313">
        <f>参数调整!$K$38*怪物掉落配置方案!$D4391</f>
        <v>0</v>
      </c>
    </row>
    <row r="7470" spans="1:4" ht="16.5" hidden="1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313">
        <f>参数调整!$K$38*怪物掉落配置方案!$D4392</f>
        <v>0</v>
      </c>
    </row>
    <row r="7471" spans="1:4" ht="16.5" hidden="1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313">
        <f>参数调整!$K$38*怪物掉落配置方案!$D4393</f>
        <v>0</v>
      </c>
    </row>
    <row r="7472" spans="1:4" ht="16.5" hidden="1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313">
        <f>参数调整!$K$38*怪物掉落配置方案!$D4394</f>
        <v>0</v>
      </c>
    </row>
    <row r="7473" spans="1:4" ht="16.5" hidden="1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313">
        <f>参数调整!$K$38*怪物掉落配置方案!$D4395</f>
        <v>0</v>
      </c>
    </row>
    <row r="7474" spans="1:4" ht="16.5" hidden="1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313">
        <f>参数调整!$K$38*怪物掉落配置方案!$D4396</f>
        <v>0</v>
      </c>
    </row>
    <row r="7475" spans="1:4" ht="16.5" hidden="1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313">
        <f>参数调整!$K$38*怪物掉落配置方案!$D4397</f>
        <v>0</v>
      </c>
    </row>
    <row r="7476" spans="1:4" ht="16.5" hidden="1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313">
        <f>参数调整!$K$38*怪物掉落配置方案!$D4398</f>
        <v>0</v>
      </c>
    </row>
    <row r="7477" spans="1:4" ht="16.5" hidden="1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313">
        <f>参数调整!$K$38*怪物掉落配置方案!$D4399</f>
        <v>0</v>
      </c>
    </row>
    <row r="7478" spans="1:4" ht="16.5" hidden="1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313">
        <f>参数调整!$K$38*怪物掉落配置方案!$D4400</f>
        <v>0</v>
      </c>
    </row>
    <row r="7479" spans="1:4" ht="16.5" hidden="1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313">
        <f>参数调整!$K$38*怪物掉落配置方案!$D4401</f>
        <v>0</v>
      </c>
    </row>
    <row r="7480" spans="1:4" ht="16.5" hidden="1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313">
        <f>参数调整!$K$38*怪物掉落配置方案!$D4402</f>
        <v>0</v>
      </c>
    </row>
    <row r="7481" spans="1:4" ht="16.5" hidden="1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313">
        <f>参数调整!$K$38*怪物掉落配置方案!$D4403</f>
        <v>0</v>
      </c>
    </row>
    <row r="7482" spans="1:4" ht="16.5" hidden="1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313">
        <f>参数调整!$K$38*怪物掉落配置方案!$D4404</f>
        <v>0</v>
      </c>
    </row>
    <row r="7483" spans="1:4" ht="16.5" hidden="1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313">
        <f>参数调整!$K$38*怪物掉落配置方案!$D4405</f>
        <v>0</v>
      </c>
    </row>
    <row r="7484" spans="1:4" ht="16.5" hidden="1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313">
        <f>参数调整!$K$38*怪物掉落配置方案!$D4406</f>
        <v>0</v>
      </c>
    </row>
    <row r="7485" spans="1:4" ht="16.5" hidden="1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313">
        <f>参数调整!$K$38*怪物掉落配置方案!$D4407</f>
        <v>0</v>
      </c>
    </row>
    <row r="7486" spans="1:4" ht="16.5" hidden="1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313">
        <f>参数调整!$K$38*怪物掉落配置方案!$D4408</f>
        <v>0</v>
      </c>
    </row>
    <row r="7487" spans="1:4" ht="16.5" hidden="1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313">
        <f>参数调整!$K$38*怪物掉落配置方案!$D4409</f>
        <v>0</v>
      </c>
    </row>
    <row r="7488" spans="1:4" ht="16.5" hidden="1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313">
        <f>参数调整!$K$38*怪物掉落配置方案!$D4410</f>
        <v>0</v>
      </c>
    </row>
    <row r="7489" spans="1:4" ht="16.5" hidden="1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313">
        <f>参数调整!$K$38*怪物掉落配置方案!$D4411</f>
        <v>0</v>
      </c>
    </row>
    <row r="7490" spans="1:4" ht="16.5" hidden="1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313">
        <f>参数调整!$K$38*怪物掉落配置方案!$D4412</f>
        <v>0</v>
      </c>
    </row>
    <row r="7491" spans="1:4" ht="16.5" hidden="1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313">
        <f>参数调整!$K$38*怪物掉落配置方案!$D4413</f>
        <v>0</v>
      </c>
    </row>
    <row r="7492" spans="1:4" ht="16.5" hidden="1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313">
        <f>参数调整!$K$38*怪物掉落配置方案!$D4414</f>
        <v>0</v>
      </c>
    </row>
    <row r="7493" spans="1:4" ht="16.5" hidden="1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313">
        <f>参数调整!$K$38*怪物掉落配置方案!$D4415</f>
        <v>0</v>
      </c>
    </row>
    <row r="7494" spans="1:4" ht="16.5" hidden="1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313">
        <f>参数调整!$K$38*怪物掉落配置方案!$D4416</f>
        <v>0</v>
      </c>
    </row>
    <row r="7495" spans="1:4" ht="16.5" hidden="1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313">
        <f>参数调整!$K$38*怪物掉落配置方案!$D4417</f>
        <v>0</v>
      </c>
    </row>
    <row r="7496" spans="1:4" ht="16.5" hidden="1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313">
        <f>参数调整!$K$38*怪物掉落配置方案!$D4418</f>
        <v>0</v>
      </c>
    </row>
    <row r="7497" spans="1:4" ht="16.5" hidden="1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313">
        <f>参数调整!$K$38*怪物掉落配置方案!$D4419</f>
        <v>0</v>
      </c>
    </row>
    <row r="7498" spans="1:4" ht="16.5" hidden="1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313">
        <f>参数调整!$K$38*怪物掉落配置方案!$D4420</f>
        <v>0</v>
      </c>
    </row>
    <row r="7499" spans="1:4" ht="16.5" hidden="1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313">
        <f>参数调整!$K$38*怪物掉落配置方案!$D4421</f>
        <v>0</v>
      </c>
    </row>
    <row r="7500" spans="1:4" ht="16.5" hidden="1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313">
        <f>参数调整!$K$38*怪物掉落配置方案!$D4422</f>
        <v>0</v>
      </c>
    </row>
    <row r="7501" spans="1:4" ht="16.5" hidden="1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313">
        <f>参数调整!$K$38*怪物掉落配置方案!$D4423</f>
        <v>0</v>
      </c>
    </row>
    <row r="7502" spans="1:4" ht="16.5" hidden="1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313">
        <f>参数调整!$K$38*怪物掉落配置方案!$D4424</f>
        <v>0</v>
      </c>
    </row>
    <row r="7503" spans="1:4" ht="16.5" hidden="1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313">
        <f>参数调整!$K$38*怪物掉落配置方案!$D4425</f>
        <v>0</v>
      </c>
    </row>
    <row r="7504" spans="1:4" ht="16.5" hidden="1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313">
        <f>参数调整!$K$38*怪物掉落配置方案!$D4426</f>
        <v>0</v>
      </c>
    </row>
    <row r="7505" spans="1:4" ht="16.5" hidden="1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313">
        <f>参数调整!$K$38*怪物掉落配置方案!$D4427</f>
        <v>0</v>
      </c>
    </row>
    <row r="7506" spans="1:4" ht="16.5" hidden="1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313">
        <f>参数调整!$K$38*怪物掉落配置方案!$D4428</f>
        <v>0</v>
      </c>
    </row>
    <row r="7507" spans="1:4" ht="16.5" hidden="1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313">
        <f>参数调整!$K$38*怪物掉落配置方案!$D4429</f>
        <v>0</v>
      </c>
    </row>
    <row r="7508" spans="1:4" ht="16.5" hidden="1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313">
        <f>参数调整!$K$38*怪物掉落配置方案!$D4430</f>
        <v>0</v>
      </c>
    </row>
    <row r="7509" spans="1:4" ht="16.5" hidden="1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313">
        <f>参数调整!$K$38*怪物掉落配置方案!$D4431</f>
        <v>0</v>
      </c>
    </row>
    <row r="7510" spans="1:4" ht="16.5" hidden="1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313">
        <f>参数调整!$K$38*怪物掉落配置方案!$D4432</f>
        <v>0</v>
      </c>
    </row>
    <row r="7511" spans="1:4" ht="16.5" hidden="1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313">
        <f>参数调整!$K$38*怪物掉落配置方案!$D4433</f>
        <v>0</v>
      </c>
    </row>
    <row r="7512" spans="1:4" ht="16.5" hidden="1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313">
        <f>参数调整!$K$38*怪物掉落配置方案!$D4434</f>
        <v>0</v>
      </c>
    </row>
    <row r="7513" spans="1:4" ht="16.5" hidden="1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313">
        <f>参数调整!$K$38*怪物掉落配置方案!$D4435</f>
        <v>0</v>
      </c>
    </row>
    <row r="7514" spans="1:4" ht="16.5" hidden="1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313">
        <f>参数调整!$K$38*怪物掉落配置方案!$D4436</f>
        <v>0</v>
      </c>
    </row>
    <row r="7515" spans="1:4" ht="16.5" hidden="1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313">
        <f>参数调整!$K$38*怪物掉落配置方案!$D4437</f>
        <v>0</v>
      </c>
    </row>
    <row r="7516" spans="1:4" ht="16.5" hidden="1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313">
        <f>参数调整!$K$38*怪物掉落配置方案!$D4438</f>
        <v>0</v>
      </c>
    </row>
    <row r="7517" spans="1:4" ht="16.5" hidden="1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313">
        <f>参数调整!$K$38*怪物掉落配置方案!$D4439</f>
        <v>0</v>
      </c>
    </row>
    <row r="7518" spans="1:4" ht="16.5" hidden="1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313">
        <f>参数调整!$K$38*怪物掉落配置方案!$D4440</f>
        <v>0</v>
      </c>
    </row>
    <row r="7519" spans="1:4" ht="16.5" hidden="1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313">
        <f>参数调整!$K$38*怪物掉落配置方案!$D4441</f>
        <v>0</v>
      </c>
    </row>
    <row r="7520" spans="1:4" ht="16.5" hidden="1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313">
        <f>参数调整!$K$38*怪物掉落配置方案!$D4442</f>
        <v>0</v>
      </c>
    </row>
    <row r="7521" spans="1:4" ht="16.5" hidden="1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313">
        <f>参数调整!$K$38*怪物掉落配置方案!$D4443</f>
        <v>0</v>
      </c>
    </row>
    <row r="7522" spans="1:4" ht="16.5" hidden="1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313">
        <f>参数调整!$K$38*怪物掉落配置方案!$D4444</f>
        <v>0</v>
      </c>
    </row>
    <row r="7523" spans="1:4" ht="16.5" hidden="1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313">
        <f>参数调整!$K$38*怪物掉落配置方案!$D4445</f>
        <v>0</v>
      </c>
    </row>
    <row r="7524" spans="1:4" ht="16.5" hidden="1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313">
        <f>参数调整!$K$38*怪物掉落配置方案!$D4446</f>
        <v>0</v>
      </c>
    </row>
    <row r="7525" spans="1:4" ht="16.5" hidden="1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313">
        <f>参数调整!$K$38*怪物掉落配置方案!$D4447</f>
        <v>0</v>
      </c>
    </row>
    <row r="7526" spans="1:4" ht="16.5" hidden="1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313">
        <f>参数调整!$K$38*怪物掉落配置方案!$D4448</f>
        <v>0</v>
      </c>
    </row>
    <row r="7527" spans="1:4" ht="16.5" hidden="1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313">
        <f>参数调整!$K$38*怪物掉落配置方案!$D4449</f>
        <v>0</v>
      </c>
    </row>
    <row r="7528" spans="1:4" ht="16.5" hidden="1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313">
        <f>参数调整!$K$38*怪物掉落配置方案!$D4450</f>
        <v>0</v>
      </c>
    </row>
    <row r="7529" spans="1:4" ht="16.5" hidden="1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313">
        <f>参数调整!$K$38*怪物掉落配置方案!$D4451</f>
        <v>0</v>
      </c>
    </row>
    <row r="7530" spans="1:4" ht="16.5" hidden="1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313">
        <f>参数调整!$K$38*怪物掉落配置方案!$D4452</f>
        <v>0</v>
      </c>
    </row>
    <row r="7531" spans="1:4" ht="16.5" hidden="1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313">
        <f>参数调整!$K$38*怪物掉落配置方案!$D4453</f>
        <v>0</v>
      </c>
    </row>
    <row r="7532" spans="1:4" ht="16.5" hidden="1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313">
        <f>参数调整!$K$38*怪物掉落配置方案!$D4454</f>
        <v>0</v>
      </c>
    </row>
    <row r="7533" spans="1:4" ht="16.5" hidden="1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313">
        <f>参数调整!$K$38*怪物掉落配置方案!$D4455</f>
        <v>0</v>
      </c>
    </row>
    <row r="7534" spans="1:4" ht="16.5" hidden="1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313">
        <f>参数调整!$K$38*怪物掉落配置方案!$D4456</f>
        <v>0</v>
      </c>
    </row>
    <row r="7535" spans="1:4" ht="16.5" hidden="1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313">
        <f>参数调整!$K$38*怪物掉落配置方案!$D4457</f>
        <v>0</v>
      </c>
    </row>
    <row r="7536" spans="1:4" ht="16.5" hidden="1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313">
        <f>参数调整!$K$38*怪物掉落配置方案!$D4458</f>
        <v>0</v>
      </c>
    </row>
    <row r="7537" spans="1:4" ht="16.5" hidden="1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313">
        <f>参数调整!$K$38*怪物掉落配置方案!$D4459</f>
        <v>0</v>
      </c>
    </row>
    <row r="7538" spans="1:4" ht="16.5" hidden="1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313">
        <f>参数调整!$K$38*怪物掉落配置方案!$D4460</f>
        <v>0</v>
      </c>
    </row>
    <row r="7539" spans="1:4" ht="16.5" hidden="1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313">
        <f>参数调整!$K$38*怪物掉落配置方案!$D4461</f>
        <v>0</v>
      </c>
    </row>
    <row r="7540" spans="1:4" ht="16.5" hidden="1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313">
        <f>参数调整!$K$38*怪物掉落配置方案!$D4462</f>
        <v>0</v>
      </c>
    </row>
    <row r="7541" spans="1:4" ht="16.5" hidden="1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313">
        <f>参数调整!$K$38*怪物掉落配置方案!$D4463</f>
        <v>0</v>
      </c>
    </row>
    <row r="7542" spans="1:4" ht="16.5" hidden="1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313">
        <f>参数调整!$K$38*怪物掉落配置方案!$D4464</f>
        <v>0</v>
      </c>
    </row>
    <row r="7543" spans="1:4" ht="16.5" hidden="1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313">
        <f>参数调整!$K$38*怪物掉落配置方案!$D4465</f>
        <v>0</v>
      </c>
    </row>
    <row r="7544" spans="1:4" ht="16.5" hidden="1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313">
        <f>参数调整!$K$38*怪物掉落配置方案!$D4466</f>
        <v>0</v>
      </c>
    </row>
    <row r="7545" spans="1:4" ht="16.5" hidden="1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313">
        <f>参数调整!$K$38*怪物掉落配置方案!$D4467</f>
        <v>0</v>
      </c>
    </row>
    <row r="7546" spans="1:4" ht="16.5" hidden="1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313">
        <f>参数调整!$K$38*怪物掉落配置方案!$D4468</f>
        <v>0</v>
      </c>
    </row>
    <row r="7547" spans="1:4" ht="16.5" hidden="1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313">
        <f>参数调整!$K$38*怪物掉落配置方案!$D4469</f>
        <v>0</v>
      </c>
    </row>
    <row r="7548" spans="1:4" ht="16.5" hidden="1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313">
        <f>参数调整!$K$38*怪物掉落配置方案!$D4470</f>
        <v>0</v>
      </c>
    </row>
    <row r="7549" spans="1:4" ht="16.5" hidden="1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313">
        <f>参数调整!$K$38*怪物掉落配置方案!$D4471</f>
        <v>0</v>
      </c>
    </row>
    <row r="7550" spans="1:4" ht="16.5" hidden="1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313">
        <f>参数调整!$K$38*怪物掉落配置方案!$D4472</f>
        <v>0</v>
      </c>
    </row>
    <row r="7551" spans="1:4" ht="16.5" hidden="1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313">
        <f>参数调整!$K$38*怪物掉落配置方案!$D4473</f>
        <v>0</v>
      </c>
    </row>
    <row r="7552" spans="1:4" ht="16.5" hidden="1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313">
        <f>参数调整!$K$38*怪物掉落配置方案!$D4474</f>
        <v>0</v>
      </c>
    </row>
    <row r="7553" spans="1:4" ht="16.5" hidden="1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313">
        <f>参数调整!$K$38*怪物掉落配置方案!$D4475</f>
        <v>0</v>
      </c>
    </row>
    <row r="7554" spans="1:4" ht="16.5" hidden="1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313">
        <f>参数调整!$K$38*怪物掉落配置方案!$D4476</f>
        <v>0</v>
      </c>
    </row>
    <row r="7555" spans="1:4" ht="16.5" hidden="1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313">
        <f>参数调整!$K$38*怪物掉落配置方案!$D4477</f>
        <v>0</v>
      </c>
    </row>
    <row r="7556" spans="1:4" ht="16.5" hidden="1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313">
        <f>参数调整!$K$38*怪物掉落配置方案!$D4478</f>
        <v>0</v>
      </c>
    </row>
    <row r="7557" spans="1:4" ht="16.5" hidden="1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313">
        <f>参数调整!$K$38*怪物掉落配置方案!$D4479</f>
        <v>0</v>
      </c>
    </row>
    <row r="7558" spans="1:4" ht="16.5" hidden="1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313">
        <f>参数调整!$K$38*怪物掉落配置方案!$D4480</f>
        <v>0</v>
      </c>
    </row>
    <row r="7559" spans="1:4" ht="16.5" hidden="1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313">
        <f>参数调整!$K$38*怪物掉落配置方案!$D4481</f>
        <v>0</v>
      </c>
    </row>
    <row r="7560" spans="1:4" ht="16.5" hidden="1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313">
        <f>参数调整!$K$38*怪物掉落配置方案!$D4482</f>
        <v>0</v>
      </c>
    </row>
    <row r="7561" spans="1:4" ht="16.5" hidden="1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313">
        <f>参数调整!$K$38*怪物掉落配置方案!$D4483</f>
        <v>0</v>
      </c>
    </row>
    <row r="7562" spans="1:4" ht="16.5" hidden="1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313">
        <f>参数调整!$K$38*怪物掉落配置方案!$D4484</f>
        <v>0</v>
      </c>
    </row>
    <row r="7563" spans="1:4" ht="16.5" hidden="1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313">
        <f>参数调整!$K$38*怪物掉落配置方案!$D4485</f>
        <v>6.8101390835882307E-3</v>
      </c>
    </row>
    <row r="7564" spans="1:4" ht="16.5" hidden="1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313">
        <f>参数调整!$K$38*怪物掉落配置方案!$D4486</f>
        <v>8.6190822776663553E-3</v>
      </c>
    </row>
    <row r="7565" spans="1:4" ht="16.5" hidden="1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313">
        <f>参数调整!$K$38*怪物掉落配置方案!$D4487</f>
        <v>1.064084231810661E-2</v>
      </c>
    </row>
    <row r="7566" spans="1:4" ht="16.5" hidden="1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313">
        <f>参数调整!$K$38*怪物掉落配置方案!$D4488</f>
        <v>1.2875419204908999E-2</v>
      </c>
    </row>
    <row r="7567" spans="1:4" ht="16.5" hidden="1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313">
        <f>参数调整!$K$38*怪物掉落配置方案!$D4489</f>
        <v>1.5322812938073515E-2</v>
      </c>
    </row>
    <row r="7568" spans="1:4" ht="16.5" hidden="1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313">
        <f>参数调整!$K$38*怪物掉落配置方案!$D4490</f>
        <v>1.7983023517600172E-2</v>
      </c>
    </row>
    <row r="7569" spans="1:4" ht="16.5" hidden="1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313">
        <f>参数调整!$K$38*怪物掉落配置方案!$D4491</f>
        <v>2.0856050943488955E-2</v>
      </c>
    </row>
    <row r="7570" spans="1:4" ht="16.5" hidden="1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313">
        <f>参数调整!$K$38*怪物掉落配置方案!$D4492</f>
        <v>2.3941895215739875E-2</v>
      </c>
    </row>
    <row r="7571" spans="1:4" ht="16.5" hidden="1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313">
        <f>参数调整!$K$38*怪物掉落配置方案!$D4493</f>
        <v>2.7240556334352926E-2</v>
      </c>
    </row>
    <row r="7572" spans="1:4" ht="16.5" hidden="1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313">
        <f>参数调整!$K$38*怪物掉落配置方案!$D4494</f>
        <v>3.4476329110665421E-2</v>
      </c>
    </row>
    <row r="7573" spans="1:4" ht="16.5" hidden="1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313">
        <f>参数调整!$K$38*怪物掉落配置方案!$D4495</f>
        <v>4.2563369272426439E-2</v>
      </c>
    </row>
    <row r="7574" spans="1:4" ht="16.5" hidden="1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313">
        <f>参数调整!$K$38*怪物掉落配置方案!$D4496</f>
        <v>5.1501676819635994E-2</v>
      </c>
    </row>
    <row r="7575" spans="1:4" ht="16.5" hidden="1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313">
        <f>参数调整!$K$38*怪物掉落配置方案!$D4497</f>
        <v>6.6505264488166307E-2</v>
      </c>
    </row>
    <row r="7576" spans="1:4" ht="16.5" hidden="1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313">
        <f>参数调整!$K$38*怪物掉落配置方案!$D4498</f>
        <v>9.5767580862959473E-2</v>
      </c>
    </row>
    <row r="7577" spans="1:4" ht="16.5" hidden="1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313">
        <f>参数调整!$K$38*怪物掉落配置方案!$D4499</f>
        <v>0.13035031839680594</v>
      </c>
    </row>
    <row r="7578" spans="1:4" ht="16.5" hidden="1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313">
        <f>参数调整!$K$38*怪物掉落配置方案!$D4500</f>
        <v>0.14567313133487952</v>
      </c>
    </row>
    <row r="7579" spans="1:4" ht="16.5" hidden="1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313">
        <f>参数调整!$K$38*怪物掉落配置方案!$D4501</f>
        <v>0.17025347708970576</v>
      </c>
    </row>
    <row r="7580" spans="1:4" ht="16.5" hidden="1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313">
        <f>参数调整!$K$38*怪物掉落配置方案!$D4502</f>
        <v>0.19674917446179119</v>
      </c>
    </row>
    <row r="7581" spans="1:4" ht="16.5" hidden="1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313">
        <f>参数调整!$K$38*怪物掉落配置方案!$D4503</f>
        <v>0.22516022345113584</v>
      </c>
    </row>
    <row r="7582" spans="1:4" ht="16.5" hidden="1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313">
        <f>参数调整!$K$38*怪物掉落配置方案!$D4504</f>
        <v>0.25548662405773981</v>
      </c>
    </row>
    <row r="7583" spans="1:4" ht="16.5" hidden="1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313">
        <f>参数调整!$K$38*怪物掉落配置方案!$D4505</f>
        <v>0.28772837628160269</v>
      </c>
    </row>
    <row r="7584" spans="1:4" ht="16.5" hidden="1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313">
        <f>参数调整!$K$38*怪物掉落配置方案!$D4506</f>
        <v>0.32188548012272494</v>
      </c>
    </row>
    <row r="7585" spans="1:4" ht="16.5" hidden="1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313">
        <f>参数调整!$K$38*怪物掉落配置方案!$D4507</f>
        <v>0.35795793558110633</v>
      </c>
    </row>
    <row r="7586" spans="1:4" ht="16.5" hidden="1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313">
        <f>参数调整!$K$38*怪物掉落配置方案!$D4508</f>
        <v>0.39594574265674687</v>
      </c>
    </row>
    <row r="7587" spans="1:4" ht="16.5" hidden="1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313">
        <f>参数调整!$K$38*怪物掉落配置方案!$D4509</f>
        <v>0.43584890134964682</v>
      </c>
    </row>
    <row r="7588" spans="1:4" ht="16.5" hidden="1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313">
        <f>参数调整!$K$38*怪物掉落配置方案!$D4510</f>
        <v>0.47766741165980575</v>
      </c>
    </row>
    <row r="7589" spans="1:4" ht="16.5" hidden="1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313">
        <f>参数调整!$K$38*怪物掉落配置方案!$D4511</f>
        <v>0.52140127358722399</v>
      </c>
    </row>
    <row r="7590" spans="1:4" ht="16.5" hidden="1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313">
        <f>参数调整!$K$38*怪物掉落配置方案!$D4512</f>
        <v>1.7736321865547868E-3</v>
      </c>
    </row>
    <row r="7591" spans="1:4" ht="16.5" hidden="1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313">
        <f>参数调整!$K$38*怪物掉落配置方案!$D4513</f>
        <v>2.2447532361084019E-3</v>
      </c>
    </row>
    <row r="7592" spans="1:4" ht="16.5" hidden="1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313">
        <f>参数调整!$K$38*怪物掉落配置方案!$D4514</f>
        <v>2.7713002914918536E-3</v>
      </c>
    </row>
    <row r="7593" spans="1:4" ht="16.5" hidden="1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313">
        <f>参数调整!$K$38*怪物掉落配置方案!$D4515</f>
        <v>3.3532733527051432E-3</v>
      </c>
    </row>
    <row r="7594" spans="1:4" ht="16.5" hidden="1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313">
        <f>参数调整!$K$38*怪物掉落配置方案!$D4516</f>
        <v>3.9906724197482689E-3</v>
      </c>
    </row>
    <row r="7595" spans="1:4" ht="16.5" hidden="1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313">
        <f>参数调整!$K$38*怪物掉落配置方案!$D4517</f>
        <v>4.6834974926212337E-3</v>
      </c>
    </row>
    <row r="7596" spans="1:4" ht="16.5" hidden="1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313">
        <f>参数调整!$K$38*怪物掉落配置方案!$D4518</f>
        <v>5.4317485713240316E-3</v>
      </c>
    </row>
    <row r="7597" spans="1:4" ht="16.5" hidden="1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313">
        <f>参数调整!$K$38*怪物掉落配置方案!$D4519</f>
        <v>6.2354256558566721E-3</v>
      </c>
    </row>
    <row r="7598" spans="1:4" ht="16.5" hidden="1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313">
        <f>参数调整!$K$38*怪物掉落配置方案!$D4520</f>
        <v>7.0945287462191474E-3</v>
      </c>
    </row>
    <row r="7599" spans="1:4" ht="16.5" hidden="1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313">
        <f>参数调整!$K$38*怪物掉落配置方案!$D4521</f>
        <v>8.9790129444336075E-3</v>
      </c>
    </row>
    <row r="7600" spans="1:4" ht="16.5" hidden="1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313">
        <f>参数调整!$K$38*怪物掉落配置方案!$D4522</f>
        <v>1.1085201165967413E-2</v>
      </c>
    </row>
    <row r="7601" spans="1:4" ht="16.5" hidden="1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313">
        <f>参数调整!$K$38*怪物掉落配置方案!$D4523</f>
        <v>1.3413093410820573E-2</v>
      </c>
    </row>
    <row r="7602" spans="1:4" ht="16.5" hidden="1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313">
        <f>参数调整!$K$38*怪物掉落配置方案!$D4524</f>
        <v>1.7320626821824083E-2</v>
      </c>
    </row>
    <row r="7603" spans="1:4" ht="16.5" hidden="1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313">
        <f>参数调整!$K$38*怪物掉落配置方案!$D4525</f>
        <v>2.4941702623426681E-2</v>
      </c>
    </row>
    <row r="7604" spans="1:4" ht="16.5" hidden="1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313">
        <f>参数调整!$K$38*怪物掉落配置方案!$D4526</f>
        <v>3.3948428570775208E-2</v>
      </c>
    </row>
    <row r="7605" spans="1:4" ht="16.5" hidden="1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313">
        <f>参数调整!$K$38*怪物掉落配置方案!$D4527</f>
        <v>3.7939100990523486E-2</v>
      </c>
    </row>
    <row r="7606" spans="1:4" ht="16.5" hidden="1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313">
        <f>参数调整!$K$38*怪物掉落配置方案!$D4528</f>
        <v>4.4340804663869651E-2</v>
      </c>
    </row>
    <row r="7607" spans="1:4" ht="16.5" hidden="1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313">
        <f>参数调整!$K$38*怪物掉落配置方案!$D4529</f>
        <v>5.1241342389684363E-2</v>
      </c>
    </row>
    <row r="7608" spans="1:4" ht="16.5" hidden="1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313">
        <f>参数调整!$K$38*怪物掉落配置方案!$D4530</f>
        <v>5.8640714167967622E-2</v>
      </c>
    </row>
    <row r="7609" spans="1:4" ht="16.5" hidden="1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313">
        <f>参数调整!$K$38*怪物掉落配置方案!$D4531</f>
        <v>6.6538919998719415E-2</v>
      </c>
    </row>
    <row r="7610" spans="1:4" ht="16.5" hidden="1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313">
        <f>参数调整!$K$38*怪物掉落配置方案!$D4532</f>
        <v>7.4935959881939726E-2</v>
      </c>
    </row>
    <row r="7611" spans="1:4" ht="16.5" hidden="1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313">
        <f>参数调整!$K$38*怪物掉落配置方案!$D4533</f>
        <v>8.3831833817628584E-2</v>
      </c>
    </row>
    <row r="7612" spans="1:4" ht="16.5" hidden="1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313">
        <f>参数调整!$K$38*怪物掉落配置方案!$D4534</f>
        <v>9.3226541805785962E-2</v>
      </c>
    </row>
    <row r="7613" spans="1:4" ht="16.5" hidden="1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313">
        <f>参数调整!$K$38*怪物掉落配置方案!$D4535</f>
        <v>0.10312008384641186</v>
      </c>
    </row>
    <row r="7614" spans="1:4" ht="16.5" hidden="1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313">
        <f>参数调整!$K$38*怪物掉落配置方案!$D4536</f>
        <v>0.11351245993950634</v>
      </c>
    </row>
    <row r="7615" spans="1:4" ht="16.5" hidden="1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313">
        <f>参数调整!$K$38*怪物掉落配置方案!$D4537</f>
        <v>0.12440367008506933</v>
      </c>
    </row>
    <row r="7616" spans="1:4" ht="16.5" hidden="1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313">
        <f>参数调整!$K$38*怪物掉落配置方案!$D4538</f>
        <v>0.13579371428310083</v>
      </c>
    </row>
    <row r="7617" spans="1:4" ht="16.5" hidden="1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313">
        <f>参数调整!$K$38*怪物掉落配置方案!$D4539</f>
        <v>2.4369353007696089E-5</v>
      </c>
    </row>
    <row r="7618" spans="1:4" ht="16.5" hidden="1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313">
        <f>参数调整!$K$38*怪物掉落配置方案!$D4540</f>
        <v>3.0842462400365367E-5</v>
      </c>
    </row>
    <row r="7619" spans="1:4" ht="16.5" hidden="1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313">
        <f>参数调整!$K$38*怪物掉落配置方案!$D4541</f>
        <v>3.807711407452513E-5</v>
      </c>
    </row>
    <row r="7620" spans="1:4" ht="16.5" hidden="1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313">
        <f>参数调整!$K$38*怪物掉落配置方案!$D4542</f>
        <v>4.6073308030175413E-5</v>
      </c>
    </row>
    <row r="7621" spans="1:4" ht="16.5" hidden="1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313">
        <f>参数调整!$K$38*怪物掉落配置方案!$D4543</f>
        <v>5.4831044267316189E-5</v>
      </c>
    </row>
    <row r="7622" spans="1:4" ht="16.5" hidden="1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313">
        <f>参数调整!$K$38*怪物掉落配置方案!$D4544</f>
        <v>6.4350322785947472E-5</v>
      </c>
    </row>
    <row r="7623" spans="1:4" ht="16.5" hidden="1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313">
        <f>参数调整!$K$38*怪物掉落配置方案!$D4545</f>
        <v>7.4631143586069247E-5</v>
      </c>
    </row>
    <row r="7624" spans="1:4" ht="16.5" hidden="1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313">
        <f>参数调整!$K$38*怪物掉落配置方案!$D4546</f>
        <v>8.5673506667681543E-5</v>
      </c>
    </row>
    <row r="7625" spans="1:4" ht="16.5" hidden="1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313">
        <f>参数调整!$K$38*怪物掉落配置方案!$D4547</f>
        <v>9.7477412030784371E-5</v>
      </c>
    </row>
    <row r="7626" spans="1:4" ht="16.5" hidden="1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313">
        <f>参数调整!$K$38*怪物掉落配置方案!$D4548</f>
        <v>1.2336984960146141E-4</v>
      </c>
    </row>
    <row r="7627" spans="1:4" ht="16.5" hidden="1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313">
        <f>参数调整!$K$38*怪物掉落配置方案!$D4549</f>
        <v>1.5230845629810052E-4</v>
      </c>
    </row>
    <row r="7628" spans="1:4" ht="16.5" hidden="1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313">
        <f>参数调整!$K$38*怪物掉落配置方案!$D4550</f>
        <v>1.8429323212070165E-4</v>
      </c>
    </row>
    <row r="7629" spans="1:4" ht="16.5" hidden="1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313">
        <f>参数调整!$K$38*怪物掉落配置方案!$D4551</f>
        <v>2.379819629657821E-4</v>
      </c>
    </row>
    <row r="7630" spans="1:4" ht="16.5" hidden="1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313">
        <f>参数调整!$K$38*怪物掉落配置方案!$D4552</f>
        <v>3.4269402667072612E-4</v>
      </c>
    </row>
    <row r="7631" spans="1:4" ht="16.5" hidden="1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313">
        <f>参数调整!$K$38*怪物掉落配置方案!$D4553</f>
        <v>4.6644464741293283E-4</v>
      </c>
    </row>
    <row r="7632" spans="1:4" ht="16.5" hidden="1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313">
        <f>参数调整!$K$38*怪物掉落配置方案!$D4554</f>
        <v>5.2127569168024918E-4</v>
      </c>
    </row>
    <row r="7633" spans="1:4" ht="16.5" hidden="1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313">
        <f>参数调整!$K$38*怪物掉落配置方案!$D4555</f>
        <v>6.0923382519240208E-4</v>
      </c>
    </row>
    <row r="7634" spans="1:4" ht="16.5" hidden="1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313">
        <f>参数调整!$K$38*怪物掉落配置方案!$D4556</f>
        <v>7.0404583923796952E-4</v>
      </c>
    </row>
    <row r="7635" spans="1:4" ht="16.5" hidden="1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313">
        <f>参数调整!$K$38*怪物掉落配置方案!$D4557</f>
        <v>8.0571173381695184E-4</v>
      </c>
    </row>
    <row r="7636" spans="1:4" ht="16.5" hidden="1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313">
        <f>参数调整!$K$38*怪物掉落配置方案!$D4558</f>
        <v>9.1423150892934869E-4</v>
      </c>
    </row>
    <row r="7637" spans="1:4" ht="16.5" hidden="1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313">
        <f>参数调整!$K$38*怪物掉落配置方案!$D4559</f>
        <v>1.0296051645751595E-3</v>
      </c>
    </row>
    <row r="7638" spans="1:4" ht="16.5" hidden="1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313">
        <f>参数调整!$K$38*怪物掉落配置方案!$D4560</f>
        <v>1.1518327007543853E-3</v>
      </c>
    </row>
    <row r="7639" spans="1:4" ht="16.5" hidden="1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313">
        <f>参数调整!$K$38*怪物掉落配置方案!$D4561</f>
        <v>1.2809141174670252E-3</v>
      </c>
    </row>
    <row r="7640" spans="1:4" ht="16.5" hidden="1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313">
        <f>参数调整!$K$38*怪物掉落配置方案!$D4562</f>
        <v>1.4168494147130798E-3</v>
      </c>
    </row>
    <row r="7641" spans="1:4" ht="16.5" hidden="1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313">
        <f>参数调整!$K$38*怪物掉落配置方案!$D4563</f>
        <v>1.5596385924925497E-3</v>
      </c>
    </row>
    <row r="7642" spans="1:4" ht="16.5" hidden="1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313">
        <f>参数调整!$K$38*怪物掉落配置方案!$D4564</f>
        <v>1.709281650805433E-3</v>
      </c>
    </row>
    <row r="7643" spans="1:4" ht="16.5" hidden="1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313">
        <f>参数调整!$K$38*怪物掉落配置方案!$D4565</f>
        <v>1.8657785896517317E-3</v>
      </c>
    </row>
    <row r="7644" spans="1:4" ht="16.5" hidden="1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313">
        <f>参数调整!$K$38*怪物掉落配置方案!$D4566</f>
        <v>0</v>
      </c>
    </row>
    <row r="7645" spans="1:4" ht="16.5" hidden="1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313">
        <f>参数调整!$K$38*怪物掉落配置方案!$D4567</f>
        <v>0</v>
      </c>
    </row>
    <row r="7646" spans="1:4" ht="16.5" hidden="1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313">
        <f>参数调整!$K$38*怪物掉落配置方案!$D4568</f>
        <v>0</v>
      </c>
    </row>
    <row r="7647" spans="1:4" ht="16.5" hidden="1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313">
        <f>参数调整!$K$38*怪物掉落配置方案!$D4569</f>
        <v>0</v>
      </c>
    </row>
    <row r="7648" spans="1:4" ht="16.5" hidden="1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313">
        <f>参数调整!$K$38*怪物掉落配置方案!$D4570</f>
        <v>0</v>
      </c>
    </row>
    <row r="7649" spans="1:4" ht="16.5" hidden="1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313">
        <f>参数调整!$K$38*怪物掉落配置方案!$D4571</f>
        <v>0</v>
      </c>
    </row>
    <row r="7650" spans="1:4" ht="16.5" hidden="1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313">
        <f>参数调整!$K$38*怪物掉落配置方案!$D4572</f>
        <v>0</v>
      </c>
    </row>
    <row r="7651" spans="1:4" ht="16.5" hidden="1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313">
        <f>参数调整!$K$38*怪物掉落配置方案!$D4573</f>
        <v>0</v>
      </c>
    </row>
    <row r="7652" spans="1:4" ht="16.5" hidden="1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313">
        <f>参数调整!$K$38*怪物掉落配置方案!$D4574</f>
        <v>0</v>
      </c>
    </row>
    <row r="7653" spans="1:4" ht="16.5" hidden="1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313">
        <f>参数调整!$K$38*怪物掉落配置方案!$D4575</f>
        <v>0</v>
      </c>
    </row>
    <row r="7654" spans="1:4" ht="16.5" hidden="1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313">
        <f>参数调整!$K$38*怪物掉落配置方案!$D4576</f>
        <v>0</v>
      </c>
    </row>
    <row r="7655" spans="1:4" ht="16.5" hidden="1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313">
        <f>参数调整!$K$38*怪物掉落配置方案!$D4577</f>
        <v>0</v>
      </c>
    </row>
    <row r="7656" spans="1:4" ht="16.5" hidden="1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313">
        <f>参数调整!$K$38*怪物掉落配置方案!$D4578</f>
        <v>0</v>
      </c>
    </row>
    <row r="7657" spans="1:4" ht="16.5" hidden="1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313">
        <f>参数调整!$K$38*怪物掉落配置方案!$D4579</f>
        <v>0</v>
      </c>
    </row>
    <row r="7658" spans="1:4" ht="16.5" hidden="1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313">
        <f>参数调整!$K$38*怪物掉落配置方案!$D4580</f>
        <v>0</v>
      </c>
    </row>
    <row r="7659" spans="1:4" ht="16.5" hidden="1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313">
        <f>参数调整!$K$38*怪物掉落配置方案!$D4581</f>
        <v>0</v>
      </c>
    </row>
    <row r="7660" spans="1:4" ht="16.5" hidden="1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313">
        <f>参数调整!$K$38*怪物掉落配置方案!$D4582</f>
        <v>0</v>
      </c>
    </row>
    <row r="7661" spans="1:4" ht="16.5" hidden="1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313">
        <f>参数调整!$K$38*怪物掉落配置方案!$D4583</f>
        <v>0</v>
      </c>
    </row>
    <row r="7662" spans="1:4" ht="16.5" hidden="1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313">
        <f>参数调整!$K$38*怪物掉落配置方案!$D4584</f>
        <v>0</v>
      </c>
    </row>
    <row r="7663" spans="1:4" ht="16.5" hidden="1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313">
        <f>参数调整!$K$38*怪物掉落配置方案!$D4585</f>
        <v>0</v>
      </c>
    </row>
    <row r="7664" spans="1:4" ht="16.5" hidden="1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313">
        <f>参数调整!$K$38*怪物掉落配置方案!$D4586</f>
        <v>0</v>
      </c>
    </row>
    <row r="7665" spans="1:4" ht="16.5" hidden="1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313">
        <f>参数调整!$K$38*怪物掉落配置方案!$D4587</f>
        <v>0</v>
      </c>
    </row>
    <row r="7666" spans="1:4" ht="16.5" hidden="1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313">
        <f>参数调整!$K$38*怪物掉落配置方案!$D4588</f>
        <v>0</v>
      </c>
    </row>
    <row r="7667" spans="1:4" ht="16.5" hidden="1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313">
        <f>参数调整!$K$38*怪物掉落配置方案!$D4589</f>
        <v>0</v>
      </c>
    </row>
    <row r="7668" spans="1:4" ht="16.5" hidden="1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313">
        <f>参数调整!$K$38*怪物掉落配置方案!$D4590</f>
        <v>0</v>
      </c>
    </row>
    <row r="7669" spans="1:4" ht="16.5" hidden="1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313">
        <f>参数调整!$K$38*怪物掉落配置方案!$D4591</f>
        <v>0</v>
      </c>
    </row>
    <row r="7670" spans="1:4" ht="16.5" hidden="1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313">
        <f>参数调整!$K$38*怪物掉落配置方案!$D4592</f>
        <v>0</v>
      </c>
    </row>
    <row r="7671" spans="1:4" ht="16.5" hidden="1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313">
        <f>参数调整!$K$38*怪物掉落配置方案!$D4593</f>
        <v>1.2184676503848043E-4</v>
      </c>
    </row>
    <row r="7672" spans="1:4" ht="16.5" hidden="1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313">
        <f>参数调整!$K$38*怪物掉落配置方案!$D4594</f>
        <v>1.5421231200182681E-4</v>
      </c>
    </row>
    <row r="7673" spans="1:4" ht="16.5" hidden="1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313">
        <f>参数调整!$K$38*怪物掉落配置方案!$D4595</f>
        <v>1.9038557037262565E-4</v>
      </c>
    </row>
    <row r="7674" spans="1:4" ht="16.5" hidden="1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313">
        <f>参数调整!$K$38*怪物掉落配置方案!$D4596</f>
        <v>2.3036654015087707E-4</v>
      </c>
    </row>
    <row r="7675" spans="1:4" ht="16.5" hidden="1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313">
        <f>参数调整!$K$38*怪物掉落配置方案!$D4597</f>
        <v>2.7415522133658089E-4</v>
      </c>
    </row>
    <row r="7676" spans="1:4" ht="16.5" hidden="1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313">
        <f>参数调整!$K$38*怪物掉落配置方案!$D4598</f>
        <v>3.217516139297374E-4</v>
      </c>
    </row>
    <row r="7677" spans="1:4" ht="16.5" hidden="1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313">
        <f>参数调整!$K$38*怪物掉落配置方案!$D4599</f>
        <v>3.7315571793034626E-4</v>
      </c>
    </row>
    <row r="7678" spans="1:4" ht="16.5" hidden="1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313">
        <f>参数调整!$K$38*怪物掉落配置方案!$D4600</f>
        <v>4.2836753333840775E-4</v>
      </c>
    </row>
    <row r="7679" spans="1:4" ht="16.5" hidden="1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313">
        <f>参数调整!$K$38*怪物掉落配置方案!$D4601</f>
        <v>4.8738706015392182E-4</v>
      </c>
    </row>
    <row r="7680" spans="1:4" ht="16.5" hidden="1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313">
        <f>参数调整!$K$38*怪物掉落配置方案!$D4602</f>
        <v>6.1684924800730723E-4</v>
      </c>
    </row>
    <row r="7681" spans="1:4" ht="16.5" hidden="1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313">
        <f>参数调整!$K$38*怪物掉落配置方案!$D4603</f>
        <v>7.615422814905026E-4</v>
      </c>
    </row>
    <row r="7682" spans="1:4" ht="16.5" hidden="1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313">
        <f>参数调整!$K$38*怪物掉落配置方案!$D4604</f>
        <v>9.2146616060350827E-4</v>
      </c>
    </row>
    <row r="7683" spans="1:4" ht="16.5" hidden="1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313">
        <f>参数调整!$K$38*怪物掉落配置方案!$D4605</f>
        <v>1.1899098148289104E-3</v>
      </c>
    </row>
    <row r="7684" spans="1:4" ht="16.5" hidden="1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313">
        <f>参数调整!$K$38*怪物掉落配置方案!$D4606</f>
        <v>1.7134701333536306E-3</v>
      </c>
    </row>
    <row r="7685" spans="1:4" ht="16.5" hidden="1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313">
        <f>参数调整!$K$38*怪物掉落配置方案!$D4607</f>
        <v>2.3322232370646644E-3</v>
      </c>
    </row>
    <row r="7686" spans="1:4" ht="16.5" hidden="1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313">
        <f>参数调整!$K$38*怪物掉落配置方案!$D4608</f>
        <v>2.6063784584012457E-3</v>
      </c>
    </row>
    <row r="7687" spans="1:4" ht="16.5" hidden="1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313">
        <f>参数调整!$K$38*怪物掉落配置方案!$D4609</f>
        <v>3.0461691259620104E-3</v>
      </c>
    </row>
    <row r="7688" spans="1:4" ht="16.5" hidden="1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313">
        <f>参数调整!$K$38*怪物掉落配置方案!$D4610</f>
        <v>3.5202291961898479E-3</v>
      </c>
    </row>
    <row r="7689" spans="1:4" ht="16.5" hidden="1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313">
        <f>参数调整!$K$38*怪物掉落配置方案!$D4611</f>
        <v>4.0285586690847587E-3</v>
      </c>
    </row>
    <row r="7690" spans="1:4" ht="16.5" hidden="1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313">
        <f>参数调整!$K$38*怪物掉落配置方案!$D4612</f>
        <v>4.5711575446467428E-3</v>
      </c>
    </row>
    <row r="7691" spans="1:4" ht="16.5" hidden="1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313">
        <f>参数调整!$K$38*怪物掉落配置方案!$D4613</f>
        <v>5.1480258228757984E-3</v>
      </c>
    </row>
    <row r="7692" spans="1:4" ht="16.5" hidden="1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313">
        <f>参数调整!$K$38*怪物掉落配置方案!$D4614</f>
        <v>5.7591635037719264E-3</v>
      </c>
    </row>
    <row r="7693" spans="1:4" ht="16.5" hidden="1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313">
        <f>参数调整!$K$38*怪物掉落配置方案!$D4615</f>
        <v>6.4045705873351268E-3</v>
      </c>
    </row>
    <row r="7694" spans="1:4" ht="16.5" hidden="1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313">
        <f>参数调整!$K$38*怪物掉落配置方案!$D4616</f>
        <v>7.0842470735654004E-3</v>
      </c>
    </row>
    <row r="7695" spans="1:4" ht="16.5" hidden="1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313">
        <f>参数调整!$K$38*怪物掉落配置方案!$D4617</f>
        <v>7.7981929624627491E-3</v>
      </c>
    </row>
    <row r="7696" spans="1:4" ht="16.5" hidden="1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313">
        <f>参数调整!$K$38*怪物掉落配置方案!$D4618</f>
        <v>8.5464082540271675E-3</v>
      </c>
    </row>
    <row r="7697" spans="1:4" ht="16.5" hidden="1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313">
        <f>参数调整!$K$38*怪物掉落配置方案!$D4619</f>
        <v>9.3288929482586574E-3</v>
      </c>
    </row>
    <row r="7698" spans="1:4" ht="16.5" hidden="1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313">
        <f>参数调整!$K$38*怪物掉落配置方案!$D4620</f>
        <v>1.9500441145151967E-2</v>
      </c>
    </row>
    <row r="7699" spans="1:4" ht="16.5" hidden="1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313">
        <f>参数调整!$K$38*怪物掉落配置方案!$D4621</f>
        <v>2.4680245824332963E-2</v>
      </c>
    </row>
    <row r="7700" spans="1:4" ht="16.5" hidden="1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313">
        <f>参数调整!$K$38*怪物掉落配置方案!$D4622</f>
        <v>3.0469439289299953E-2</v>
      </c>
    </row>
    <row r="7701" spans="1:4" ht="16.5" hidden="1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313">
        <f>参数调整!$K$38*怪物掉落配置方案!$D4623</f>
        <v>3.6868021540052941E-2</v>
      </c>
    </row>
    <row r="7702" spans="1:4" ht="16.5" hidden="1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313">
        <f>参数调整!$K$38*怪物掉落配置方案!$D4624</f>
        <v>4.3875992576591916E-2</v>
      </c>
    </row>
    <row r="7703" spans="1:4" ht="16.5" hidden="1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313">
        <f>参数调整!$K$38*怪物掉落配置方案!$D4625</f>
        <v>5.149335239891692E-2</v>
      </c>
    </row>
    <row r="7704" spans="1:4" ht="16.5" hidden="1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313">
        <f>参数调整!$K$38*怪物掉落配置方案!$D4626</f>
        <v>5.9720101007027897E-2</v>
      </c>
    </row>
    <row r="7705" spans="1:4" ht="16.5" hidden="1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313">
        <f>参数调整!$K$38*怪物掉落配置方案!$D4627</f>
        <v>6.8556238400924896E-2</v>
      </c>
    </row>
    <row r="7706" spans="1:4" ht="16.5" hidden="1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313">
        <f>参数调整!$K$38*怪物掉落配置方案!$D4628</f>
        <v>7.8001764580607896E-2</v>
      </c>
    </row>
    <row r="7707" spans="1:4" ht="16.5" hidden="1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313">
        <f>参数调整!$K$38*怪物掉落配置方案!$D4629</f>
        <v>9.8720983297331852E-2</v>
      </c>
    </row>
    <row r="7708" spans="1:4" ht="16.5" hidden="1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313">
        <f>参数调整!$K$38*怪物掉落配置方案!$D4630</f>
        <v>0.12187775715719976</v>
      </c>
    </row>
    <row r="7709" spans="1:4" ht="16.5" hidden="1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313">
        <f>参数调整!$K$38*怪物掉落配置方案!$D4631</f>
        <v>0.14747208616021176</v>
      </c>
    </row>
    <row r="7710" spans="1:4" ht="16.5" hidden="1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313">
        <f>参数调整!$K$38*怪物掉落配置方案!$D4632</f>
        <v>0.19043399555812465</v>
      </c>
    </row>
    <row r="7711" spans="1:4" ht="16.5" hidden="1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313">
        <f>参数调整!$K$38*怪物掉落配置方案!$D4633</f>
        <v>0.27422495360369947</v>
      </c>
    </row>
    <row r="7712" spans="1:4" ht="16.5" hidden="1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313">
        <f>参数调整!$K$38*怪物掉落配置方案!$D4634</f>
        <v>0.37325063129392433</v>
      </c>
    </row>
    <row r="7713" spans="1:4" ht="16.5" hidden="1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313">
        <f>参数调整!$K$38*怪物掉落配置方案!$D4635</f>
        <v>0.41712662387051636</v>
      </c>
    </row>
    <row r="7714" spans="1:4" ht="16.5" hidden="1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313">
        <f>参数调整!$K$38*怪物掉落配置方案!$D4636</f>
        <v>0.48751102862879903</v>
      </c>
    </row>
    <row r="7715" spans="1:4" ht="16.5" hidden="1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313">
        <f>参数调整!$K$38*怪物掉落配置方案!$D4637</f>
        <v>0.56337993245915596</v>
      </c>
    </row>
    <row r="7716" spans="1:4" ht="16.5" hidden="1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313">
        <f>参数调整!$K$38*怪物掉落配置方案!$D4638</f>
        <v>0.64473333536158683</v>
      </c>
    </row>
    <row r="7717" spans="1:4" ht="16.5" hidden="1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313">
        <f>参数调整!$K$38*怪物掉落配置方案!$D4639</f>
        <v>0.73157123733609186</v>
      </c>
    </row>
    <row r="7718" spans="1:4" ht="16.5" hidden="1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313">
        <f>参数调整!$K$38*怪物掉落配置方案!$D4640</f>
        <v>0.8238936383826706</v>
      </c>
    </row>
    <row r="7719" spans="1:4" ht="16.5" hidden="1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313">
        <f>参数调整!$K$38*怪物掉落配置方案!$D4641</f>
        <v>0.9217005385013235</v>
      </c>
    </row>
    <row r="7720" spans="1:4" ht="16.5" hidden="1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313">
        <f>参数调整!$K$38*怪物掉落配置方案!$D4642</f>
        <v>1.0249919376920502</v>
      </c>
    </row>
    <row r="7721" spans="1:4" ht="16.5" hidden="1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313">
        <f>参数调整!$K$38*怪物掉落配置方案!$D4643</f>
        <v>1.1337678359548509</v>
      </c>
    </row>
    <row r="7722" spans="1:4" ht="16.5" hidden="1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313">
        <f>参数调整!$K$38*怪物掉落配置方案!$D4644</f>
        <v>1.2480282332897259</v>
      </c>
    </row>
    <row r="7723" spans="1:4" ht="16.5" hidden="1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313">
        <f>参数调整!$K$38*怪物掉落配置方案!$D4645</f>
        <v>1.3677731296966744</v>
      </c>
    </row>
    <row r="7724" spans="1:4" ht="16.5" hidden="1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313">
        <f>参数调整!$K$38*怪物掉落配置方案!$D4646</f>
        <v>1.4930025251756978</v>
      </c>
    </row>
    <row r="7725" spans="1:4" ht="16.5" hidden="1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313">
        <f>参数调整!$K$38*怪物掉落配置方案!$D4647</f>
        <v>8.7729670827705898E-5</v>
      </c>
    </row>
    <row r="7726" spans="1:4" ht="16.5" hidden="1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313">
        <f>参数调整!$K$38*怪物掉落配置方案!$D4648</f>
        <v>1.110328646413153E-4</v>
      </c>
    </row>
    <row r="7727" spans="1:4" ht="16.5" hidden="1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313">
        <f>参数调整!$K$38*怪物掉落配置方案!$D4649</f>
        <v>1.3707761066829045E-4</v>
      </c>
    </row>
    <row r="7728" spans="1:4" ht="16.5" hidden="1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313">
        <f>参数调整!$K$38*怪物掉落配置方案!$D4650</f>
        <v>1.6586390890863147E-4</v>
      </c>
    </row>
    <row r="7729" spans="1:4" ht="16.5" hidden="1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313">
        <f>参数调整!$K$38*怪物掉落配置方案!$D4651</f>
        <v>1.973917593623382E-4</v>
      </c>
    </row>
    <row r="7730" spans="1:4" ht="16.5" hidden="1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313">
        <f>参数调整!$K$38*怪物掉落配置方案!$D4652</f>
        <v>2.3166116202941086E-4</v>
      </c>
    </row>
    <row r="7731" spans="1:4" ht="16.5" hidden="1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313">
        <f>参数调整!$K$38*怪物掉落配置方案!$D4653</f>
        <v>2.6867211690984928E-4</v>
      </c>
    </row>
    <row r="7732" spans="1:4" ht="16.5" hidden="1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313">
        <f>参数调整!$K$38*怪物掉落配置方案!$D4654</f>
        <v>3.0842462400365361E-4</v>
      </c>
    </row>
    <row r="7733" spans="1:4" ht="16.5" hidden="1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313">
        <f>参数调整!$K$38*怪物掉落配置方案!$D4655</f>
        <v>3.5091868331082359E-4</v>
      </c>
    </row>
    <row r="7734" spans="1:4" ht="16.5" hidden="1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313">
        <f>参数调整!$K$38*怪物掉落配置方案!$D4656</f>
        <v>4.4413145856526118E-4</v>
      </c>
    </row>
    <row r="7735" spans="1:4" ht="16.5" hidden="1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313">
        <f>参数调整!$K$38*怪物掉落配置方案!$D4657</f>
        <v>5.4831044267316179E-4</v>
      </c>
    </row>
    <row r="7736" spans="1:4" ht="16.5" hidden="1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313">
        <f>参数调整!$K$38*怪物掉落配置方案!$D4658</f>
        <v>6.6345563563452589E-4</v>
      </c>
    </row>
    <row r="7737" spans="1:4" ht="16.5" hidden="1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313">
        <f>参数调整!$K$38*怪物掉落配置方案!$D4659</f>
        <v>8.5673506667681529E-4</v>
      </c>
    </row>
    <row r="7738" spans="1:4" ht="16.5" hidden="1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313">
        <f>参数调整!$K$38*怪物掉落配置方案!$D4660</f>
        <v>1.233698496014614E-3</v>
      </c>
    </row>
    <row r="7739" spans="1:4" ht="16.5" hidden="1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313">
        <f>参数调整!$K$38*怪物掉落配置方案!$D4661</f>
        <v>1.6792007306865578E-3</v>
      </c>
    </row>
    <row r="7740" spans="1:4" ht="16.5" hidden="1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313">
        <f>参数调整!$K$38*怪物掉落配置方案!$D4662</f>
        <v>1.8765924900488967E-3</v>
      </c>
    </row>
    <row r="7741" spans="1:4" ht="16.5" hidden="1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313">
        <f>参数调整!$K$38*怪物掉落配置方案!$D4663</f>
        <v>2.1932417706926471E-3</v>
      </c>
    </row>
    <row r="7742" spans="1:4" ht="16.5" hidden="1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313">
        <f>参数调整!$K$38*怪物掉落配置方案!$D4664</f>
        <v>2.5345650212566903E-3</v>
      </c>
    </row>
    <row r="7743" spans="1:4" ht="16.5" hidden="1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313">
        <f>参数调整!$K$38*怪物掉落配置方案!$D4665</f>
        <v>2.9005622417410254E-3</v>
      </c>
    </row>
    <row r="7744" spans="1:4" ht="16.5" hidden="1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313">
        <f>参数调整!$K$38*怪物掉落配置方案!$D4666</f>
        <v>3.2912334321456545E-3</v>
      </c>
    </row>
    <row r="7745" spans="1:4" ht="16.5" hidden="1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313">
        <f>参数调整!$K$38*怪物掉落配置方案!$D4667</f>
        <v>3.7065785924705738E-3</v>
      </c>
    </row>
    <row r="7746" spans="1:4" ht="16.5" hidden="1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313">
        <f>参数调整!$K$38*怪物掉落配置方案!$D4668</f>
        <v>4.1465977227157875E-3</v>
      </c>
    </row>
    <row r="7747" spans="1:4" ht="16.5" hidden="1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313">
        <f>参数调整!$K$38*怪物掉落配置方案!$D4669</f>
        <v>4.6112908228812905E-3</v>
      </c>
    </row>
    <row r="7748" spans="1:4" ht="16.5" hidden="1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313">
        <f>参数调整!$K$38*怪物掉落配置方案!$D4670</f>
        <v>5.1006578929670863E-3</v>
      </c>
    </row>
    <row r="7749" spans="1:4" ht="16.5" hidden="1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313">
        <f>参数调整!$K$38*怪物掉落配置方案!$D4671</f>
        <v>5.6146989329731774E-3</v>
      </c>
    </row>
    <row r="7750" spans="1:4" ht="16.5" hidden="1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313">
        <f>参数调整!$K$38*怪物掉落配置方案!$D4672</f>
        <v>6.1534139428995587E-3</v>
      </c>
    </row>
    <row r="7751" spans="1:4" ht="16.5" hidden="1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313">
        <f>参数调整!$K$38*怪物掉落配置方案!$D4673</f>
        <v>6.7168029227462327E-3</v>
      </c>
    </row>
    <row r="7752" spans="1:4" ht="16.5" hidden="1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313">
        <f>参数调整!$K$38*怪物掉落配置方案!$D4674</f>
        <v>1.3620278167176462E-3</v>
      </c>
    </row>
    <row r="7753" spans="1:4" ht="16.5" hidden="1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313">
        <f>参数调整!$K$38*怪物掉落配置方案!$D4675</f>
        <v>1.7238164555332712E-3</v>
      </c>
    </row>
    <row r="7754" spans="1:4" ht="16.5" hidden="1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313">
        <f>参数调整!$K$38*怪物掉落配置方案!$D4676</f>
        <v>2.128168463621322E-3</v>
      </c>
    </row>
    <row r="7755" spans="1:4" ht="16.5" hidden="1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313">
        <f>参数调整!$K$38*怪物掉落配置方案!$D4677</f>
        <v>2.5750838409817995E-3</v>
      </c>
    </row>
    <row r="7756" spans="1:4" ht="16.5" hidden="1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313">
        <f>参数调整!$K$38*怪物掉落配置方案!$D4678</f>
        <v>3.0645625876147033E-3</v>
      </c>
    </row>
    <row r="7757" spans="1:4" ht="16.5" hidden="1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313">
        <f>参数调整!$K$38*怪物掉落配置方案!$D4679</f>
        <v>3.5966047035200345E-3</v>
      </c>
    </row>
    <row r="7758" spans="1:4" ht="16.5" hidden="1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313">
        <f>参数调整!$K$38*怪物掉落配置方案!$D4680</f>
        <v>4.1712101886977907E-3</v>
      </c>
    </row>
    <row r="7759" spans="1:4" ht="16.5" hidden="1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313">
        <f>参数调整!$K$38*怪物掉落配置方案!$D4681</f>
        <v>4.7883790431479754E-3</v>
      </c>
    </row>
    <row r="7760" spans="1:4" ht="16.5" hidden="1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313">
        <f>参数调整!$K$38*怪物掉落配置方案!$D4682</f>
        <v>5.4481112668705849E-3</v>
      </c>
    </row>
    <row r="7761" spans="1:4" ht="16.5" hidden="1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313">
        <f>参数调整!$K$38*怪物掉落配置方案!$D4683</f>
        <v>6.8952658221330832E-3</v>
      </c>
    </row>
    <row r="7762" spans="1:4" ht="16.5" hidden="1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313">
        <f>参数调整!$K$38*怪物掉落配置方案!$D4684</f>
        <v>8.5126738544852882E-3</v>
      </c>
    </row>
    <row r="7763" spans="1:4" ht="16.5" hidden="1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313">
        <f>参数调整!$K$38*怪物掉落配置方案!$D4685</f>
        <v>1.0300335363927198E-2</v>
      </c>
    </row>
    <row r="7764" spans="1:4" ht="16.5" hidden="1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313">
        <f>参数调整!$K$38*怪物掉落配置方案!$D4686</f>
        <v>1.3301052897633264E-2</v>
      </c>
    </row>
    <row r="7765" spans="1:4" ht="16.5" hidden="1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313">
        <f>参数调整!$K$38*怪物掉落配置方案!$D4687</f>
        <v>1.9153516172591895E-2</v>
      </c>
    </row>
    <row r="7766" spans="1:4" ht="16.5" hidden="1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313">
        <f>参数调整!$K$38*怪物掉落配置方案!$D4688</f>
        <v>2.6070063679361197E-2</v>
      </c>
    </row>
    <row r="7767" spans="1:4" ht="16.5" hidden="1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313">
        <f>参数调整!$K$38*怪物掉落配置方案!$D4689</f>
        <v>2.91346262669759E-2</v>
      </c>
    </row>
    <row r="7768" spans="1:4" ht="16.5" hidden="1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313">
        <f>参数调整!$K$38*怪物掉落配置方案!$D4690</f>
        <v>3.4050695417941153E-2</v>
      </c>
    </row>
    <row r="7769" spans="1:4" ht="16.5" hidden="1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313">
        <f>参数调整!$K$38*怪物掉落配置方案!$D4691</f>
        <v>3.9349834892358243E-2</v>
      </c>
    </row>
    <row r="7770" spans="1:4" ht="16.5" hidden="1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313">
        <f>参数调整!$K$38*怪物掉落配置方案!$D4692</f>
        <v>4.5032044690227167E-2</v>
      </c>
    </row>
    <row r="7771" spans="1:4" ht="16.5" hidden="1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313">
        <f>参数调整!$K$38*怪物掉落配置方案!$D4693</f>
        <v>5.1097324811547953E-2</v>
      </c>
    </row>
    <row r="7772" spans="1:4" ht="16.5" hidden="1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313">
        <f>参数调整!$K$38*怪物掉落配置方案!$D4694</f>
        <v>5.7545675256320539E-2</v>
      </c>
    </row>
    <row r="7773" spans="1:4" ht="16.5" hidden="1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313">
        <f>参数调整!$K$38*怪物掉落配置方案!$D4695</f>
        <v>6.4377096024545E-2</v>
      </c>
    </row>
    <row r="7774" spans="1:4" ht="16.5" hidden="1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313">
        <f>参数调整!$K$38*怪物掉落配置方案!$D4696</f>
        <v>7.1591587116221267E-2</v>
      </c>
    </row>
    <row r="7775" spans="1:4" ht="16.5" hidden="1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313">
        <f>参数调整!$K$38*怪物掉落配置方案!$D4697</f>
        <v>7.9189148531349368E-2</v>
      </c>
    </row>
    <row r="7776" spans="1:4" ht="16.5" hidden="1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313">
        <f>参数调整!$K$38*怪物掉落配置方案!$D4698</f>
        <v>8.7169780269929359E-2</v>
      </c>
    </row>
    <row r="7777" spans="1:4" ht="16.5" hidden="1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313">
        <f>参数调整!$K$38*怪物掉落配置方案!$D4699</f>
        <v>9.5533482331961156E-2</v>
      </c>
    </row>
    <row r="7778" spans="1:4" ht="16.5" hidden="1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313">
        <f>参数调整!$K$38*怪物掉落配置方案!$D4700</f>
        <v>0.10428025471744479</v>
      </c>
    </row>
    <row r="7779" spans="1:4" ht="16.5" hidden="1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313">
        <f>参数调整!$K$38*怪物掉落配置方案!$D4701</f>
        <v>7.7827668838687629E-3</v>
      </c>
    </row>
    <row r="7780" spans="1:4" ht="16.5" hidden="1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313">
        <f>参数调整!$K$38*怪物掉落配置方案!$D4702</f>
        <v>9.8500643373964046E-3</v>
      </c>
    </row>
    <row r="7781" spans="1:4" ht="16.5" hidden="1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313">
        <f>参数调整!$K$38*怪物掉落配置方案!$D4703</f>
        <v>1.216057325604494E-2</v>
      </c>
    </row>
    <row r="7782" spans="1:4" ht="16.5" hidden="1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313">
        <f>参数调整!$K$38*怪物掉落配置方案!$D4704</f>
        <v>1.471429363981438E-2</v>
      </c>
    </row>
    <row r="7783" spans="1:4" ht="16.5" hidden="1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313">
        <f>参数调整!$K$38*怪物掉落配置方案!$D4705</f>
        <v>1.7511225488704707E-2</v>
      </c>
    </row>
    <row r="7784" spans="1:4" ht="16.5" hidden="1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313">
        <f>参数调整!$K$38*怪物掉落配置方案!$D4706</f>
        <v>2.0551368802715953E-2</v>
      </c>
    </row>
    <row r="7785" spans="1:4" ht="16.5" hidden="1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313">
        <f>参数调整!$K$38*怪物掉落配置方案!$D4707</f>
        <v>2.3834723581848079E-2</v>
      </c>
    </row>
    <row r="7786" spans="1:4" ht="16.5" hidden="1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313">
        <f>参数调整!$K$38*怪物掉落配置方案!$D4708</f>
        <v>2.7361289826101112E-2</v>
      </c>
    </row>
    <row r="7787" spans="1:4" ht="16.5" hidden="1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313">
        <f>参数调整!$K$38*怪物掉落配置方案!$D4709</f>
        <v>3.1131067535475052E-2</v>
      </c>
    </row>
    <row r="7788" spans="1:4" ht="16.5" hidden="1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313">
        <f>参数调整!$K$38*怪物掉落配置方案!$D4710</f>
        <v>3.9400257349585611E-2</v>
      </c>
    </row>
    <row r="7789" spans="1:4" ht="16.5" hidden="1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313">
        <f>参数调整!$K$38*怪物掉落配置方案!$D4711</f>
        <v>4.8642293024179752E-2</v>
      </c>
    </row>
    <row r="7790" spans="1:4" ht="16.5" hidden="1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313">
        <f>参数调整!$K$38*怪物掉落配置方案!$D4712</f>
        <v>5.885717455925752E-2</v>
      </c>
    </row>
    <row r="7791" spans="1:4" ht="16.5" hidden="1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313">
        <f>参数调整!$K$38*怪物掉落配置方案!$D4713</f>
        <v>7.6003582850280874E-2</v>
      </c>
    </row>
    <row r="7792" spans="1:4" ht="16.5" hidden="1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313">
        <f>参数调整!$K$38*怪物掉落配置方案!$D4714</f>
        <v>0.10944515930440445</v>
      </c>
    </row>
    <row r="7793" spans="1:4" ht="16.5" hidden="1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313">
        <f>参数调整!$K$38*怪物掉落配置方案!$D4715</f>
        <v>0.14896702238655049</v>
      </c>
    </row>
    <row r="7794" spans="1:4" ht="16.5" hidden="1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313">
        <f>参数调整!$K$38*怪物掉落配置方案!$D4716</f>
        <v>0.16647824787525525</v>
      </c>
    </row>
    <row r="7795" spans="1:4" ht="16.5" hidden="1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313">
        <f>参数调整!$K$38*怪物掉落配置方案!$D4717</f>
        <v>0.19456917209671901</v>
      </c>
    </row>
    <row r="7796" spans="1:4" ht="16.5" hidden="1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313">
        <f>参数调整!$K$38*怪物掉落配置方案!$D4718</f>
        <v>0.2248489995042709</v>
      </c>
    </row>
    <row r="7797" spans="1:4" ht="16.5" hidden="1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313">
        <f>参数调整!$K$38*怪物掉落配置方案!$D4719</f>
        <v>0.25731773009791092</v>
      </c>
    </row>
    <row r="7798" spans="1:4" ht="16.5" hidden="1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313">
        <f>参数调整!$K$38*怪物掉落配置方案!$D4720</f>
        <v>0.29197536387763906</v>
      </c>
    </row>
    <row r="7799" spans="1:4" ht="16.5" hidden="1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313">
        <f>参数调整!$K$38*怪物掉落配置方案!$D4721</f>
        <v>0.32882190084345514</v>
      </c>
    </row>
    <row r="7800" spans="1:4" ht="16.5" hidden="1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313">
        <f>参数调整!$K$38*怪物掉落配置方案!$D4722</f>
        <v>0.36785734099535949</v>
      </c>
    </row>
    <row r="7801" spans="1:4" ht="16.5" hidden="1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313">
        <f>参数调整!$K$38*怪物掉落配置方案!$D4723</f>
        <v>0.40908168433335174</v>
      </c>
    </row>
    <row r="7802" spans="1:4" ht="16.5" hidden="1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313">
        <f>参数调整!$K$38*怪物掉落配置方案!$D4724</f>
        <v>0.4524949308574322</v>
      </c>
    </row>
    <row r="7803" spans="1:4" ht="16.5" hidden="1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313">
        <f>参数调整!$K$38*怪物掉落配置方案!$D4725</f>
        <v>0.49809708056760077</v>
      </c>
    </row>
    <row r="7804" spans="1:4" ht="16.5" hidden="1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313">
        <f>参数调整!$K$38*怪物掉落配置方案!$D4726</f>
        <v>0.54588813346385734</v>
      </c>
    </row>
    <row r="7805" spans="1:4" ht="16.5" hidden="1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313">
        <f>参数调整!$K$38*怪物掉落配置方案!$D4727</f>
        <v>0.59586808954620207</v>
      </c>
    </row>
    <row r="7806" spans="1:4" ht="16.5" hidden="1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313">
        <f>参数调整!$K$38*怪物掉落配置方案!$D4728</f>
        <v>9.7477412030784365E-6</v>
      </c>
    </row>
    <row r="7807" spans="1:4" ht="16.5" hidden="1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313">
        <f>参数调整!$K$38*怪物掉落配置方案!$D4729</f>
        <v>1.2336984960146146E-5</v>
      </c>
    </row>
    <row r="7808" spans="1:4" ht="16.5" hidden="1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313">
        <f>参数调整!$K$38*怪物掉落配置方案!$D4730</f>
        <v>1.5230845629810053E-5</v>
      </c>
    </row>
    <row r="7809" spans="1:4" ht="16.5" hidden="1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313">
        <f>参数调整!$K$38*怪物掉落配置方案!$D4731</f>
        <v>1.8429323212070168E-5</v>
      </c>
    </row>
    <row r="7810" spans="1:4" ht="16.5" hidden="1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313">
        <f>参数调整!$K$38*怪物掉落配置方案!$D4732</f>
        <v>2.1932417706926474E-5</v>
      </c>
    </row>
    <row r="7811" spans="1:4" ht="16.5" hidden="1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313">
        <f>参数调整!$K$38*怪物掉落配置方案!$D4733</f>
        <v>2.5740129114378996E-5</v>
      </c>
    </row>
    <row r="7812" spans="1:4" ht="16.5" hidden="1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313">
        <f>参数调整!$K$38*怪物掉落配置方案!$D4734</f>
        <v>2.9852457434427703E-5</v>
      </c>
    </row>
    <row r="7813" spans="1:4" ht="16.5" hidden="1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313">
        <f>参数调整!$K$38*怪物掉落配置方案!$D4735</f>
        <v>3.4269402667072618E-5</v>
      </c>
    </row>
    <row r="7814" spans="1:4" ht="16.5" hidden="1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313">
        <f>参数调整!$K$38*怪物掉落配置方案!$D4736</f>
        <v>3.8990964812313746E-5</v>
      </c>
    </row>
    <row r="7815" spans="1:4" ht="16.5" hidden="1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313">
        <f>参数调整!$K$38*怪物掉落配置方案!$D4737</f>
        <v>4.9347939840584583E-5</v>
      </c>
    </row>
    <row r="7816" spans="1:4" ht="16.5" hidden="1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313">
        <f>参数调整!$K$38*怪物掉落配置方案!$D4738</f>
        <v>6.0923382519240213E-5</v>
      </c>
    </row>
    <row r="7817" spans="1:4" ht="16.5" hidden="1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313">
        <f>参数调整!$K$38*怪物掉落配置方案!$D4739</f>
        <v>7.3717292848280672E-5</v>
      </c>
    </row>
    <row r="7818" spans="1:4" ht="16.5" hidden="1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313">
        <f>参数调整!$K$38*怪物掉落配置方案!$D4740</f>
        <v>9.5192785186312825E-5</v>
      </c>
    </row>
    <row r="7819" spans="1:4" ht="16.5" hidden="1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313">
        <f>参数调整!$K$38*怪物掉落配置方案!$D4741</f>
        <v>1.3707761066829045E-4</v>
      </c>
    </row>
    <row r="7820" spans="1:4" ht="16.5" hidden="1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313">
        <f>参数调整!$K$38*怪物掉落配置方案!$D4742</f>
        <v>1.8657785896517308E-4</v>
      </c>
    </row>
    <row r="7821" spans="1:4" ht="16.5" hidden="1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313">
        <f>参数调整!$K$38*怪物掉落配置方案!$D4743</f>
        <v>2.0851027667209967E-4</v>
      </c>
    </row>
    <row r="7822" spans="1:4" ht="16.5" hidden="1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313">
        <f>参数调整!$K$38*怪物掉落配置方案!$D4744</f>
        <v>2.4369353007696085E-4</v>
      </c>
    </row>
    <row r="7823" spans="1:4" ht="16.5" hidden="1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313">
        <f>参数调整!$K$38*怪物掉落配置方案!$D4745</f>
        <v>2.8161833569518787E-4</v>
      </c>
    </row>
    <row r="7824" spans="1:4" ht="16.5" hidden="1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313">
        <f>参数调整!$K$38*怪物掉落配置方案!$D4746</f>
        <v>3.222846935267807E-4</v>
      </c>
    </row>
    <row r="7825" spans="1:4" ht="16.5" hidden="1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313">
        <f>参数调整!$K$38*怪物掉落配置方案!$D4747</f>
        <v>3.656926035717395E-4</v>
      </c>
    </row>
    <row r="7826" spans="1:4" ht="16.5" hidden="1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313">
        <f>参数调整!$K$38*怪物掉落配置方案!$D4748</f>
        <v>4.1184206583006389E-4</v>
      </c>
    </row>
    <row r="7827" spans="1:4" ht="16.5" hidden="1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313">
        <f>参数调整!$K$38*怪物掉落配置方案!$D4749</f>
        <v>4.6073308030175413E-4</v>
      </c>
    </row>
    <row r="7828" spans="1:4" ht="16.5" hidden="1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313">
        <f>参数调整!$K$38*怪物掉落配置方案!$D4750</f>
        <v>5.1236564698681013E-4</v>
      </c>
    </row>
    <row r="7829" spans="1:4" ht="16.5" hidden="1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313">
        <f>参数调整!$K$38*怪物掉落配置方案!$D4751</f>
        <v>5.6673976588523189E-4</v>
      </c>
    </row>
    <row r="7830" spans="1:4" ht="16.5" hidden="1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313">
        <f>参数调整!$K$38*怪物掉落配置方案!$D4752</f>
        <v>6.2385543699701993E-4</v>
      </c>
    </row>
    <row r="7831" spans="1:4" ht="16.5" hidden="1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313">
        <f>参数调整!$K$38*怪物掉落配置方案!$D4753</f>
        <v>6.8371266032217319E-4</v>
      </c>
    </row>
    <row r="7832" spans="1:4" ht="16.5" hidden="1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313">
        <f>参数调整!$K$38*怪物掉落配置方案!$D4754</f>
        <v>7.4631143586069274E-4</v>
      </c>
    </row>
    <row r="7833" spans="1:4" ht="16.5" hidden="1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313">
        <f>参数调整!$K$38*怪物掉落配置方案!$D4755</f>
        <v>1.7736321865547868E-3</v>
      </c>
    </row>
    <row r="7834" spans="1:4" ht="16.5" hidden="1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313">
        <f>参数调整!$K$38*怪物掉落配置方案!$D4756</f>
        <v>2.2447532361084019E-3</v>
      </c>
    </row>
    <row r="7835" spans="1:4" ht="16.5" hidden="1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313">
        <f>参数调整!$K$38*怪物掉落配置方案!$D4757</f>
        <v>2.7713002914918536E-3</v>
      </c>
    </row>
    <row r="7836" spans="1:4" ht="16.5" hidden="1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313">
        <f>参数调整!$K$38*怪物掉落配置方案!$D4758</f>
        <v>3.3532733527051432E-3</v>
      </c>
    </row>
    <row r="7837" spans="1:4" ht="16.5" hidden="1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313">
        <f>参数调整!$K$38*怪物掉落配置方案!$D4759</f>
        <v>3.9906724197482689E-3</v>
      </c>
    </row>
    <row r="7838" spans="1:4" ht="16.5" hidden="1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313">
        <f>参数调整!$K$38*怪物掉落配置方案!$D4760</f>
        <v>4.6834974926212337E-3</v>
      </c>
    </row>
    <row r="7839" spans="1:4" ht="16.5" hidden="1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313">
        <f>参数调整!$K$38*怪物掉落配置方案!$D4761</f>
        <v>5.4317485713240316E-3</v>
      </c>
    </row>
    <row r="7840" spans="1:4" ht="16.5" hidden="1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313">
        <f>参数调整!$K$38*怪物掉落配置方案!$D4762</f>
        <v>6.2354256558566721E-3</v>
      </c>
    </row>
    <row r="7841" spans="1:4" ht="16.5" hidden="1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313">
        <f>参数调整!$K$38*怪物掉落配置方案!$D4763</f>
        <v>7.0945287462191474E-3</v>
      </c>
    </row>
    <row r="7842" spans="1:4" ht="16.5" hidden="1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313">
        <f>参数调整!$K$38*怪物掉落配置方案!$D4764</f>
        <v>8.9790129444336075E-3</v>
      </c>
    </row>
    <row r="7843" spans="1:4" ht="16.5" hidden="1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313">
        <f>参数调整!$K$38*怪物掉落配置方案!$D4765</f>
        <v>1.1085201165967413E-2</v>
      </c>
    </row>
    <row r="7844" spans="1:4" ht="16.5" hidden="1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313">
        <f>参数调整!$K$38*怪物掉落配置方案!$D4766</f>
        <v>1.3413093410820573E-2</v>
      </c>
    </row>
    <row r="7845" spans="1:4" ht="16.5" hidden="1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313">
        <f>参数调整!$K$38*怪物掉落配置方案!$D4767</f>
        <v>1.7320626821824083E-2</v>
      </c>
    </row>
    <row r="7846" spans="1:4" ht="16.5" hidden="1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313">
        <f>参数调整!$K$38*怪物掉落配置方案!$D4768</f>
        <v>2.4941702623426681E-2</v>
      </c>
    </row>
    <row r="7847" spans="1:4" ht="16.5" hidden="1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313">
        <f>参数调整!$K$38*怪物掉落配置方案!$D4769</f>
        <v>3.3948428570775208E-2</v>
      </c>
    </row>
    <row r="7848" spans="1:4" ht="16.5" hidden="1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313">
        <f>参数调整!$K$38*怪物掉落配置方案!$D4770</f>
        <v>3.7939100990523486E-2</v>
      </c>
    </row>
    <row r="7849" spans="1:4" ht="16.5" hidden="1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313">
        <f>参数调整!$K$38*怪物掉落配置方案!$D4771</f>
        <v>4.4340804663869651E-2</v>
      </c>
    </row>
    <row r="7850" spans="1:4" ht="16.5" hidden="1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313">
        <f>参数调整!$K$38*怪物掉落配置方案!$D4772</f>
        <v>5.1241342389684363E-2</v>
      </c>
    </row>
    <row r="7851" spans="1:4" ht="16.5" hidden="1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313">
        <f>参数调整!$K$38*怪物掉落配置方案!$D4773</f>
        <v>5.8640714167967622E-2</v>
      </c>
    </row>
    <row r="7852" spans="1:4" ht="16.5" hidden="1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313">
        <f>参数调整!$K$38*怪物掉落配置方案!$D4774</f>
        <v>6.6538919998719415E-2</v>
      </c>
    </row>
    <row r="7853" spans="1:4" ht="16.5" hidden="1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313">
        <f>参数调整!$K$38*怪物掉落配置方案!$D4775</f>
        <v>7.4935959881939726E-2</v>
      </c>
    </row>
    <row r="7854" spans="1:4" ht="16.5" hidden="1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313">
        <f>参数调整!$K$38*怪物掉落配置方案!$D4776</f>
        <v>8.3831833817628584E-2</v>
      </c>
    </row>
    <row r="7855" spans="1:4" ht="16.5" hidden="1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313">
        <f>参数调整!$K$38*怪物掉落配置方案!$D4777</f>
        <v>9.3226541805785962E-2</v>
      </c>
    </row>
    <row r="7856" spans="1:4" ht="16.5" hidden="1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313">
        <f>参数调整!$K$38*怪物掉落配置方案!$D4778</f>
        <v>0.10312008384641186</v>
      </c>
    </row>
    <row r="7857" spans="1:4" ht="16.5" hidden="1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313">
        <f>参数调整!$K$38*怪物掉落配置方案!$D4779</f>
        <v>0.11351245993950634</v>
      </c>
    </row>
    <row r="7858" spans="1:4" ht="16.5" hidden="1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313">
        <f>参数调整!$K$38*怪物掉落配置方案!$D4780</f>
        <v>0.12440367008506933</v>
      </c>
    </row>
    <row r="7859" spans="1:4" ht="16.5" hidden="1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313">
        <f>参数调整!$K$38*怪物掉落配置方案!$D4781</f>
        <v>0.13579371428310083</v>
      </c>
    </row>
    <row r="7860" spans="1:4" ht="16.5" hidden="1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313">
        <f>参数调整!$K$38*怪物掉落配置方案!$D4782</f>
        <v>1.7736321865547868E-3</v>
      </c>
    </row>
    <row r="7861" spans="1:4" ht="16.5" hidden="1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313">
        <f>参数调整!$K$38*怪物掉落配置方案!$D4783</f>
        <v>2.2447532361084019E-3</v>
      </c>
    </row>
    <row r="7862" spans="1:4" ht="16.5" hidden="1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313">
        <f>参数调整!$K$38*怪物掉落配置方案!$D4784</f>
        <v>2.7713002914918536E-3</v>
      </c>
    </row>
    <row r="7863" spans="1:4" ht="16.5" hidden="1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313">
        <f>参数调整!$K$38*怪物掉落配置方案!$D4785</f>
        <v>3.3532733527051432E-3</v>
      </c>
    </row>
    <row r="7864" spans="1:4" ht="16.5" hidden="1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313">
        <f>参数调整!$K$38*怪物掉落配置方案!$D4786</f>
        <v>3.9906724197482689E-3</v>
      </c>
    </row>
    <row r="7865" spans="1:4" ht="16.5" hidden="1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313">
        <f>参数调整!$K$38*怪物掉落配置方案!$D4787</f>
        <v>4.6834974926212337E-3</v>
      </c>
    </row>
    <row r="7866" spans="1:4" ht="16.5" hidden="1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313">
        <f>参数调整!$K$38*怪物掉落配置方案!$D4788</f>
        <v>5.4317485713240316E-3</v>
      </c>
    </row>
    <row r="7867" spans="1:4" ht="16.5" hidden="1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313">
        <f>参数调整!$K$38*怪物掉落配置方案!$D4789</f>
        <v>6.2354256558566721E-3</v>
      </c>
    </row>
    <row r="7868" spans="1:4" ht="16.5" hidden="1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313">
        <f>参数调整!$K$38*怪物掉落配置方案!$D4790</f>
        <v>7.0945287462191474E-3</v>
      </c>
    </row>
    <row r="7869" spans="1:4" ht="16.5" hidden="1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313">
        <f>参数调整!$K$38*怪物掉落配置方案!$D4791</f>
        <v>8.9790129444336075E-3</v>
      </c>
    </row>
    <row r="7870" spans="1:4" ht="16.5" hidden="1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313">
        <f>参数调整!$K$38*怪物掉落配置方案!$D4792</f>
        <v>1.1085201165967413E-2</v>
      </c>
    </row>
    <row r="7871" spans="1:4" ht="16.5" hidden="1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313">
        <f>参数调整!$K$38*怪物掉落配置方案!$D4793</f>
        <v>1.3413093410820573E-2</v>
      </c>
    </row>
    <row r="7872" spans="1:4" ht="16.5" hidden="1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313">
        <f>参数调整!$K$38*怪物掉落配置方案!$D4794</f>
        <v>1.7320626821824083E-2</v>
      </c>
    </row>
    <row r="7873" spans="1:4" ht="16.5" hidden="1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313">
        <f>参数调整!$K$38*怪物掉落配置方案!$D4795</f>
        <v>2.4941702623426681E-2</v>
      </c>
    </row>
    <row r="7874" spans="1:4" ht="16.5" hidden="1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313">
        <f>参数调整!$K$38*怪物掉落配置方案!$D4796</f>
        <v>3.3948428570775208E-2</v>
      </c>
    </row>
    <row r="7875" spans="1:4" ht="16.5" hidden="1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313">
        <f>参数调整!$K$38*怪物掉落配置方案!$D4797</f>
        <v>3.7939100990523486E-2</v>
      </c>
    </row>
    <row r="7876" spans="1:4" ht="16.5" hidden="1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313">
        <f>参数调整!$K$38*怪物掉落配置方案!$D4798</f>
        <v>4.4340804663869651E-2</v>
      </c>
    </row>
    <row r="7877" spans="1:4" ht="16.5" hidden="1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313">
        <f>参数调整!$K$38*怪物掉落配置方案!$D4799</f>
        <v>5.1241342389684363E-2</v>
      </c>
    </row>
    <row r="7878" spans="1:4" ht="16.5" hidden="1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313">
        <f>参数调整!$K$38*怪物掉落配置方案!$D4800</f>
        <v>5.8640714167967622E-2</v>
      </c>
    </row>
    <row r="7879" spans="1:4" ht="16.5" hidden="1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313">
        <f>参数调整!$K$38*怪物掉落配置方案!$D4801</f>
        <v>6.6538919998719415E-2</v>
      </c>
    </row>
    <row r="7880" spans="1:4" ht="16.5" hidden="1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313">
        <f>参数调整!$K$38*怪物掉落配置方案!$D4802</f>
        <v>7.4935959881939726E-2</v>
      </c>
    </row>
    <row r="7881" spans="1:4" ht="16.5" hidden="1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313">
        <f>参数调整!$K$38*怪物掉落配置方案!$D4803</f>
        <v>8.3831833817628584E-2</v>
      </c>
    </row>
    <row r="7882" spans="1:4" ht="16.5" hidden="1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313">
        <f>参数调整!$K$38*怪物掉落配置方案!$D4804</f>
        <v>9.3226541805785962E-2</v>
      </c>
    </row>
    <row r="7883" spans="1:4" ht="16.5" hidden="1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313">
        <f>参数调整!$K$38*怪物掉落配置方案!$D4805</f>
        <v>0.10312008384641186</v>
      </c>
    </row>
    <row r="7884" spans="1:4" ht="16.5" hidden="1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313">
        <f>参数调整!$K$38*怪物掉落配置方案!$D4806</f>
        <v>0.11351245993950634</v>
      </c>
    </row>
    <row r="7885" spans="1:4" ht="16.5" hidden="1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313">
        <f>参数调整!$K$38*怪物掉落配置方案!$D4807</f>
        <v>0.12440367008506933</v>
      </c>
    </row>
    <row r="7886" spans="1:4" ht="16.5" hidden="1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313">
        <f>参数调整!$K$38*怪物掉落配置方案!$D4808</f>
        <v>0.13579371428310083</v>
      </c>
    </row>
    <row r="7887" spans="1:4" ht="16.5" hidden="1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313">
        <f>参数调整!$K$38*怪物掉落配置方案!$D4809</f>
        <v>4.5465332075816121E-2</v>
      </c>
    </row>
    <row r="7888" spans="1:4" ht="16.5" hidden="1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313">
        <f>参数调整!$K$38*怪物掉落配置方案!$D4810</f>
        <v>5.754206090845479E-2</v>
      </c>
    </row>
    <row r="7889" spans="1:4" ht="16.5" hidden="1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313">
        <f>参数调整!$K$38*怪物掉落配置方案!$D4811</f>
        <v>7.1039581368462695E-2</v>
      </c>
    </row>
    <row r="7890" spans="1:4" ht="16.5" hidden="1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313">
        <f>参数调整!$K$38*怪物掉落配置方案!$D4812</f>
        <v>8.5957893455839859E-2</v>
      </c>
    </row>
    <row r="7891" spans="1:4" ht="16.5" hidden="1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313">
        <f>参数调整!$K$38*怪物掉落配置方案!$D4813</f>
        <v>0.10229699717058624</v>
      </c>
    </row>
    <row r="7892" spans="1:4" ht="16.5" hidden="1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313">
        <f>参数调整!$K$38*怪物掉落配置方案!$D4814</f>
        <v>0.12005689251270193</v>
      </c>
    </row>
    <row r="7893" spans="1:4" ht="16.5" hidden="1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313">
        <f>参数调整!$K$38*怪物掉落配置方案!$D4815</f>
        <v>0.13923757948218685</v>
      </c>
    </row>
    <row r="7894" spans="1:4" ht="16.5" hidden="1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313">
        <f>参数调整!$K$38*怪物掉落配置方案!$D4816</f>
        <v>0.15983905807904103</v>
      </c>
    </row>
    <row r="7895" spans="1:4" ht="16.5" hidden="1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313">
        <f>参数调整!$K$38*怪物掉落配置方案!$D4817</f>
        <v>0.18186132830326451</v>
      </c>
    </row>
    <row r="7896" spans="1:4" ht="16.5" hidden="1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313">
        <f>参数调整!$K$38*怪物掉落配置方案!$D4818</f>
        <v>0.23016824363381916</v>
      </c>
    </row>
    <row r="7897" spans="1:4" ht="16.5" hidden="1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313">
        <f>参数调整!$K$38*怪物掉落配置方案!$D4819</f>
        <v>0.28415832547385073</v>
      </c>
    </row>
    <row r="7898" spans="1:4" ht="16.5" hidden="1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313">
        <f>参数调整!$K$38*怪物掉落配置方案!$D4820</f>
        <v>0.34383157382335944</v>
      </c>
    </row>
    <row r="7899" spans="1:4" ht="16.5" hidden="1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313">
        <f>参数调整!$K$38*怪物掉落配置方案!$D4821</f>
        <v>0.44399738355289176</v>
      </c>
    </row>
    <row r="7900" spans="1:4" ht="16.5" hidden="1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313">
        <f>参数调整!$K$38*怪物掉落配置方案!$D4822</f>
        <v>0.63935623231616401</v>
      </c>
    </row>
    <row r="7901" spans="1:4" ht="16.5" hidden="1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313">
        <f>参数调整!$K$38*怪物掉落配置方案!$D4823</f>
        <v>0.87023487176366776</v>
      </c>
    </row>
    <row r="7902" spans="1:4" ht="16.5" hidden="1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313">
        <f>参数调整!$K$38*怪物掉落配置方案!$D4824</f>
        <v>0.97253186893425414</v>
      </c>
    </row>
    <row r="7903" spans="1:4" ht="16.5" hidden="1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313">
        <f>参数调整!$K$38*怪物掉落配置方案!$D4825</f>
        <v>1.1366333018954029</v>
      </c>
    </row>
    <row r="7904" spans="1:4" ht="16.5" hidden="1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313">
        <f>参数调整!$K$38*怪物掉落配置方案!$D4826</f>
        <v>1.3135218595028748</v>
      </c>
    </row>
    <row r="7905" spans="1:4" ht="16.5" hidden="1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313">
        <f>参数调整!$K$38*怪物掉落配置方案!$D4827</f>
        <v>1.5031975417566701</v>
      </c>
    </row>
    <row r="7906" spans="1:4" ht="16.5" hidden="1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313">
        <f>参数调整!$K$38*怪物掉落配置方案!$D4828</f>
        <v>1.7056603486567892</v>
      </c>
    </row>
    <row r="7907" spans="1:4" ht="16.5" hidden="1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313">
        <f>参数调整!$K$38*怪物掉落配置方案!$D4829</f>
        <v>1.920910280203231</v>
      </c>
    </row>
    <row r="7908" spans="1:4" ht="16.5" hidden="1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313">
        <f>参数调整!$K$38*怪物掉落配置方案!$D4830</f>
        <v>2.148947336395997</v>
      </c>
    </row>
    <row r="7909" spans="1:4" ht="16.5" hidden="1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313">
        <f>参数调整!$K$38*怪物掉落配置方案!$D4831</f>
        <v>2.3897715172350846</v>
      </c>
    </row>
    <row r="7910" spans="1:4" ht="16.5" hidden="1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313">
        <f>参数调整!$K$38*怪物掉落配置方案!$D4832</f>
        <v>2.6433828227204961</v>
      </c>
    </row>
    <row r="7911" spans="1:4" ht="16.5" hidden="1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313">
        <f>参数调整!$K$38*怪物掉落配置方案!$D4833</f>
        <v>2.9097812528522318</v>
      </c>
    </row>
    <row r="7912" spans="1:4" ht="16.5" hidden="1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313">
        <f>参数调整!$K$38*怪物掉落配置方案!$D4834</f>
        <v>3.1889668076302904</v>
      </c>
    </row>
    <row r="7913" spans="1:4" ht="16.5" hidden="1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313">
        <f>参数调整!$K$38*怪物掉落配置方案!$D4835</f>
        <v>3.4809394870546715</v>
      </c>
    </row>
    <row r="7914" spans="1:4" ht="16.5" hidden="1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313">
        <f>参数调整!$K$38*怪物掉落配置方案!$D4836</f>
        <v>2.6806288308465695E-4</v>
      </c>
    </row>
    <row r="7915" spans="1:4" ht="16.5" hidden="1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313">
        <f>参数调整!$K$38*怪物掉落配置方案!$D4837</f>
        <v>3.3926708640401901E-4</v>
      </c>
    </row>
    <row r="7916" spans="1:4" ht="16.5" hidden="1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313">
        <f>参数调整!$K$38*怪物掉落配置方案!$D4838</f>
        <v>4.1884825481977648E-4</v>
      </c>
    </row>
    <row r="7917" spans="1:4" ht="16.5" hidden="1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313">
        <f>参数调整!$K$38*怪物掉落配置方案!$D4839</f>
        <v>5.068063883319296E-4</v>
      </c>
    </row>
    <row r="7918" spans="1:4" ht="16.5" hidden="1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313">
        <f>参数调整!$K$38*怪物掉落配置方案!$D4840</f>
        <v>6.0314148694047792E-4</v>
      </c>
    </row>
    <row r="7919" spans="1:4" ht="16.5" hidden="1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313">
        <f>参数调整!$K$38*怪物掉落配置方案!$D4841</f>
        <v>7.0785355064542231E-4</v>
      </c>
    </row>
    <row r="7920" spans="1:4" ht="16.5" hidden="1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313">
        <f>参数调整!$K$38*怪物掉落配置方案!$D4842</f>
        <v>8.2094257944676169E-4</v>
      </c>
    </row>
    <row r="7921" spans="1:4" ht="16.5" hidden="1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313">
        <f>参数调整!$K$38*怪物掉落配置方案!$D4843</f>
        <v>9.4240857334449714E-4</v>
      </c>
    </row>
    <row r="7922" spans="1:4" ht="16.5" hidden="1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313">
        <f>参数调整!$K$38*怪物掉落配置方案!$D4844</f>
        <v>1.0722515323386278E-3</v>
      </c>
    </row>
    <row r="7923" spans="1:4" ht="16.5" hidden="1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313">
        <f>参数调整!$K$38*怪物掉落配置方案!$D4845</f>
        <v>1.3570683456160758E-3</v>
      </c>
    </row>
    <row r="7924" spans="1:4" ht="16.5" hidden="1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313">
        <f>参数调整!$K$38*怪物掉落配置方案!$D4846</f>
        <v>1.6753930192791055E-3</v>
      </c>
    </row>
    <row r="7925" spans="1:4" ht="16.5" hidden="1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313">
        <f>参数调整!$K$38*怪物掉落配置方案!$D4847</f>
        <v>2.027225553327718E-3</v>
      </c>
    </row>
    <row r="7926" spans="1:4" ht="16.5" hidden="1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313">
        <f>参数调整!$K$38*怪物掉落配置方案!$D4848</f>
        <v>2.6178015926236024E-3</v>
      </c>
    </row>
    <row r="7927" spans="1:4" ht="16.5" hidden="1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313">
        <f>参数调整!$K$38*怪物掉落配置方案!$D4849</f>
        <v>3.7696342933779877E-3</v>
      </c>
    </row>
    <row r="7928" spans="1:4" ht="16.5" hidden="1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313">
        <f>参数调整!$K$38*怪物掉落配置方案!$D4850</f>
        <v>5.1308911215422609E-3</v>
      </c>
    </row>
    <row r="7929" spans="1:4" ht="16.5" hidden="1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313">
        <f>参数调整!$K$38*怪物掉落配置方案!$D4851</f>
        <v>5.7340326084827408E-3</v>
      </c>
    </row>
    <row r="7930" spans="1:4" ht="16.5" hidden="1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313">
        <f>参数调整!$K$38*怪物掉落配置方案!$D4852</f>
        <v>6.701572077116422E-3</v>
      </c>
    </row>
    <row r="7931" spans="1:4" ht="16.5" hidden="1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313">
        <f>参数调整!$K$38*怪物掉落配置方案!$D4853</f>
        <v>7.7445042316176653E-3</v>
      </c>
    </row>
    <row r="7932" spans="1:4" ht="16.5" hidden="1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313">
        <f>参数调整!$K$38*怪物掉落配置方案!$D4854</f>
        <v>8.8628290719864698E-3</v>
      </c>
    </row>
    <row r="7933" spans="1:4" ht="16.5" hidden="1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313">
        <f>参数调整!$K$38*怪物掉落配置方案!$D4855</f>
        <v>1.0056546598222835E-2</v>
      </c>
    </row>
    <row r="7934" spans="1:4" ht="16.5" hidden="1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313">
        <f>参数调整!$K$38*怪物掉落配置方案!$D4856</f>
        <v>1.1325656810326755E-2</v>
      </c>
    </row>
    <row r="7935" spans="1:4" ht="16.5" hidden="1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313">
        <f>参数调整!$K$38*怪物掉落配置方案!$D4857</f>
        <v>1.2670159708298236E-2</v>
      </c>
    </row>
    <row r="7936" spans="1:4" ht="16.5" hidden="1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313">
        <f>参数调整!$K$38*怪物掉落配置方案!$D4858</f>
        <v>1.4090055292137277E-2</v>
      </c>
    </row>
    <row r="7937" spans="1:4" ht="16.5" hidden="1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313">
        <f>参数调整!$K$38*怪物掉落配置方案!$D4859</f>
        <v>1.5585343561843878E-2</v>
      </c>
    </row>
    <row r="7938" spans="1:4" ht="16.5" hidden="1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313">
        <f>参数调整!$K$38*怪物掉落配置方案!$D4860</f>
        <v>1.7156024517418045E-2</v>
      </c>
    </row>
    <row r="7939" spans="1:4" ht="16.5" hidden="1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313">
        <f>参数调整!$K$38*怪物掉落配置方案!$D4861</f>
        <v>1.8802098158859762E-2</v>
      </c>
    </row>
    <row r="7940" spans="1:4" ht="16.5" hidden="1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313">
        <f>参数调整!$K$38*怪物掉落配置方案!$D4862</f>
        <v>2.0523564486169047E-2</v>
      </c>
    </row>
    <row r="7941" spans="1:4" ht="16.5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313">
        <f>参数调整!$K$38*怪物掉落配置方案!$D4863</f>
        <v>5001</v>
      </c>
    </row>
    <row r="7942" spans="1:4" ht="16.5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313">
        <f>参数调整!$K$38*怪物掉落配置方案!$D4864</f>
        <v>7986</v>
      </c>
    </row>
    <row r="7943" spans="1:4" ht="16.5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313">
        <f>参数调整!$K$38*怪物掉落配置方案!$D4865</f>
        <v>12999</v>
      </c>
    </row>
    <row r="7944" spans="1:4" ht="16.5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313">
        <f>参数调整!$K$38*怪物掉落配置方案!$D4866</f>
        <v>16251</v>
      </c>
    </row>
    <row r="7945" spans="1:4" ht="16.5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313">
        <f>参数调整!$K$38*怪物掉落配置方案!$D4867</f>
        <v>16332</v>
      </c>
    </row>
    <row r="7946" spans="1:4" ht="16.5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313">
        <f>参数调整!$K$38*怪物掉落配置方案!$D4868</f>
        <v>16722</v>
      </c>
    </row>
    <row r="7947" spans="1:4" ht="16.5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313">
        <f>参数调整!$K$38*怪物掉落配置方案!$D4869</f>
        <v>18873</v>
      </c>
    </row>
    <row r="7948" spans="1:4" ht="16.5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313">
        <f>参数调整!$K$38*怪物掉落配置方案!$D4870</f>
        <v>30243</v>
      </c>
    </row>
    <row r="7949" spans="1:4" ht="16.5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313">
        <f>参数调整!$K$38*怪物掉落配置方案!$D4871</f>
        <v>52005</v>
      </c>
    </row>
    <row r="7950" spans="1:4" ht="16.5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313">
        <f>参数调整!$K$38*怪物掉落配置方案!$D4872</f>
        <v>61191</v>
      </c>
    </row>
    <row r="7951" spans="1:4" ht="16.5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313">
        <f>参数调整!$K$38*怪物掉落配置方案!$D4873</f>
        <v>94500</v>
      </c>
    </row>
    <row r="7952" spans="1:4" ht="16.5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313">
        <f>参数调整!$K$38*怪物掉落配置方案!$D4874</f>
        <v>97668</v>
      </c>
    </row>
    <row r="7953" spans="1:4" ht="16.5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313">
        <f>参数调整!$K$38*怪物掉落配置方案!$D4875</f>
        <v>389442</v>
      </c>
    </row>
    <row r="7954" spans="1:4" ht="16.5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313">
        <f>参数调整!$K$38*怪物掉落配置方案!$D4876</f>
        <v>1333251</v>
      </c>
    </row>
    <row r="7955" spans="1:4" ht="16.5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313">
        <f>参数调整!$K$38*怪物掉落配置方案!$D4877</f>
        <v>16105167</v>
      </c>
    </row>
    <row r="7956" spans="1:4" ht="16.5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313">
        <f>参数调整!$K$38*怪物掉落配置方案!$D4878</f>
        <v>14644401</v>
      </c>
    </row>
    <row r="7957" spans="1:4" ht="16.5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313">
        <f>参数调整!$K$38*怪物掉落配置方案!$D4879</f>
        <v>17499999</v>
      </c>
    </row>
    <row r="7958" spans="1:4" ht="16.5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313">
        <f>参数调整!$K$38*怪物掉落配置方案!$D4880</f>
        <v>3500001</v>
      </c>
    </row>
    <row r="7959" spans="1:4" ht="16.5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313">
        <f>参数调整!$K$38*怪物掉落配置方案!$D4881</f>
        <v>3500001</v>
      </c>
    </row>
    <row r="7960" spans="1:4" ht="16.5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313">
        <f>参数调整!$K$38*怪物掉落配置方案!$D4882</f>
        <v>3500001</v>
      </c>
    </row>
    <row r="7961" spans="1:4" ht="16.5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313">
        <f>参数调整!$K$38*怪物掉落配置方案!$D4883</f>
        <v>3500001</v>
      </c>
    </row>
    <row r="7962" spans="1:4" ht="16.5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313">
        <f>参数调整!$K$38*怪物掉落配置方案!$D4884</f>
        <v>3500001</v>
      </c>
    </row>
    <row r="7963" spans="1:4" ht="16.5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313">
        <f>参数调整!$K$38*怪物掉落配置方案!$D4885</f>
        <v>1749999</v>
      </c>
    </row>
    <row r="7964" spans="1:4" ht="16.5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313">
        <f>参数调整!$K$38*怪物掉落配置方案!$D4886</f>
        <v>1749999</v>
      </c>
    </row>
    <row r="7965" spans="1:4" ht="16.5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313">
        <f>参数调整!$K$38*怪物掉落配置方案!$D4887</f>
        <v>1749999</v>
      </c>
    </row>
    <row r="7966" spans="1:4" ht="16.5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313">
        <f>参数调整!$K$38*怪物掉落配置方案!$D4888</f>
        <v>1749999</v>
      </c>
    </row>
    <row r="7967" spans="1:4" ht="16.5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313">
        <f>参数调整!$K$38*怪物掉落配置方案!$D4889</f>
        <v>1749999</v>
      </c>
    </row>
    <row r="7968" spans="1:4" ht="16.5" hidden="1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313">
        <f>参数调整!$K$38*怪物掉落配置方案!$D4890</f>
        <v>1.5565533767737524E-3</v>
      </c>
    </row>
    <row r="7969" spans="1:4" ht="16.5" hidden="1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313">
        <f>参数调整!$K$38*怪物掉落配置方案!$D4891</f>
        <v>1.9700128674792808E-3</v>
      </c>
    </row>
    <row r="7970" spans="1:4" ht="16.5" hidden="1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313">
        <f>参数调整!$K$38*怪物掉落配置方案!$D4892</f>
        <v>2.4321146512089878E-3</v>
      </c>
    </row>
    <row r="7971" spans="1:4" ht="16.5" hidden="1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313">
        <f>参数调整!$K$38*怪物掉落配置方案!$D4893</f>
        <v>2.9428587279628758E-3</v>
      </c>
    </row>
    <row r="7972" spans="1:4" ht="16.5" hidden="1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313">
        <f>参数调整!$K$38*怪物掉落配置方案!$D4894</f>
        <v>3.5022450977409423E-3</v>
      </c>
    </row>
    <row r="7973" spans="1:4" ht="16.5" hidden="1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313">
        <f>参数调整!$K$38*怪物掉落配置方案!$D4895</f>
        <v>4.1102737605431903E-3</v>
      </c>
    </row>
    <row r="7974" spans="1:4" ht="16.5" hidden="1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313">
        <f>参数调整!$K$38*怪物掉落配置方案!$D4896</f>
        <v>4.7669447163696159E-3</v>
      </c>
    </row>
    <row r="7975" spans="1:4" ht="16.5" hidden="1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313">
        <f>参数调整!$K$38*怪物掉落配置方案!$D4897</f>
        <v>5.4722579652202227E-3</v>
      </c>
    </row>
    <row r="7976" spans="1:4" ht="16.5" hidden="1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313">
        <f>参数调整!$K$38*怪物掉落配置方案!$D4898</f>
        <v>6.2262135070950114E-3</v>
      </c>
    </row>
    <row r="7977" spans="1:4" ht="16.5" hidden="1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313">
        <f>参数调整!$K$38*怪物掉落配置方案!$D4899</f>
        <v>7.8800514699171216E-3</v>
      </c>
    </row>
    <row r="7978" spans="1:4" ht="16.5" hidden="1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313">
        <f>参数调整!$K$38*怪物掉落配置方案!$D4900</f>
        <v>9.728458604835951E-3</v>
      </c>
    </row>
    <row r="7979" spans="1:4" ht="16.5" hidden="1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313">
        <f>参数调整!$K$38*怪物掉落配置方案!$D4901</f>
        <v>1.1771434911851503E-2</v>
      </c>
    </row>
    <row r="7980" spans="1:4" ht="16.5" hidden="1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313">
        <f>参数调整!$K$38*怪物掉落配置方案!$D4902</f>
        <v>1.5200716570056175E-2</v>
      </c>
    </row>
    <row r="7981" spans="1:4" ht="16.5" hidden="1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313">
        <f>参数调整!$K$38*怪物掉落配置方案!$D4903</f>
        <v>2.1889031860880887E-2</v>
      </c>
    </row>
    <row r="7982" spans="1:4" ht="16.5" hidden="1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313">
        <f>参数调整!$K$38*怪物掉落配置方案!$D4904</f>
        <v>2.97934044773101E-2</v>
      </c>
    </row>
    <row r="7983" spans="1:4" ht="16.5" hidden="1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313">
        <f>参数调整!$K$38*怪物掉落配置方案!$D4905</f>
        <v>3.3295649575051052E-2</v>
      </c>
    </row>
    <row r="7984" spans="1:4" ht="16.5" hidden="1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313">
        <f>参数调整!$K$38*怪物掉落配置方案!$D4906</f>
        <v>3.8913834419343804E-2</v>
      </c>
    </row>
    <row r="7985" spans="1:4" ht="16.5" hidden="1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313">
        <f>参数调整!$K$38*怪物掉落配置方案!$D4907</f>
        <v>4.4969799900854188E-2</v>
      </c>
    </row>
    <row r="7986" spans="1:4" ht="16.5" hidden="1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313">
        <f>参数调整!$K$38*怪物掉落配置方案!$D4908</f>
        <v>5.1463546019582182E-2</v>
      </c>
    </row>
    <row r="7987" spans="1:4" ht="16.5" hidden="1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313">
        <f>参数调整!$K$38*怪物掉落配置方案!$D4909</f>
        <v>5.8395072775527822E-2</v>
      </c>
    </row>
    <row r="7988" spans="1:4" ht="16.5" hidden="1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313">
        <f>参数调整!$K$38*怪物掉落配置方案!$D4910</f>
        <v>6.5764380168691031E-2</v>
      </c>
    </row>
    <row r="7989" spans="1:4" ht="16.5" hidden="1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313">
        <f>参数调整!$K$38*怪物掉落配置方案!$D4911</f>
        <v>7.3571468199071899E-2</v>
      </c>
    </row>
    <row r="7990" spans="1:4" ht="16.5" hidden="1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313">
        <f>参数调整!$K$38*怪物掉落配置方案!$D4912</f>
        <v>8.181633686667035E-2</v>
      </c>
    </row>
    <row r="7991" spans="1:4" ht="16.5" hidden="1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313">
        <f>参数调整!$K$38*怪物掉落配置方案!$D4913</f>
        <v>9.049898617148644E-2</v>
      </c>
    </row>
    <row r="7992" spans="1:4" ht="16.5" hidden="1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313">
        <f>参数调整!$K$38*怪物掉落配置方案!$D4914</f>
        <v>9.9619416113520154E-2</v>
      </c>
    </row>
    <row r="7993" spans="1:4" ht="16.5" hidden="1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313">
        <f>参数调整!$K$38*怪物掉落配置方案!$D4915</f>
        <v>0.10917762669277147</v>
      </c>
    </row>
    <row r="7994" spans="1:4" ht="16.5" hidden="1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313">
        <f>参数调整!$K$38*怪物掉落配置方案!$D4916</f>
        <v>0.11917361790924041</v>
      </c>
    </row>
    <row r="7995" spans="1:4" ht="16.5" hidden="1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313">
        <f>参数调整!$K$38*怪物掉落配置方案!$D4917</f>
        <v>0</v>
      </c>
    </row>
    <row r="7996" spans="1:4" ht="16.5" hidden="1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313">
        <f>参数调整!$K$38*怪物掉落配置方案!$D4918</f>
        <v>0</v>
      </c>
    </row>
    <row r="7997" spans="1:4" ht="16.5" hidden="1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313">
        <f>参数调整!$K$38*怪物掉落配置方案!$D4919</f>
        <v>0</v>
      </c>
    </row>
    <row r="7998" spans="1:4" ht="16.5" hidden="1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313">
        <f>参数调整!$K$38*怪物掉落配置方案!$D4920</f>
        <v>0</v>
      </c>
    </row>
    <row r="7999" spans="1:4" ht="16.5" hidden="1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313">
        <f>参数调整!$K$38*怪物掉落配置方案!$D4921</f>
        <v>0</v>
      </c>
    </row>
    <row r="8000" spans="1:4" ht="16.5" hidden="1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313">
        <f>参数调整!$K$38*怪物掉落配置方案!$D4922</f>
        <v>0</v>
      </c>
    </row>
    <row r="8001" spans="1:4" ht="16.5" hidden="1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313">
        <f>参数调整!$K$38*怪物掉落配置方案!$D4923</f>
        <v>0</v>
      </c>
    </row>
    <row r="8002" spans="1:4" ht="16.5" hidden="1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313">
        <f>参数调整!$K$38*怪物掉落配置方案!$D4924</f>
        <v>0</v>
      </c>
    </row>
    <row r="8003" spans="1:4" ht="16.5" hidden="1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313">
        <f>参数调整!$K$38*怪物掉落配置方案!$D4925</f>
        <v>0</v>
      </c>
    </row>
    <row r="8004" spans="1:4" ht="16.5" hidden="1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313">
        <f>参数调整!$K$38*怪物掉落配置方案!$D4926</f>
        <v>0</v>
      </c>
    </row>
    <row r="8005" spans="1:4" ht="16.5" hidden="1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313">
        <f>参数调整!$K$38*怪物掉落配置方案!$D4927</f>
        <v>0</v>
      </c>
    </row>
    <row r="8006" spans="1:4" ht="16.5" hidden="1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313">
        <f>参数调整!$K$38*怪物掉落配置方案!$D4928</f>
        <v>0</v>
      </c>
    </row>
    <row r="8007" spans="1:4" ht="16.5" hidden="1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313">
        <f>参数调整!$K$38*怪物掉落配置方案!$D4929</f>
        <v>0</v>
      </c>
    </row>
    <row r="8008" spans="1:4" ht="16.5" hidden="1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313">
        <f>参数调整!$K$38*怪物掉落配置方案!$D4930</f>
        <v>0</v>
      </c>
    </row>
    <row r="8009" spans="1:4" ht="16.5" hidden="1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313">
        <f>参数调整!$K$38*怪物掉落配置方案!$D4931</f>
        <v>0</v>
      </c>
    </row>
    <row r="8010" spans="1:4" ht="16.5" hidden="1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313">
        <f>参数调整!$K$38*怪物掉落配置方案!$D4932</f>
        <v>0</v>
      </c>
    </row>
    <row r="8011" spans="1:4" ht="16.5" hidden="1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313">
        <f>参数调整!$K$38*怪物掉落配置方案!$D4933</f>
        <v>0</v>
      </c>
    </row>
    <row r="8012" spans="1:4" ht="16.5" hidden="1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313">
        <f>参数调整!$K$38*怪物掉落配置方案!$D4934</f>
        <v>0</v>
      </c>
    </row>
    <row r="8013" spans="1:4" ht="16.5" hidden="1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313">
        <f>参数调整!$K$38*怪物掉落配置方案!$D4935</f>
        <v>0</v>
      </c>
    </row>
    <row r="8014" spans="1:4" ht="16.5" hidden="1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313">
        <f>参数调整!$K$38*怪物掉落配置方案!$D4936</f>
        <v>0</v>
      </c>
    </row>
    <row r="8015" spans="1:4" ht="16.5" hidden="1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313">
        <f>参数调整!$K$38*怪物掉落配置方案!$D4937</f>
        <v>0</v>
      </c>
    </row>
    <row r="8016" spans="1:4" ht="16.5" hidden="1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313">
        <f>参数调整!$K$38*怪物掉落配置方案!$D4938</f>
        <v>0</v>
      </c>
    </row>
    <row r="8017" spans="1:4" ht="16.5" hidden="1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313">
        <f>参数调整!$K$38*怪物掉落配置方案!$D4939</f>
        <v>0</v>
      </c>
    </row>
    <row r="8018" spans="1:4" ht="16.5" hidden="1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313">
        <f>参数调整!$K$38*怪物掉落配置方案!$D4940</f>
        <v>0</v>
      </c>
    </row>
    <row r="8019" spans="1:4" ht="16.5" hidden="1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313">
        <f>参数调整!$K$38*怪物掉落配置方案!$D4941</f>
        <v>0</v>
      </c>
    </row>
    <row r="8020" spans="1:4" ht="16.5" hidden="1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313">
        <f>参数调整!$K$38*怪物掉落配置方案!$D4942</f>
        <v>0</v>
      </c>
    </row>
    <row r="8021" spans="1:4" ht="16.5" hidden="1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313">
        <f>参数调整!$K$38*怪物掉落配置方案!$D4943</f>
        <v>0</v>
      </c>
    </row>
    <row r="8022" spans="1:4" ht="16.5" hidden="1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313">
        <f>参数调整!$K$38*怪物掉落配置方案!$D4944</f>
        <v>7.3848881923202145E-4</v>
      </c>
    </row>
    <row r="8023" spans="1:4" ht="16.5" hidden="1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313">
        <f>参数调整!$K$38*怪物掉落配置方案!$D4945</f>
        <v>9.3464991184052731E-4</v>
      </c>
    </row>
    <row r="8024" spans="1:4" ht="16.5" hidden="1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313">
        <f>参数调整!$K$38*怪物掉落配置方案!$D4946</f>
        <v>1.1538887800500333E-3</v>
      </c>
    </row>
    <row r="8025" spans="1:4" ht="16.5" hidden="1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313">
        <f>参数调整!$K$38*怪物掉落配置方案!$D4947</f>
        <v>1.3962054238605406E-3</v>
      </c>
    </row>
    <row r="8026" spans="1:4" ht="16.5" hidden="1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313">
        <f>参数调整!$K$38*怪物掉落配置方案!$D4948</f>
        <v>1.6615998432720478E-3</v>
      </c>
    </row>
    <row r="8027" spans="1:4" ht="16.5" hidden="1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313">
        <f>参数调整!$K$38*怪物掉落配置方案!$D4949</f>
        <v>1.9500720382845567E-3</v>
      </c>
    </row>
    <row r="8028" spans="1:4" ht="16.5" hidden="1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313">
        <f>参数调整!$K$38*怪物掉落配置方案!$D4950</f>
        <v>2.261622008898065E-3</v>
      </c>
    </row>
    <row r="8029" spans="1:4" ht="16.5" hidden="1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313">
        <f>参数调整!$K$38*怪物掉落配置方案!$D4951</f>
        <v>2.596249755112575E-3</v>
      </c>
    </row>
    <row r="8030" spans="1:4" ht="16.5" hidden="1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313">
        <f>参数调整!$K$38*怪物掉落配置方案!$D4952</f>
        <v>2.9539552769280862E-3</v>
      </c>
    </row>
    <row r="8031" spans="1:4" ht="16.5" hidden="1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313">
        <f>参数调整!$K$38*怪物掉落配置方案!$D4953</f>
        <v>3.7385996473621079E-3</v>
      </c>
    </row>
    <row r="8032" spans="1:4" ht="16.5" hidden="1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313">
        <f>参数调整!$K$38*怪物掉落配置方案!$D4954</f>
        <v>4.6155551202001332E-3</v>
      </c>
    </row>
    <row r="8033" spans="1:4" ht="16.5" hidden="1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313">
        <f>参数调整!$K$38*怪物掉落配置方案!$D4955</f>
        <v>5.5848216954421624E-3</v>
      </c>
    </row>
    <row r="8034" spans="1:4" ht="16.5" hidden="1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313">
        <f>参数调整!$K$38*怪物掉落配置方案!$D4956</f>
        <v>7.2118048753127082E-3</v>
      </c>
    </row>
    <row r="8035" spans="1:4" ht="16.5" hidden="1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313">
        <f>参数调整!$K$38*怪物掉落配置方案!$D4957</f>
        <v>1.0384999020450298E-2</v>
      </c>
    </row>
    <row r="8036" spans="1:4" ht="16.5" hidden="1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313">
        <f>参数调整!$K$38*怪物掉落配置方案!$D4958</f>
        <v>1.4135137555612905E-2</v>
      </c>
    </row>
    <row r="8037" spans="1:4" ht="16.5" hidden="1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313">
        <f>参数调整!$K$38*怪物掉落配置方案!$D4959</f>
        <v>1.5796737398884958E-2</v>
      </c>
    </row>
    <row r="8038" spans="1:4" ht="16.5" hidden="1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313">
        <f>参数调整!$K$38*怪物掉落配置方案!$D4960</f>
        <v>1.8462220480800533E-2</v>
      </c>
    </row>
    <row r="8039" spans="1:4" ht="16.5" hidden="1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313">
        <f>参数调整!$K$38*怪物掉落配置方案!$D4961</f>
        <v>2.1335403543125114E-2</v>
      </c>
    </row>
    <row r="8040" spans="1:4" ht="16.5" hidden="1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313">
        <f>参数调整!$K$38*怪物掉落配置方案!$D4962</f>
        <v>2.4416286585858704E-2</v>
      </c>
    </row>
    <row r="8041" spans="1:4" ht="16.5" hidden="1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313">
        <f>参数调整!$K$38*怪物掉落配置方案!$D4963</f>
        <v>2.7704869609001304E-2</v>
      </c>
    </row>
    <row r="8042" spans="1:4" ht="16.5" hidden="1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313">
        <f>参数调整!$K$38*怪物掉落配置方案!$D4964</f>
        <v>3.1201152612552907E-2</v>
      </c>
    </row>
    <row r="8043" spans="1:4" ht="16.5" hidden="1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313">
        <f>参数调整!$K$38*怪物掉落配置方案!$D4965</f>
        <v>3.4905135596513509E-2</v>
      </c>
    </row>
    <row r="8044" spans="1:4" ht="16.5" hidden="1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313">
        <f>参数调整!$K$38*怪物掉落配置方案!$D4966</f>
        <v>3.8816818560883114E-2</v>
      </c>
    </row>
    <row r="8045" spans="1:4" ht="16.5" hidden="1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313">
        <f>参数调整!$K$38*怪物掉落配置方案!$D4967</f>
        <v>4.2936201505661728E-2</v>
      </c>
    </row>
    <row r="8046" spans="1:4" ht="16.5" hidden="1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313">
        <f>参数调整!$K$38*怪物掉落配置方案!$D4968</f>
        <v>4.7263284430849373E-2</v>
      </c>
    </row>
    <row r="8047" spans="1:4" ht="16.5" hidden="1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313">
        <f>参数调整!$K$38*怪物掉落配置方案!$D4969</f>
        <v>5.1798067336445999E-2</v>
      </c>
    </row>
    <row r="8048" spans="1:4" ht="16.5" hidden="1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313">
        <f>参数调整!$K$38*怪物掉落配置方案!$D4970</f>
        <v>5.6540550222451635E-2</v>
      </c>
    </row>
    <row r="8049" spans="1:4" ht="16.5" hidden="1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313">
        <f>参数调整!$K$38*怪物掉落配置方案!$D4971</f>
        <v>1.9500441145151967E-2</v>
      </c>
    </row>
    <row r="8050" spans="1:4" ht="16.5" hidden="1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313">
        <f>参数调整!$K$38*怪物掉落配置方案!$D4972</f>
        <v>2.4680245824332963E-2</v>
      </c>
    </row>
    <row r="8051" spans="1:4" ht="16.5" hidden="1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313">
        <f>参数调整!$K$38*怪物掉落配置方案!$D4973</f>
        <v>3.0469439289299953E-2</v>
      </c>
    </row>
    <row r="8052" spans="1:4" ht="16.5" hidden="1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313">
        <f>参数调整!$K$38*怪物掉落配置方案!$D4974</f>
        <v>3.6868021540052941E-2</v>
      </c>
    </row>
    <row r="8053" spans="1:4" ht="16.5" hidden="1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313">
        <f>参数调整!$K$38*怪物掉落配置方案!$D4975</f>
        <v>4.3875992576591916E-2</v>
      </c>
    </row>
    <row r="8054" spans="1:4" ht="16.5" hidden="1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313">
        <f>参数调整!$K$38*怪物掉落配置方案!$D4976</f>
        <v>5.149335239891692E-2</v>
      </c>
    </row>
    <row r="8055" spans="1:4" ht="16.5" hidden="1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313">
        <f>参数调整!$K$38*怪物掉落配置方案!$D4977</f>
        <v>5.9720101007027897E-2</v>
      </c>
    </row>
    <row r="8056" spans="1:4" ht="16.5" hidden="1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313">
        <f>参数调整!$K$38*怪物掉落配置方案!$D4978</f>
        <v>6.8556238400924896E-2</v>
      </c>
    </row>
    <row r="8057" spans="1:4" ht="16.5" hidden="1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313">
        <f>参数调整!$K$38*怪物掉落配置方案!$D4979</f>
        <v>7.8001764580607896E-2</v>
      </c>
    </row>
    <row r="8058" spans="1:4" ht="16.5" hidden="1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313">
        <f>参数调整!$K$38*怪物掉落配置方案!$D4980</f>
        <v>9.8720983297331852E-2</v>
      </c>
    </row>
    <row r="8059" spans="1:4" ht="16.5" hidden="1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313">
        <f>参数调整!$K$38*怪物掉落配置方案!$D4981</f>
        <v>0.12187775715719976</v>
      </c>
    </row>
    <row r="8060" spans="1:4" ht="16.5" hidden="1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313">
        <f>参数调整!$K$38*怪物掉落配置方案!$D4982</f>
        <v>0.14747208616021176</v>
      </c>
    </row>
    <row r="8061" spans="1:4" ht="16.5" hidden="1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313">
        <f>参数调整!$K$38*怪物掉落配置方案!$D4983</f>
        <v>0.19043399555812465</v>
      </c>
    </row>
    <row r="8062" spans="1:4" ht="16.5" hidden="1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313">
        <f>参数调整!$K$38*怪物掉落配置方案!$D4984</f>
        <v>0.27422495360369947</v>
      </c>
    </row>
    <row r="8063" spans="1:4" ht="16.5" hidden="1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313">
        <f>参数调整!$K$38*怪物掉落配置方案!$D4985</f>
        <v>0.37325063129392433</v>
      </c>
    </row>
    <row r="8064" spans="1:4" ht="16.5" hidden="1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313">
        <f>参数调整!$K$38*怪物掉落配置方案!$D4986</f>
        <v>0.41712662387051636</v>
      </c>
    </row>
    <row r="8065" spans="1:4" ht="16.5" hidden="1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313">
        <f>参数调整!$K$38*怪物掉落配置方案!$D4987</f>
        <v>0.48751102862879903</v>
      </c>
    </row>
    <row r="8066" spans="1:4" ht="16.5" hidden="1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313">
        <f>参数调整!$K$38*怪物掉落配置方案!$D4988</f>
        <v>0.56337993245915596</v>
      </c>
    </row>
    <row r="8067" spans="1:4" ht="16.5" hidden="1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313">
        <f>参数调整!$K$38*怪物掉落配置方案!$D4989</f>
        <v>0.64473333536158683</v>
      </c>
    </row>
    <row r="8068" spans="1:4" ht="16.5" hidden="1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313">
        <f>参数调整!$K$38*怪物掉落配置方案!$D4990</f>
        <v>0.73157123733609186</v>
      </c>
    </row>
    <row r="8069" spans="1:4" ht="16.5" hidden="1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313">
        <f>参数调整!$K$38*怪物掉落配置方案!$D4991</f>
        <v>0.8238936383826706</v>
      </c>
    </row>
    <row r="8070" spans="1:4" ht="16.5" hidden="1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313">
        <f>参数调整!$K$38*怪物掉落配置方案!$D4992</f>
        <v>0.9217005385013235</v>
      </c>
    </row>
    <row r="8071" spans="1:4" ht="16.5" hidden="1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313">
        <f>参数调整!$K$38*怪物掉落配置方案!$D4993</f>
        <v>1.0249919376920502</v>
      </c>
    </row>
    <row r="8072" spans="1:4" ht="16.5" hidden="1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313">
        <f>参数调整!$K$38*怪物掉落配置方案!$D4994</f>
        <v>1.1337678359548509</v>
      </c>
    </row>
    <row r="8073" spans="1:4" ht="16.5" hidden="1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313">
        <f>参数调整!$K$38*怪物掉落配置方案!$D4995</f>
        <v>1.2480282332897259</v>
      </c>
    </row>
    <row r="8074" spans="1:4" ht="16.5" hidden="1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313">
        <f>参数调整!$K$38*怪物掉落配置方案!$D4996</f>
        <v>1.3677731296966744</v>
      </c>
    </row>
    <row r="8075" spans="1:4" ht="16.5" hidden="1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313">
        <f>参数调整!$K$38*怪物掉落配置方案!$D4997</f>
        <v>1.4930025251756978</v>
      </c>
    </row>
    <row r="8076" spans="1:4" ht="16.5" hidden="1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313">
        <f>参数调整!$K$38*怪物掉落配置方案!$D4998</f>
        <v>9.7477412030784365E-6</v>
      </c>
    </row>
    <row r="8077" spans="1:4" ht="16.5" hidden="1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313">
        <f>参数调整!$K$38*怪物掉落配置方案!$D4999</f>
        <v>1.2336984960146146E-5</v>
      </c>
    </row>
    <row r="8078" spans="1:4" ht="16.5" hidden="1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313">
        <f>参数调整!$K$38*怪物掉落配置方案!$D5000</f>
        <v>1.5230845629810053E-5</v>
      </c>
    </row>
    <row r="8079" spans="1:4" ht="16.5" hidden="1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313">
        <f>参数调整!$K$38*怪物掉落配置方案!$D5001</f>
        <v>1.8429323212070168E-5</v>
      </c>
    </row>
    <row r="8080" spans="1:4" ht="16.5" hidden="1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313">
        <f>参数调整!$K$38*怪物掉落配置方案!$D5002</f>
        <v>2.1932417706926474E-5</v>
      </c>
    </row>
    <row r="8081" spans="1:4" ht="16.5" hidden="1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313">
        <f>参数调整!$K$38*怪物掉落配置方案!$D5003</f>
        <v>2.5740129114378996E-5</v>
      </c>
    </row>
    <row r="8082" spans="1:4" ht="16.5" hidden="1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313">
        <f>参数调整!$K$38*怪物掉落配置方案!$D5004</f>
        <v>2.9852457434427703E-5</v>
      </c>
    </row>
    <row r="8083" spans="1:4" ht="16.5" hidden="1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313">
        <f>参数调整!$K$38*怪物掉落配置方案!$D5005</f>
        <v>3.4269402667072618E-5</v>
      </c>
    </row>
    <row r="8084" spans="1:4" ht="16.5" hidden="1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313">
        <f>参数调整!$K$38*怪物掉落配置方案!$D5006</f>
        <v>3.8990964812313746E-5</v>
      </c>
    </row>
    <row r="8085" spans="1:4" ht="16.5" hidden="1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313">
        <f>参数调整!$K$38*怪物掉落配置方案!$D5007</f>
        <v>4.9347939840584583E-5</v>
      </c>
    </row>
    <row r="8086" spans="1:4" ht="16.5" hidden="1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313">
        <f>参数调整!$K$38*怪物掉落配置方案!$D5008</f>
        <v>6.0923382519240213E-5</v>
      </c>
    </row>
    <row r="8087" spans="1:4" ht="16.5" hidden="1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313">
        <f>参数调整!$K$38*怪物掉落配置方案!$D5009</f>
        <v>7.3717292848280672E-5</v>
      </c>
    </row>
    <row r="8088" spans="1:4" ht="16.5" hidden="1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313">
        <f>参数调整!$K$38*怪物掉落配置方案!$D5010</f>
        <v>9.5192785186312825E-5</v>
      </c>
    </row>
    <row r="8089" spans="1:4" ht="16.5" hidden="1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313">
        <f>参数调整!$K$38*怪物掉落配置方案!$D5011</f>
        <v>1.3707761066829045E-4</v>
      </c>
    </row>
    <row r="8090" spans="1:4" ht="16.5" hidden="1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313">
        <f>参数调整!$K$38*怪物掉落配置方案!$D5012</f>
        <v>1.8657785896517308E-4</v>
      </c>
    </row>
    <row r="8091" spans="1:4" ht="16.5" hidden="1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313">
        <f>参数调整!$K$38*怪物掉落配置方案!$D5013</f>
        <v>2.0851027667209967E-4</v>
      </c>
    </row>
    <row r="8092" spans="1:4" ht="16.5" hidden="1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313">
        <f>参数调整!$K$38*怪物掉落配置方案!$D5014</f>
        <v>2.4369353007696085E-4</v>
      </c>
    </row>
    <row r="8093" spans="1:4" ht="16.5" hidden="1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313">
        <f>参数调整!$K$38*怪物掉落配置方案!$D5015</f>
        <v>2.8161833569518787E-4</v>
      </c>
    </row>
    <row r="8094" spans="1:4" ht="16.5" hidden="1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313">
        <f>参数调整!$K$38*怪物掉落配置方案!$D5016</f>
        <v>3.222846935267807E-4</v>
      </c>
    </row>
    <row r="8095" spans="1:4" ht="16.5" hidden="1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313">
        <f>参数调整!$K$38*怪物掉落配置方案!$D5017</f>
        <v>3.656926035717395E-4</v>
      </c>
    </row>
    <row r="8096" spans="1:4" ht="16.5" hidden="1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313">
        <f>参数调整!$K$38*怪物掉落配置方案!$D5018</f>
        <v>4.1184206583006389E-4</v>
      </c>
    </row>
    <row r="8097" spans="1:4" ht="16.5" hidden="1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313">
        <f>参数调整!$K$38*怪物掉落配置方案!$D5019</f>
        <v>4.6073308030175413E-4</v>
      </c>
    </row>
    <row r="8098" spans="1:4" ht="16.5" hidden="1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313">
        <f>参数调整!$K$38*怪物掉落配置方案!$D5020</f>
        <v>5.1236564698681013E-4</v>
      </c>
    </row>
    <row r="8099" spans="1:4" ht="16.5" hidden="1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313">
        <f>参数调整!$K$38*怪物掉落配置方案!$D5021</f>
        <v>5.6673976588523189E-4</v>
      </c>
    </row>
    <row r="8100" spans="1:4" ht="16.5" hidden="1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313">
        <f>参数调整!$K$38*怪物掉落配置方案!$D5022</f>
        <v>6.2385543699701993E-4</v>
      </c>
    </row>
    <row r="8101" spans="1:4" ht="16.5" hidden="1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313">
        <f>参数调整!$K$38*怪物掉落配置方案!$D5023</f>
        <v>6.8371266032217319E-4</v>
      </c>
    </row>
    <row r="8102" spans="1:4" ht="16.5" hidden="1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313">
        <f>参数调整!$K$38*怪物掉落配置方案!$D5024</f>
        <v>7.4631143586069274E-4</v>
      </c>
    </row>
    <row r="8103" spans="1:4" ht="16.5" hidden="1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313">
        <f>参数调整!$K$38*怪物掉落配置方案!$D5025</f>
        <v>2.6806288308465695E-3</v>
      </c>
    </row>
    <row r="8104" spans="1:4" ht="16.5" hidden="1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313">
        <f>参数调整!$K$38*怪物掉落配置方案!$D5026</f>
        <v>3.3926708640401896E-3</v>
      </c>
    </row>
    <row r="8105" spans="1:4" ht="16.5" hidden="1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313">
        <f>参数调整!$K$38*怪物掉落配置方案!$D5027</f>
        <v>4.1884825481977644E-3</v>
      </c>
    </row>
    <row r="8106" spans="1:4" ht="16.5" hidden="1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313">
        <f>参数调整!$K$38*怪物掉落配置方案!$D5028</f>
        <v>5.0680638833192956E-3</v>
      </c>
    </row>
    <row r="8107" spans="1:4" ht="16.5" hidden="1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313">
        <f>参数调整!$K$38*怪物掉落配置方案!$D5029</f>
        <v>6.0314148694047796E-3</v>
      </c>
    </row>
    <row r="8108" spans="1:4" ht="16.5" hidden="1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313">
        <f>参数调整!$K$38*怪物掉落配置方案!$D5030</f>
        <v>7.0785355064542227E-3</v>
      </c>
    </row>
    <row r="8109" spans="1:4" ht="16.5" hidden="1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313">
        <f>参数调整!$K$38*怪物掉落配置方案!$D5031</f>
        <v>8.2094257944676161E-3</v>
      </c>
    </row>
    <row r="8110" spans="1:4" ht="16.5" hidden="1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313">
        <f>参数调整!$K$38*怪物掉落配置方案!$D5032</f>
        <v>9.4240857334449719E-3</v>
      </c>
    </row>
    <row r="8111" spans="1:4" ht="16.5" hidden="1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313">
        <f>参数调整!$K$38*怪物掉落配置方案!$D5033</f>
        <v>1.0722515323386278E-2</v>
      </c>
    </row>
    <row r="8112" spans="1:4" ht="16.5" hidden="1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313">
        <f>参数调整!$K$38*怪物掉落配置方案!$D5034</f>
        <v>1.3570683456160759E-2</v>
      </c>
    </row>
    <row r="8113" spans="1:4" ht="16.5" hidden="1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313">
        <f>参数调整!$K$38*怪物掉落配置方案!$D5035</f>
        <v>1.6753930192791058E-2</v>
      </c>
    </row>
    <row r="8114" spans="1:4" ht="16.5" hidden="1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313">
        <f>参数调整!$K$38*怪物掉落配置方案!$D5036</f>
        <v>2.0272255533277182E-2</v>
      </c>
    </row>
    <row r="8115" spans="1:4" ht="16.5" hidden="1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313">
        <f>参数调整!$K$38*怪物掉落配置方案!$D5037</f>
        <v>2.6178015926236031E-2</v>
      </c>
    </row>
    <row r="8116" spans="1:4" ht="16.5" hidden="1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313">
        <f>参数调整!$K$38*怪物掉落配置方案!$D5038</f>
        <v>3.7696342933779874E-2</v>
      </c>
    </row>
    <row r="8117" spans="1:4" ht="16.5" hidden="1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313">
        <f>参数调整!$K$38*怪物掉落配置方案!$D5039</f>
        <v>5.1308911215422609E-2</v>
      </c>
    </row>
    <row r="8118" spans="1:4" ht="16.5" hidden="1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313">
        <f>参数调整!$K$38*怪物掉落配置方案!$D5040</f>
        <v>5.7340326084827399E-2</v>
      </c>
    </row>
    <row r="8119" spans="1:4" ht="16.5" hidden="1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313">
        <f>参数调整!$K$38*怪物掉落配置方案!$D5041</f>
        <v>6.7015720771164231E-2</v>
      </c>
    </row>
    <row r="8120" spans="1:4" ht="16.5" hidden="1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313">
        <f>参数调整!$K$38*怪物掉落配置方案!$D5042</f>
        <v>7.7445042316176646E-2</v>
      </c>
    </row>
    <row r="8121" spans="1:4" ht="16.5" hidden="1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313">
        <f>参数调整!$K$38*怪物掉落配置方案!$D5043</f>
        <v>8.862829071986468E-2</v>
      </c>
    </row>
    <row r="8122" spans="1:4" ht="16.5" hidden="1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313">
        <f>参数调整!$K$38*怪物掉落配置方案!$D5044</f>
        <v>0.10056546598222832</v>
      </c>
    </row>
    <row r="8123" spans="1:4" ht="16.5" hidden="1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313">
        <f>参数调整!$K$38*怪物掉落配置方案!$D5045</f>
        <v>0.11325656810326756</v>
      </c>
    </row>
    <row r="8124" spans="1:4" ht="16.5" hidden="1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313">
        <f>参数调整!$K$38*怪物掉落配置方案!$D5046</f>
        <v>0.12670159708298237</v>
      </c>
    </row>
    <row r="8125" spans="1:4" ht="16.5" hidden="1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313">
        <f>参数调整!$K$38*怪物掉落配置方案!$D5047</f>
        <v>0.14090055292137277</v>
      </c>
    </row>
    <row r="8126" spans="1:4" ht="16.5" hidden="1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313">
        <f>参数调整!$K$38*怪物掉落配置方案!$D5048</f>
        <v>0.15585343561843878</v>
      </c>
    </row>
    <row r="8127" spans="1:4" ht="16.5" hidden="1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313">
        <f>参数调整!$K$38*怪物掉落配置方案!$D5049</f>
        <v>0.17156024517418045</v>
      </c>
    </row>
    <row r="8128" spans="1:4" ht="16.5" hidden="1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313">
        <f>参数调整!$K$38*怪物掉落配置方案!$D5050</f>
        <v>0.18802098158859765</v>
      </c>
    </row>
    <row r="8129" spans="1:4" ht="16.5" hidden="1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313">
        <f>参数调整!$K$38*怪物掉落配置方案!$D5051</f>
        <v>0.20523564486169044</v>
      </c>
    </row>
    <row r="8130" spans="1:4" ht="16.5" hidden="1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313">
        <f>参数调整!$K$38*怪物掉落配置方案!$D5052</f>
        <v>9.7477412030784358E-5</v>
      </c>
    </row>
    <row r="8131" spans="1:4" ht="16.5" hidden="1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313">
        <f>参数调整!$K$38*怪物掉落配置方案!$D5053</f>
        <v>1.2336984960146147E-4</v>
      </c>
    </row>
    <row r="8132" spans="1:4" ht="16.5" hidden="1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313">
        <f>参数调整!$K$38*怪物掉落配置方案!$D5054</f>
        <v>1.5230845629810052E-4</v>
      </c>
    </row>
    <row r="8133" spans="1:4" ht="16.5" hidden="1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313">
        <f>参数调整!$K$38*怪物掉落配置方案!$D5055</f>
        <v>1.8429323212070165E-4</v>
      </c>
    </row>
    <row r="8134" spans="1:4" ht="16.5" hidden="1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313">
        <f>参数调整!$K$38*怪物掉落配置方案!$D5056</f>
        <v>2.1932417706926476E-4</v>
      </c>
    </row>
    <row r="8135" spans="1:4" ht="16.5" hidden="1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313">
        <f>参数调整!$K$38*怪物掉落配置方案!$D5057</f>
        <v>2.5740129114378989E-4</v>
      </c>
    </row>
    <row r="8136" spans="1:4" ht="16.5" hidden="1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313">
        <f>参数调整!$K$38*怪物掉落配置方案!$D5058</f>
        <v>2.9852457434427699E-4</v>
      </c>
    </row>
    <row r="8137" spans="1:4" ht="16.5" hidden="1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313">
        <f>参数调整!$K$38*怪物掉落配置方案!$D5059</f>
        <v>3.4269402667072617E-4</v>
      </c>
    </row>
    <row r="8138" spans="1:4" ht="16.5" hidden="1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313">
        <f>参数调整!$K$38*怪物掉落配置方案!$D5060</f>
        <v>3.8990964812313749E-4</v>
      </c>
    </row>
    <row r="8139" spans="1:4" ht="16.5" hidden="1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313">
        <f>参数调整!$K$38*怪物掉落配置方案!$D5061</f>
        <v>4.9347939840584565E-4</v>
      </c>
    </row>
    <row r="8140" spans="1:4" ht="16.5" hidden="1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313">
        <f>参数调整!$K$38*怪物掉落配置方案!$D5062</f>
        <v>6.0923382519240208E-4</v>
      </c>
    </row>
    <row r="8141" spans="1:4" ht="16.5" hidden="1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313">
        <f>参数调整!$K$38*怪物掉落配置方案!$D5063</f>
        <v>7.3717292848280661E-4</v>
      </c>
    </row>
    <row r="8142" spans="1:4" ht="16.5" hidden="1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313">
        <f>参数调整!$K$38*怪物掉落配置方案!$D5064</f>
        <v>9.5192785186312841E-4</v>
      </c>
    </row>
    <row r="8143" spans="1:4" ht="16.5" hidden="1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313">
        <f>参数调整!$K$38*怪物掉落配置方案!$D5065</f>
        <v>1.3707761066829045E-3</v>
      </c>
    </row>
    <row r="8144" spans="1:4" ht="16.5" hidden="1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313">
        <f>参数调整!$K$38*怪物掉落配置方案!$D5066</f>
        <v>1.8657785896517313E-3</v>
      </c>
    </row>
    <row r="8145" spans="1:4" ht="16.5" hidden="1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313">
        <f>参数调整!$K$38*怪物掉落配置方案!$D5067</f>
        <v>2.0851027667209967E-3</v>
      </c>
    </row>
    <row r="8146" spans="1:4" ht="16.5" hidden="1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313">
        <f>参数调整!$K$38*怪物掉落配置方案!$D5068</f>
        <v>2.4369353007696083E-3</v>
      </c>
    </row>
    <row r="8147" spans="1:4" ht="16.5" hidden="1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313">
        <f>参数调整!$K$38*怪物掉落配置方案!$D5069</f>
        <v>2.8161833569518781E-3</v>
      </c>
    </row>
    <row r="8148" spans="1:4" ht="16.5" hidden="1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313">
        <f>参数调整!$K$38*怪物掉落配置方案!$D5070</f>
        <v>3.2228469352678073E-3</v>
      </c>
    </row>
    <row r="8149" spans="1:4" ht="16.5" hidden="1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313">
        <f>参数调整!$K$38*怪物掉落配置方案!$D5071</f>
        <v>3.6569260357173948E-3</v>
      </c>
    </row>
    <row r="8150" spans="1:4" ht="16.5" hidden="1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313">
        <f>参数调整!$K$38*怪物掉落配置方案!$D5072</f>
        <v>4.1184206583006382E-3</v>
      </c>
    </row>
    <row r="8151" spans="1:4" ht="16.5" hidden="1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313">
        <f>参数调整!$K$38*怪物掉落配置方案!$D5073</f>
        <v>4.6073308030175411E-3</v>
      </c>
    </row>
    <row r="8152" spans="1:4" ht="16.5" hidden="1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313">
        <f>参数调整!$K$38*怪物掉落配置方案!$D5074</f>
        <v>5.1236564698681009E-3</v>
      </c>
    </row>
    <row r="8153" spans="1:4" ht="16.5" hidden="1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313">
        <f>参数调整!$K$38*怪物掉落配置方案!$D5075</f>
        <v>5.6673976588523193E-3</v>
      </c>
    </row>
    <row r="8154" spans="1:4" ht="16.5" hidden="1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313">
        <f>参数调整!$K$38*怪物掉落配置方案!$D5076</f>
        <v>6.2385543699701989E-3</v>
      </c>
    </row>
    <row r="8155" spans="1:4" ht="16.5" hidden="1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313">
        <f>参数调整!$K$38*怪物掉落配置方案!$D5077</f>
        <v>6.8371266032217319E-3</v>
      </c>
    </row>
    <row r="8156" spans="1:4" ht="16.5" hidden="1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313">
        <f>参数调整!$K$38*怪物掉落配置方案!$D5078</f>
        <v>7.463114358606927E-3</v>
      </c>
    </row>
    <row r="8157" spans="1:4" ht="16.5" hidden="1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313">
        <f>参数调整!$K$38*怪物掉落配置方案!$D5079</f>
        <v>1.3620278167176461E-2</v>
      </c>
    </row>
    <row r="8158" spans="1:4" ht="16.5" hidden="1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313">
        <f>参数调整!$K$38*怪物掉落配置方案!$D5080</f>
        <v>1.7238164555332711E-2</v>
      </c>
    </row>
    <row r="8159" spans="1:4" ht="16.5" hidden="1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313">
        <f>参数调整!$K$38*怪物掉落配置方案!$D5081</f>
        <v>2.128168463621322E-2</v>
      </c>
    </row>
    <row r="8160" spans="1:4" ht="16.5" hidden="1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313">
        <f>参数调整!$K$38*怪物掉落配置方案!$D5082</f>
        <v>2.5750838409817997E-2</v>
      </c>
    </row>
    <row r="8161" spans="1:4" ht="16.5" hidden="1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313">
        <f>参数调整!$K$38*怪物掉落配置方案!$D5083</f>
        <v>3.0645625876147029E-2</v>
      </c>
    </row>
    <row r="8162" spans="1:4" ht="16.5" hidden="1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313">
        <f>参数调整!$K$38*怪物掉落配置方案!$D5084</f>
        <v>3.5966047035200344E-2</v>
      </c>
    </row>
    <row r="8163" spans="1:4" ht="16.5" hidden="1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313">
        <f>参数调整!$K$38*怪物掉落配置方案!$D5085</f>
        <v>4.1712101886977909E-2</v>
      </c>
    </row>
    <row r="8164" spans="1:4" ht="16.5" hidden="1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313">
        <f>参数调整!$K$38*怪物掉落配置方案!$D5086</f>
        <v>4.788379043147975E-2</v>
      </c>
    </row>
    <row r="8165" spans="1:4" ht="16.5" hidden="1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313">
        <f>参数调整!$K$38*怪物掉落配置方案!$D5087</f>
        <v>5.4481112668705853E-2</v>
      </c>
    </row>
    <row r="8166" spans="1:4" ht="16.5" hidden="1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313">
        <f>参数调整!$K$38*怪物掉落配置方案!$D5088</f>
        <v>6.8952658221330843E-2</v>
      </c>
    </row>
    <row r="8167" spans="1:4" ht="16.5" hidden="1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313">
        <f>参数调整!$K$38*怪物掉落配置方案!$D5089</f>
        <v>8.5126738544852878E-2</v>
      </c>
    </row>
    <row r="8168" spans="1:4" ht="16.5" hidden="1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313">
        <f>参数调整!$K$38*怪物掉落配置方案!$D5090</f>
        <v>0.10300335363927199</v>
      </c>
    </row>
    <row r="8169" spans="1:4" ht="16.5" hidden="1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313">
        <f>参数调整!$K$38*怪物掉落配置方案!$D5091</f>
        <v>0.13301052897633261</v>
      </c>
    </row>
    <row r="8170" spans="1:4" ht="16.5" hidden="1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313">
        <f>参数调整!$K$38*怪物掉落配置方案!$D5092</f>
        <v>0.19153516172591895</v>
      </c>
    </row>
    <row r="8171" spans="1:4" ht="16.5" hidden="1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313">
        <f>参数调整!$K$38*怪物掉落配置方案!$D5093</f>
        <v>0.26070063679361188</v>
      </c>
    </row>
    <row r="8172" spans="1:4" ht="16.5" hidden="1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313">
        <f>参数调整!$K$38*怪物掉落配置方案!$D5094</f>
        <v>0.29134626266975905</v>
      </c>
    </row>
    <row r="8173" spans="1:4" ht="16.5" hidden="1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313">
        <f>参数调整!$K$38*怪物掉落配置方案!$D5095</f>
        <v>0.34050695417941151</v>
      </c>
    </row>
    <row r="8174" spans="1:4" ht="16.5" hidden="1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313">
        <f>参数调整!$K$38*怪物掉落配置方案!$D5096</f>
        <v>0.39349834892358238</v>
      </c>
    </row>
    <row r="8175" spans="1:4" ht="16.5" hidden="1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313">
        <f>参数调整!$K$38*怪物掉落配置方案!$D5097</f>
        <v>0.45032044690227169</v>
      </c>
    </row>
    <row r="8176" spans="1:4" ht="16.5" hidden="1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313">
        <f>参数调整!$K$38*怪物掉落配置方案!$D5098</f>
        <v>0.51097324811547962</v>
      </c>
    </row>
    <row r="8177" spans="1:4" ht="16.5" hidden="1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313">
        <f>参数调整!$K$38*怪物掉落配置方案!$D5099</f>
        <v>0.57545675256320539</v>
      </c>
    </row>
    <row r="8178" spans="1:4" ht="16.5" hidden="1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313">
        <f>参数调整!$K$38*怪物掉落配置方案!$D5100</f>
        <v>0.64377096024544989</v>
      </c>
    </row>
    <row r="8179" spans="1:4" ht="16.5" hidden="1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313">
        <f>参数调整!$K$38*怪物掉落配置方案!$D5101</f>
        <v>0.71591587116221267</v>
      </c>
    </row>
    <row r="8180" spans="1:4" ht="16.5" hidden="1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313">
        <f>参数调整!$K$38*怪物掉落配置方案!$D5102</f>
        <v>0.79189148531349374</v>
      </c>
    </row>
    <row r="8181" spans="1:4" ht="16.5" hidden="1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313">
        <f>参数调整!$K$38*怪物掉落配置方案!$D5103</f>
        <v>0.87169780269929364</v>
      </c>
    </row>
    <row r="8182" spans="1:4" ht="16.5" hidden="1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313">
        <f>参数调整!$K$38*怪物掉落配置方案!$D5104</f>
        <v>0.9553348233196115</v>
      </c>
    </row>
    <row r="8183" spans="1:4" ht="16.5" hidden="1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313">
        <f>参数调整!$K$38*怪物掉落配置方案!$D5105</f>
        <v>1.042802547174448</v>
      </c>
    </row>
    <row r="8184" spans="1:4" ht="16.5" hidden="1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313">
        <f>参数调整!$K$38*怪物掉落配置方案!$D5106</f>
        <v>1.7736321865547868E-3</v>
      </c>
    </row>
    <row r="8185" spans="1:4" ht="16.5" hidden="1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313">
        <f>参数调整!$K$38*怪物掉落配置方案!$D5107</f>
        <v>2.2447532361084019E-3</v>
      </c>
    </row>
    <row r="8186" spans="1:4" ht="16.5" hidden="1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313">
        <f>参数调整!$K$38*怪物掉落配置方案!$D5108</f>
        <v>2.7713002914918536E-3</v>
      </c>
    </row>
    <row r="8187" spans="1:4" ht="16.5" hidden="1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313">
        <f>参数调整!$K$38*怪物掉落配置方案!$D5109</f>
        <v>3.3532733527051432E-3</v>
      </c>
    </row>
    <row r="8188" spans="1:4" ht="16.5" hidden="1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313">
        <f>参数调整!$K$38*怪物掉落配置方案!$D5110</f>
        <v>3.9906724197482689E-3</v>
      </c>
    </row>
    <row r="8189" spans="1:4" ht="16.5" hidden="1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313">
        <f>参数调整!$K$38*怪物掉落配置方案!$D5111</f>
        <v>4.6834974926212337E-3</v>
      </c>
    </row>
    <row r="8190" spans="1:4" ht="16.5" hidden="1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313">
        <f>参数调整!$K$38*怪物掉落配置方案!$D5112</f>
        <v>5.4317485713240316E-3</v>
      </c>
    </row>
    <row r="8191" spans="1:4" ht="16.5" hidden="1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313">
        <f>参数调整!$K$38*怪物掉落配置方案!$D5113</f>
        <v>6.2354256558566721E-3</v>
      </c>
    </row>
    <row r="8192" spans="1:4" ht="16.5" hidden="1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313">
        <f>参数调整!$K$38*怪物掉落配置方案!$D5114</f>
        <v>7.0945287462191474E-3</v>
      </c>
    </row>
    <row r="8193" spans="1:4" ht="16.5" hidden="1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313">
        <f>参数调整!$K$38*怪物掉落配置方案!$D5115</f>
        <v>8.9790129444336075E-3</v>
      </c>
    </row>
    <row r="8194" spans="1:4" ht="16.5" hidden="1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313">
        <f>参数调整!$K$38*怪物掉落配置方案!$D5116</f>
        <v>1.1085201165967413E-2</v>
      </c>
    </row>
    <row r="8195" spans="1:4" ht="16.5" hidden="1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313">
        <f>参数调整!$K$38*怪物掉落配置方案!$D5117</f>
        <v>1.3413093410820573E-2</v>
      </c>
    </row>
    <row r="8196" spans="1:4" ht="16.5" hidden="1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313">
        <f>参数调整!$K$38*怪物掉落配置方案!$D5118</f>
        <v>1.7320626821824083E-2</v>
      </c>
    </row>
    <row r="8197" spans="1:4" ht="16.5" hidden="1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313">
        <f>参数调整!$K$38*怪物掉落配置方案!$D5119</f>
        <v>2.4941702623426681E-2</v>
      </c>
    </row>
    <row r="8198" spans="1:4" ht="16.5" hidden="1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313">
        <f>参数调整!$K$38*怪物掉落配置方案!$D5120</f>
        <v>3.3948428570775208E-2</v>
      </c>
    </row>
    <row r="8199" spans="1:4" ht="16.5" hidden="1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313">
        <f>参数调整!$K$38*怪物掉落配置方案!$D5121</f>
        <v>3.7939100990523486E-2</v>
      </c>
    </row>
    <row r="8200" spans="1:4" ht="16.5" hidden="1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313">
        <f>参数调整!$K$38*怪物掉落配置方案!$D5122</f>
        <v>4.4340804663869651E-2</v>
      </c>
    </row>
    <row r="8201" spans="1:4" ht="16.5" hidden="1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313">
        <f>参数调整!$K$38*怪物掉落配置方案!$D5123</f>
        <v>5.1241342389684363E-2</v>
      </c>
    </row>
    <row r="8202" spans="1:4" ht="16.5" hidden="1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313">
        <f>参数调整!$K$38*怪物掉落配置方案!$D5124</f>
        <v>5.8640714167967622E-2</v>
      </c>
    </row>
    <row r="8203" spans="1:4" ht="16.5" hidden="1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313">
        <f>参数调整!$K$38*怪物掉落配置方案!$D5125</f>
        <v>6.6538919998719415E-2</v>
      </c>
    </row>
    <row r="8204" spans="1:4" ht="16.5" hidden="1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313">
        <f>参数调整!$K$38*怪物掉落配置方案!$D5126</f>
        <v>7.4935959881939726E-2</v>
      </c>
    </row>
    <row r="8205" spans="1:4" ht="16.5" hidden="1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313">
        <f>参数调整!$K$38*怪物掉落配置方案!$D5127</f>
        <v>8.3831833817628584E-2</v>
      </c>
    </row>
    <row r="8206" spans="1:4" ht="16.5" hidden="1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313">
        <f>参数调整!$K$38*怪物掉落配置方案!$D5128</f>
        <v>9.3226541805785962E-2</v>
      </c>
    </row>
    <row r="8207" spans="1:4" ht="16.5" hidden="1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313">
        <f>参数调整!$K$38*怪物掉落配置方案!$D5129</f>
        <v>0.10312008384641186</v>
      </c>
    </row>
    <row r="8208" spans="1:4" ht="16.5" hidden="1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313">
        <f>参数调整!$K$38*怪物掉落配置方案!$D5130</f>
        <v>0.11351245993950634</v>
      </c>
    </row>
    <row r="8209" spans="1:4" ht="16.5" hidden="1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313">
        <f>参数调整!$K$38*怪物掉落配置方案!$D5131</f>
        <v>0.12440367008506933</v>
      </c>
    </row>
    <row r="8210" spans="1:4" ht="16.5" hidden="1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313">
        <f>参数调整!$K$38*怪物掉落配置方案!$D5132</f>
        <v>0.13579371428310083</v>
      </c>
    </row>
    <row r="8211" spans="1:4" ht="16.5" hidden="1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313">
        <f>参数调整!$K$39*怪物掉落配置方案!$D4107</f>
        <v>1.5836603892218607E-3</v>
      </c>
    </row>
    <row r="8212" spans="1:4" ht="16.5" hidden="1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313">
        <f>参数调整!$K$39*怪物掉落配置方案!$D4108</f>
        <v>2.0043201801089178E-3</v>
      </c>
    </row>
    <row r="8213" spans="1:4" ht="16.5" hidden="1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313">
        <f>参数调整!$K$39*怪物掉落配置方案!$D4109</f>
        <v>2.4744693581591573E-3</v>
      </c>
    </row>
    <row r="8214" spans="1:4" ht="16.5" hidden="1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313">
        <f>参数调整!$K$39*怪物掉落配置方案!$D4110</f>
        <v>2.9941079233725804E-3</v>
      </c>
    </row>
    <row r="8215" spans="1:4" ht="16.5" hidden="1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313">
        <f>参数调整!$K$39*怪物掉落配置方案!$D4111</f>
        <v>3.5632358757491855E-3</v>
      </c>
    </row>
    <row r="8216" spans="1:4" ht="16.5" hidden="1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313">
        <f>参数调整!$K$39*怪物掉落配置方案!$D4112</f>
        <v>4.1818532152889751E-3</v>
      </c>
    </row>
    <row r="8217" spans="1:4" ht="16.5" hidden="1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313">
        <f>参数调整!$K$39*怪物掉落配置方案!$D4113</f>
        <v>4.8499599419919472E-3</v>
      </c>
    </row>
    <row r="8218" spans="1:4" ht="16.5" hidden="1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313">
        <f>参数调整!$K$39*怪物掉落配置方案!$D4114</f>
        <v>5.5675560558581033E-3</v>
      </c>
    </row>
    <row r="8219" spans="1:4" ht="16.5" hidden="1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313">
        <f>参数调整!$K$39*怪物掉落配置方案!$D4115</f>
        <v>6.3346415568874426E-3</v>
      </c>
    </row>
    <row r="8220" spans="1:4" ht="16.5" hidden="1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313">
        <f>参数调整!$K$39*怪物掉落配置方案!$D4116</f>
        <v>8.0172807204356693E-3</v>
      </c>
    </row>
    <row r="8221" spans="1:4" ht="16.5" hidden="1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313">
        <f>参数调整!$K$39*怪物掉落配置方案!$D4117</f>
        <v>9.8978774326366273E-3</v>
      </c>
    </row>
    <row r="8222" spans="1:4" ht="16.5" hidden="1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313">
        <f>参数调整!$K$39*怪物掉落配置方案!$D4118</f>
        <v>1.1976431693490322E-2</v>
      </c>
    </row>
    <row r="8223" spans="1:4" ht="16.5" hidden="1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313">
        <f>参数调整!$K$39*怪物掉落配置方案!$D4119</f>
        <v>1.546543348849473E-2</v>
      </c>
    </row>
    <row r="8224" spans="1:4" ht="16.5" hidden="1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313">
        <f>参数调整!$K$39*怪物掉落配置方案!$D4120</f>
        <v>2.227022422343241E-2</v>
      </c>
    </row>
    <row r="8225" spans="1:4" ht="16.5" hidden="1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313">
        <f>参数调整!$K$39*怪物掉落配置方案!$D4121</f>
        <v>3.0312249637449669E-2</v>
      </c>
    </row>
    <row r="8226" spans="1:4" ht="16.5" hidden="1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313">
        <f>参数调整!$K$39*怪物掉落配置方案!$D4122</f>
        <v>3.3875485513198862E-2</v>
      </c>
    </row>
    <row r="8227" spans="1:4" ht="16.5" hidden="1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313">
        <f>参数调整!$K$39*怪物掉落配置方案!$D4123</f>
        <v>3.9591509730546509E-2</v>
      </c>
    </row>
    <row r="8228" spans="1:4" ht="16.5" hidden="1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313">
        <f>参数调整!$K$39*怪物掉落配置方案!$D4124</f>
        <v>4.5752938432362805E-2</v>
      </c>
    </row>
    <row r="8229" spans="1:4" ht="16.5" hidden="1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313">
        <f>参数调整!$K$39*怪物掉落配置方案!$D4125</f>
        <v>5.235977161864775E-2</v>
      </c>
    </row>
    <row r="8230" spans="1:4" ht="16.5" hidden="1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313">
        <f>参数调整!$K$39*怪物掉落配置方案!$D4126</f>
        <v>5.9412009289401366E-2</v>
      </c>
    </row>
    <row r="8231" spans="1:4" ht="16.5" hidden="1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313">
        <f>参数调整!$K$39*怪物掉落配置方案!$D4127</f>
        <v>6.6909651444623602E-2</v>
      </c>
    </row>
    <row r="8232" spans="1:4" ht="16.5" hidden="1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313">
        <f>参数调整!$K$39*怪物掉落配置方案!$D4128</f>
        <v>7.4852698084314495E-2</v>
      </c>
    </row>
    <row r="8233" spans="1:4" ht="16.5" hidden="1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313">
        <f>参数调整!$K$39*怪物掉落配置方案!$D4129</f>
        <v>8.324114920847403E-2</v>
      </c>
    </row>
    <row r="8234" spans="1:4" ht="16.5" hidden="1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313">
        <f>参数调整!$K$39*怪物掉落配置方案!$D4130</f>
        <v>9.2075004817102207E-2</v>
      </c>
    </row>
    <row r="8235" spans="1:4" ht="16.5" hidden="1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313">
        <f>参数调整!$K$39*怪物掉落配置方案!$D4131</f>
        <v>0.10135426491019908</v>
      </c>
    </row>
    <row r="8236" spans="1:4" ht="16.5" hidden="1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313">
        <f>参数调整!$K$39*怪物掉落配置方案!$D4132</f>
        <v>0.11107892948776456</v>
      </c>
    </row>
    <row r="8237" spans="1:4" ht="16.5" hidden="1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313">
        <f>参数调整!$K$39*怪物掉落配置方案!$D4133</f>
        <v>0.1212489985497987</v>
      </c>
    </row>
    <row r="8238" spans="1:4" ht="16.5" hidden="1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313">
        <f>参数调整!$K$39*怪物掉落配置方案!$D4134</f>
        <v>2.0754045023650036E-2</v>
      </c>
    </row>
    <row r="8239" spans="1:4" ht="16.5" hidden="1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313">
        <f>参数调整!$K$39*怪物掉落配置方案!$D4135</f>
        <v>2.6266838233057078E-2</v>
      </c>
    </row>
    <row r="8240" spans="1:4" ht="16.5" hidden="1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313">
        <f>参数调整!$K$39*怪物掉落配置方案!$D4136</f>
        <v>3.2428195349453175E-2</v>
      </c>
    </row>
    <row r="8241" spans="1:4" ht="16.5" hidden="1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313">
        <f>参数调整!$K$39*怪物掉落配置方案!$D4137</f>
        <v>3.9238116372838347E-2</v>
      </c>
    </row>
    <row r="8242" spans="1:4" ht="16.5" hidden="1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313">
        <f>参数调整!$K$39*怪物掉落配置方案!$D4138</f>
        <v>4.6696601303212557E-2</v>
      </c>
    </row>
    <row r="8243" spans="1:4" ht="16.5" hidden="1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313">
        <f>参数调整!$K$39*怪物掉落配置方案!$D4139</f>
        <v>5.4803650140575873E-2</v>
      </c>
    </row>
    <row r="8244" spans="1:4" ht="16.5" hidden="1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313">
        <f>参数调整!$K$39*怪物掉落配置方案!$D4140</f>
        <v>6.3559262884928205E-2</v>
      </c>
    </row>
    <row r="8245" spans="1:4" ht="16.5" hidden="1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313">
        <f>参数调整!$K$39*怪物掉落配置方案!$D4141</f>
        <v>7.2963439536269631E-2</v>
      </c>
    </row>
    <row r="8246" spans="1:4" ht="16.5" hidden="1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313">
        <f>参数调整!$K$39*怪物掉落配置方案!$D4142</f>
        <v>8.3016180094600142E-2</v>
      </c>
    </row>
    <row r="8247" spans="1:4" ht="16.5" hidden="1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313">
        <f>参数调整!$K$39*怪物掉落配置方案!$D4143</f>
        <v>0.1050673529322283</v>
      </c>
    </row>
    <row r="8248" spans="1:4" ht="16.5" hidden="1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313">
        <f>参数调整!$K$39*怪物掉落配置方案!$D4144</f>
        <v>0.12971278139781267</v>
      </c>
    </row>
    <row r="8249" spans="1:4" ht="16.5" hidden="1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313">
        <f>参数调整!$K$39*怪物掉落配置方案!$D4145</f>
        <v>0.15695246549135339</v>
      </c>
    </row>
    <row r="8250" spans="1:4" ht="16.5" hidden="1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313">
        <f>参数调整!$K$39*怪物掉落配置方案!$D4146</f>
        <v>0.20267622093408233</v>
      </c>
    </row>
    <row r="8251" spans="1:4" ht="16.5" hidden="1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313">
        <f>参数调整!$K$39*怪物掉落配置方案!$D4147</f>
        <v>0.29185375814507852</v>
      </c>
    </row>
    <row r="8252" spans="1:4" ht="16.5" hidden="1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313">
        <f>参数调整!$K$39*怪物掉落配置方案!$D4148</f>
        <v>0.39724539303080131</v>
      </c>
    </row>
    <row r="8253" spans="1:4" ht="16.5" hidden="1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313">
        <f>参数调整!$K$39*怪物掉落配置方案!$D4149</f>
        <v>0.44394199433401399</v>
      </c>
    </row>
    <row r="8254" spans="1:4" ht="16.5" hidden="1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313">
        <f>参数调整!$K$39*怪物掉落配置方案!$D4150</f>
        <v>0.51885112559125068</v>
      </c>
    </row>
    <row r="8255" spans="1:4" ht="16.5" hidden="1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313">
        <f>参数调整!$K$39*怪物掉落配置方案!$D4151</f>
        <v>0.59959733201138909</v>
      </c>
    </row>
    <row r="8256" spans="1:4" ht="16.5" hidden="1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313">
        <f>参数调整!$K$39*怪物掉落配置方案!$D4152</f>
        <v>0.68618061359442906</v>
      </c>
    </row>
    <row r="8257" spans="1:4" ht="16.5" hidden="1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313">
        <f>参数调整!$K$39*怪物掉落配置方案!$D4153</f>
        <v>0.77860097034037079</v>
      </c>
    </row>
    <row r="8258" spans="1:4" ht="16.5" hidden="1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313">
        <f>参数调整!$K$39*怪物掉落配置方案!$D4154</f>
        <v>0.87685840224921374</v>
      </c>
    </row>
    <row r="8259" spans="1:4" ht="16.5" hidden="1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313">
        <f>参数调整!$K$39*怪物掉落配置方案!$D4155</f>
        <v>0.98095290932095858</v>
      </c>
    </row>
    <row r="8260" spans="1:4" ht="16.5" hidden="1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313">
        <f>参数调整!$K$39*怪物掉落配置方案!$D4156</f>
        <v>1.0908844915556046</v>
      </c>
    </row>
    <row r="8261" spans="1:4" ht="16.5" hidden="1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313">
        <f>参数调整!$K$39*怪物掉落配置方案!$D4157</f>
        <v>1.2066531489531525</v>
      </c>
    </row>
    <row r="8262" spans="1:4" ht="16.5" hidden="1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313">
        <f>参数调整!$K$39*怪物掉落配置方案!$D4158</f>
        <v>1.3282588815136021</v>
      </c>
    </row>
    <row r="8263" spans="1:4" ht="16.5" hidden="1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313">
        <f>参数调整!$K$39*怪物掉落配置方案!$D4159</f>
        <v>1.455701689236953</v>
      </c>
    </row>
    <row r="8264" spans="1:4" ht="16.5" hidden="1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313">
        <f>参数调整!$K$39*怪物掉落配置方案!$D4160</f>
        <v>1.5889815721232055</v>
      </c>
    </row>
    <row r="8265" spans="1:4" ht="16.5" hidden="1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313">
        <f>参数调整!$K$39*怪物掉落配置方案!$D4161</f>
        <v>268</v>
      </c>
    </row>
    <row r="8266" spans="1:4" ht="16.5" hidden="1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313">
        <f>参数调整!$K$39*怪物掉落配置方案!$D4162</f>
        <v>340</v>
      </c>
    </row>
    <row r="8267" spans="1:4" ht="16.5" hidden="1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313">
        <f>参数调整!$K$39*怪物掉落配置方案!$D4163</f>
        <v>420</v>
      </c>
    </row>
    <row r="8268" spans="1:4" ht="16.5" hidden="1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313">
        <f>参数调整!$K$39*怪物掉落配置方案!$D4164</f>
        <v>508</v>
      </c>
    </row>
    <row r="8269" spans="1:4" ht="16.5" hidden="1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313">
        <f>参数调整!$K$39*怪物掉落配置方案!$D4165</f>
        <v>604</v>
      </c>
    </row>
    <row r="8270" spans="1:4" ht="16.5" hidden="1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313">
        <f>参数调整!$K$39*怪物掉落配置方案!$D4166</f>
        <v>708</v>
      </c>
    </row>
    <row r="8271" spans="1:4" ht="16.5" hidden="1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313">
        <f>参数调整!$K$39*怪物掉落配置方案!$D4167</f>
        <v>824</v>
      </c>
    </row>
    <row r="8272" spans="1:4" ht="16.5" hidden="1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313">
        <f>参数调整!$K$39*怪物掉落配置方案!$D4168</f>
        <v>944</v>
      </c>
    </row>
    <row r="8273" spans="1:4" ht="16.5" hidden="1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313">
        <f>参数调整!$K$39*怪物掉落配置方案!$D4169</f>
        <v>1072</v>
      </c>
    </row>
    <row r="8274" spans="1:4" ht="16.5" hidden="1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313">
        <f>参数调整!$K$39*怪物掉落配置方案!$D4170</f>
        <v>1360</v>
      </c>
    </row>
    <row r="8275" spans="1:4" ht="16.5" hidden="1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313">
        <f>参数调整!$K$39*怪物掉落配置方案!$D4171</f>
        <v>1676</v>
      </c>
    </row>
    <row r="8276" spans="1:4" ht="16.5" hidden="1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313">
        <f>参数调整!$K$39*怪物掉落配置方案!$D4172</f>
        <v>2032</v>
      </c>
    </row>
    <row r="8277" spans="1:4" ht="16.5" hidden="1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313">
        <f>参数调整!$K$39*怪物掉落配置方案!$D4173</f>
        <v>2620</v>
      </c>
    </row>
    <row r="8278" spans="1:4" ht="16.5" hidden="1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313">
        <f>参数调整!$K$39*怪物掉落配置方案!$D4174</f>
        <v>3776</v>
      </c>
    </row>
    <row r="8279" spans="1:4" ht="16.5" hidden="1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313">
        <f>参数调整!$K$39*怪物掉落配置方案!$D4175</f>
        <v>5140</v>
      </c>
    </row>
    <row r="8280" spans="1:4" ht="16.5" hidden="1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313">
        <f>参数调整!$K$39*怪物掉落配置方案!$D4176</f>
        <v>5744</v>
      </c>
    </row>
    <row r="8281" spans="1:4" ht="16.5" hidden="1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313">
        <f>参数调整!$K$39*怪物掉落配置方案!$D4177</f>
        <v>6712</v>
      </c>
    </row>
    <row r="8282" spans="1:4" ht="16.5" hidden="1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313">
        <f>参数调整!$K$39*怪物掉落配置方案!$D4178</f>
        <v>7756</v>
      </c>
    </row>
    <row r="8283" spans="1:4" ht="16.5" hidden="1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313">
        <f>参数调整!$K$39*怪物掉落配置方案!$D4179</f>
        <v>8876</v>
      </c>
    </row>
    <row r="8284" spans="1:4" ht="16.5" hidden="1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313">
        <f>参数调整!$K$39*怪物掉落配置方案!$D4180</f>
        <v>10072</v>
      </c>
    </row>
    <row r="8285" spans="1:4" ht="16.5" hidden="1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313">
        <f>参数调整!$K$39*怪物掉落配置方案!$D4181</f>
        <v>11344</v>
      </c>
    </row>
    <row r="8286" spans="1:4" ht="16.5" hidden="1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313">
        <f>参数调整!$K$39*怪物掉落配置方案!$D4182</f>
        <v>12688</v>
      </c>
    </row>
    <row r="8287" spans="1:4" ht="16.5" hidden="1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313">
        <f>参数调整!$K$39*怪物掉落配置方案!$D4183</f>
        <v>14112</v>
      </c>
    </row>
    <row r="8288" spans="1:4" ht="16.5" hidden="1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313">
        <f>参数调整!$K$39*怪物掉落配置方案!$D4184</f>
        <v>15608</v>
      </c>
    </row>
    <row r="8289" spans="1:4" ht="16.5" hidden="1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313">
        <f>参数调整!$K$39*怪物掉落配置方案!$D4185</f>
        <v>17180</v>
      </c>
    </row>
    <row r="8290" spans="1:4" ht="16.5" hidden="1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313">
        <f>参数调整!$K$39*怪物掉落配置方案!$D4186</f>
        <v>18828</v>
      </c>
    </row>
    <row r="8291" spans="1:4" ht="16.5" hidden="1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313">
        <f>参数调整!$K$39*怪物掉落配置方案!$D4187</f>
        <v>20552</v>
      </c>
    </row>
    <row r="8292" spans="1:4" ht="16.5" hidden="1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313">
        <f>参数调整!$K$39*怪物掉落配置方案!$D4188</f>
        <v>3.2492470676928117E-5</v>
      </c>
    </row>
    <row r="8293" spans="1:4" ht="16.5" hidden="1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313">
        <f>参数调整!$K$39*怪物掉落配置方案!$D4189</f>
        <v>4.1123283200487156E-5</v>
      </c>
    </row>
    <row r="8294" spans="1:4" ht="16.5" hidden="1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313">
        <f>参数调整!$K$39*怪物掉落配置方案!$D4190</f>
        <v>5.0769485432700176E-5</v>
      </c>
    </row>
    <row r="8295" spans="1:4" ht="16.5" hidden="1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313">
        <f>参数调整!$K$39*怪物掉落配置方案!$D4191</f>
        <v>6.1431077373567218E-5</v>
      </c>
    </row>
    <row r="8296" spans="1:4" ht="16.5" hidden="1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313">
        <f>参数调整!$K$39*怪物掉落配置方案!$D4192</f>
        <v>7.3108059023088248E-5</v>
      </c>
    </row>
    <row r="8297" spans="1:4" ht="16.5" hidden="1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313">
        <f>参数调整!$K$39*怪物掉落配置方案!$D4193</f>
        <v>8.58004303812633E-5</v>
      </c>
    </row>
    <row r="8298" spans="1:4" ht="16.5" hidden="1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313">
        <f>参数调整!$K$39*怪物掉落配置方案!$D4194</f>
        <v>9.9508191448092334E-5</v>
      </c>
    </row>
    <row r="8299" spans="1:4" ht="16.5" hidden="1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313">
        <f>参数调整!$K$39*怪物掉落配置方案!$D4195</f>
        <v>1.1423134222357539E-4</v>
      </c>
    </row>
    <row r="8300" spans="1:4" ht="16.5" hidden="1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313">
        <f>参数调整!$K$39*怪物掉落配置方案!$D4196</f>
        <v>1.299698827077125E-4</v>
      </c>
    </row>
    <row r="8301" spans="1:4" ht="16.5" hidden="1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313">
        <f>参数调整!$K$39*怪物掉落配置方案!$D4197</f>
        <v>1.6449313280194857E-4</v>
      </c>
    </row>
    <row r="8302" spans="1:4" ht="16.5" hidden="1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313">
        <f>参数调整!$K$39*怪物掉落配置方案!$D4198</f>
        <v>2.0307794173080068E-4</v>
      </c>
    </row>
    <row r="8303" spans="1:4" ht="16.5" hidden="1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313">
        <f>参数调整!$K$39*怪物掉落配置方案!$D4199</f>
        <v>2.4572430949426887E-4</v>
      </c>
    </row>
    <row r="8304" spans="1:4" ht="16.5" hidden="1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313">
        <f>参数调整!$K$39*怪物掉落配置方案!$D4200</f>
        <v>3.1730928395437612E-4</v>
      </c>
    </row>
    <row r="8305" spans="1:4" ht="16.5" hidden="1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313">
        <f>参数调整!$K$39*怪物掉落配置方案!$D4201</f>
        <v>4.5692536889430145E-4</v>
      </c>
    </row>
    <row r="8306" spans="1:4" ht="16.5" hidden="1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313">
        <f>参数调整!$K$39*怪物掉落配置方案!$D4202</f>
        <v>6.2192619655057711E-4</v>
      </c>
    </row>
    <row r="8307" spans="1:4" ht="16.5" hidden="1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313">
        <f>参数调整!$K$39*怪物掉落配置方案!$D4203</f>
        <v>6.950342555736655E-4</v>
      </c>
    </row>
    <row r="8308" spans="1:4" ht="16.5" hidden="1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313">
        <f>参数调整!$K$39*怪物掉落配置方案!$D4204</f>
        <v>8.123117669232027E-4</v>
      </c>
    </row>
    <row r="8309" spans="1:4" ht="16.5" hidden="1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313">
        <f>参数调整!$K$39*怪物掉落配置方案!$D4205</f>
        <v>9.3872778565062603E-4</v>
      </c>
    </row>
    <row r="8310" spans="1:4" ht="16.5" hidden="1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313">
        <f>参数调整!$K$39*怪物掉落配置方案!$D4206</f>
        <v>1.0742823117559357E-3</v>
      </c>
    </row>
    <row r="8311" spans="1:4" ht="16.5" hidden="1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313">
        <f>参数调整!$K$39*怪物掉落配置方案!$D4207</f>
        <v>1.2189753452391315E-3</v>
      </c>
    </row>
    <row r="8312" spans="1:4" ht="16.5" hidden="1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313">
        <f>参数调整!$K$39*怪物掉落配置方案!$D4208</f>
        <v>1.3728068861002128E-3</v>
      </c>
    </row>
    <row r="8313" spans="1:4" ht="16.5" hidden="1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313">
        <f>参数调整!$K$39*怪物掉落配置方案!$D4209</f>
        <v>1.5357769343391804E-3</v>
      </c>
    </row>
    <row r="8314" spans="1:4" ht="16.5" hidden="1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313">
        <f>参数调整!$K$39*怪物掉落配置方案!$D4210</f>
        <v>1.7078854899560336E-3</v>
      </c>
    </row>
    <row r="8315" spans="1:4" ht="16.5" hidden="1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313">
        <f>参数调整!$K$39*怪物掉落配置方案!$D4211</f>
        <v>1.8891325529507732E-3</v>
      </c>
    </row>
    <row r="8316" spans="1:4" ht="16.5" hidden="1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313">
        <f>参数调整!$K$39*怪物掉落配置方案!$D4212</f>
        <v>2.0795181233233995E-3</v>
      </c>
    </row>
    <row r="8317" spans="1:4" ht="16.5" hidden="1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313">
        <f>参数调整!$K$39*怪物掉落配置方案!$D4213</f>
        <v>2.2790422010739108E-3</v>
      </c>
    </row>
    <row r="8318" spans="1:4" ht="16.5" hidden="1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313">
        <f>参数调整!$K$39*怪物掉落配置方案!$D4214</f>
        <v>2.4877047862023089E-3</v>
      </c>
    </row>
    <row r="8319" spans="1:4" ht="16.5" hidden="1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313">
        <f>参数调整!$K$39*怪物掉落配置方案!$D4215</f>
        <v>0</v>
      </c>
    </row>
    <row r="8320" spans="1:4" ht="16.5" hidden="1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313">
        <f>参数调整!$K$39*怪物掉落配置方案!$D4216</f>
        <v>0</v>
      </c>
    </row>
    <row r="8321" spans="1:4" ht="16.5" hidden="1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313">
        <f>参数调整!$K$39*怪物掉落配置方案!$D4217</f>
        <v>0</v>
      </c>
    </row>
    <row r="8322" spans="1:4" ht="16.5" hidden="1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313">
        <f>参数调整!$K$39*怪物掉落配置方案!$D4218</f>
        <v>0</v>
      </c>
    </row>
    <row r="8323" spans="1:4" ht="16.5" hidden="1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313">
        <f>参数调整!$K$39*怪物掉落配置方案!$D4219</f>
        <v>0</v>
      </c>
    </row>
    <row r="8324" spans="1:4" ht="16.5" hidden="1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313">
        <f>参数调整!$K$39*怪物掉落配置方案!$D4220</f>
        <v>0</v>
      </c>
    </row>
    <row r="8325" spans="1:4" ht="16.5" hidden="1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313">
        <f>参数调整!$K$39*怪物掉落配置方案!$D4221</f>
        <v>0</v>
      </c>
    </row>
    <row r="8326" spans="1:4" ht="16.5" hidden="1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313">
        <f>参数调整!$K$39*怪物掉落配置方案!$D4222</f>
        <v>0</v>
      </c>
    </row>
    <row r="8327" spans="1:4" ht="16.5" hidden="1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313">
        <f>参数调整!$K$39*怪物掉落配置方案!$D4223</f>
        <v>0</v>
      </c>
    </row>
    <row r="8328" spans="1:4" ht="16.5" hidden="1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313">
        <f>参数调整!$K$39*怪物掉落配置方案!$D4224</f>
        <v>0</v>
      </c>
    </row>
    <row r="8329" spans="1:4" ht="16.5" hidden="1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313">
        <f>参数调整!$K$39*怪物掉落配置方案!$D4225</f>
        <v>0</v>
      </c>
    </row>
    <row r="8330" spans="1:4" ht="16.5" hidden="1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313">
        <f>参数调整!$K$39*怪物掉落配置方案!$D4226</f>
        <v>0</v>
      </c>
    </row>
    <row r="8331" spans="1:4" ht="16.5" hidden="1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313">
        <f>参数调整!$K$39*怪物掉落配置方案!$D4227</f>
        <v>0</v>
      </c>
    </row>
    <row r="8332" spans="1:4" ht="16.5" hidden="1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313">
        <f>参数调整!$K$39*怪物掉落配置方案!$D4228</f>
        <v>0</v>
      </c>
    </row>
    <row r="8333" spans="1:4" ht="16.5" hidden="1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313">
        <f>参数调整!$K$39*怪物掉落配置方案!$D4229</f>
        <v>0</v>
      </c>
    </row>
    <row r="8334" spans="1:4" ht="16.5" hidden="1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313">
        <f>参数调整!$K$39*怪物掉落配置方案!$D4230</f>
        <v>0</v>
      </c>
    </row>
    <row r="8335" spans="1:4" ht="16.5" hidden="1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313">
        <f>参数调整!$K$39*怪物掉落配置方案!$D4231</f>
        <v>0</v>
      </c>
    </row>
    <row r="8336" spans="1:4" ht="16.5" hidden="1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313">
        <f>参数调整!$K$39*怪物掉落配置方案!$D4232</f>
        <v>0</v>
      </c>
    </row>
    <row r="8337" spans="1:4" ht="16.5" hidden="1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313">
        <f>参数调整!$K$39*怪物掉落配置方案!$D4233</f>
        <v>0</v>
      </c>
    </row>
    <row r="8338" spans="1:4" ht="16.5" hidden="1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313">
        <f>参数调整!$K$39*怪物掉落配置方案!$D4234</f>
        <v>0</v>
      </c>
    </row>
    <row r="8339" spans="1:4" ht="16.5" hidden="1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313">
        <f>参数调整!$K$39*怪物掉落配置方案!$D4235</f>
        <v>0</v>
      </c>
    </row>
    <row r="8340" spans="1:4" ht="16.5" hidden="1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313">
        <f>参数调整!$K$39*怪物掉落配置方案!$D4236</f>
        <v>0</v>
      </c>
    </row>
    <row r="8341" spans="1:4" ht="16.5" hidden="1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313">
        <f>参数调整!$K$39*怪物掉落配置方案!$D4237</f>
        <v>0</v>
      </c>
    </row>
    <row r="8342" spans="1:4" ht="16.5" hidden="1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313">
        <f>参数调整!$K$39*怪物掉落配置方案!$D4238</f>
        <v>0</v>
      </c>
    </row>
    <row r="8343" spans="1:4" ht="16.5" hidden="1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313">
        <f>参数调整!$K$39*怪物掉落配置方案!$D4239</f>
        <v>0</v>
      </c>
    </row>
    <row r="8344" spans="1:4" ht="16.5" hidden="1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313">
        <f>参数调整!$K$39*怪物掉落配置方案!$D4240</f>
        <v>0</v>
      </c>
    </row>
    <row r="8345" spans="1:4" ht="16.5" hidden="1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313">
        <f>参数调整!$K$39*怪物掉落配置方案!$D4241</f>
        <v>0</v>
      </c>
    </row>
    <row r="8346" spans="1:4" ht="16.5" hidden="1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313">
        <f>参数调整!$K$39*怪物掉落配置方案!$D4242</f>
        <v>0</v>
      </c>
    </row>
    <row r="8347" spans="1:4" ht="16.5" hidden="1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313">
        <f>参数调整!$K$39*怪物掉落配置方案!$D4243</f>
        <v>0</v>
      </c>
    </row>
    <row r="8348" spans="1:4" ht="16.5" hidden="1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313">
        <f>参数调整!$K$39*怪物掉落配置方案!$D4244</f>
        <v>0</v>
      </c>
    </row>
    <row r="8349" spans="1:4" ht="16.5" hidden="1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313">
        <f>参数调整!$K$39*怪物掉落配置方案!$D4245</f>
        <v>0</v>
      </c>
    </row>
    <row r="8350" spans="1:4" ht="16.5" hidden="1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313">
        <f>参数调整!$K$39*怪物掉落配置方案!$D4246</f>
        <v>0</v>
      </c>
    </row>
    <row r="8351" spans="1:4" ht="16.5" hidden="1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313">
        <f>参数调整!$K$39*怪物掉落配置方案!$D4247</f>
        <v>0</v>
      </c>
    </row>
    <row r="8352" spans="1:4" ht="16.5" hidden="1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313">
        <f>参数调整!$K$39*怪物掉落配置方案!$D4248</f>
        <v>0</v>
      </c>
    </row>
    <row r="8353" spans="1:4" ht="16.5" hidden="1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313">
        <f>参数调整!$K$39*怪物掉落配置方案!$D4249</f>
        <v>0</v>
      </c>
    </row>
    <row r="8354" spans="1:4" ht="16.5" hidden="1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313">
        <f>参数调整!$K$39*怪物掉落配置方案!$D4250</f>
        <v>0</v>
      </c>
    </row>
    <row r="8355" spans="1:4" ht="16.5" hidden="1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313">
        <f>参数调整!$K$39*怪物掉落配置方案!$D4251</f>
        <v>0</v>
      </c>
    </row>
    <row r="8356" spans="1:4" ht="16.5" hidden="1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313">
        <f>参数调整!$K$39*怪物掉落配置方案!$D4252</f>
        <v>0</v>
      </c>
    </row>
    <row r="8357" spans="1:4" ht="16.5" hidden="1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313">
        <f>参数调整!$K$39*怪物掉落配置方案!$D4253</f>
        <v>0</v>
      </c>
    </row>
    <row r="8358" spans="1:4" ht="16.5" hidden="1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313">
        <f>参数调整!$K$39*怪物掉落配置方案!$D4254</f>
        <v>0</v>
      </c>
    </row>
    <row r="8359" spans="1:4" ht="16.5" hidden="1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313">
        <f>参数调整!$K$39*怪物掉落配置方案!$D4255</f>
        <v>0</v>
      </c>
    </row>
    <row r="8360" spans="1:4" ht="16.5" hidden="1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313">
        <f>参数调整!$K$39*怪物掉落配置方案!$D4256</f>
        <v>0</v>
      </c>
    </row>
    <row r="8361" spans="1:4" ht="16.5" hidden="1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313">
        <f>参数调整!$K$39*怪物掉落配置方案!$D4257</f>
        <v>0</v>
      </c>
    </row>
    <row r="8362" spans="1:4" ht="16.5" hidden="1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313">
        <f>参数调整!$K$39*怪物掉落配置方案!$D4258</f>
        <v>0</v>
      </c>
    </row>
    <row r="8363" spans="1:4" ht="16.5" hidden="1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313">
        <f>参数调整!$K$39*怪物掉落配置方案!$D4259</f>
        <v>0</v>
      </c>
    </row>
    <row r="8364" spans="1:4" ht="16.5" hidden="1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313">
        <f>参数调整!$K$39*怪物掉落配置方案!$D4260</f>
        <v>0</v>
      </c>
    </row>
    <row r="8365" spans="1:4" ht="16.5" hidden="1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313">
        <f>参数调整!$K$39*怪物掉落配置方案!$D4261</f>
        <v>0</v>
      </c>
    </row>
    <row r="8366" spans="1:4" ht="16.5" hidden="1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313">
        <f>参数调整!$K$39*怪物掉落配置方案!$D4262</f>
        <v>0</v>
      </c>
    </row>
    <row r="8367" spans="1:4" ht="16.5" hidden="1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313">
        <f>参数调整!$K$39*怪物掉落配置方案!$D4263</f>
        <v>0</v>
      </c>
    </row>
    <row r="8368" spans="1:4" ht="16.5" hidden="1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313">
        <f>参数调整!$K$39*怪物掉落配置方案!$D4264</f>
        <v>0</v>
      </c>
    </row>
    <row r="8369" spans="1:4" ht="16.5" hidden="1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313">
        <f>参数调整!$K$39*怪物掉落配置方案!$D4265</f>
        <v>0</v>
      </c>
    </row>
    <row r="8370" spans="1:4" ht="16.5" hidden="1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313">
        <f>参数调整!$K$39*怪物掉落配置方案!$D4266</f>
        <v>0</v>
      </c>
    </row>
    <row r="8371" spans="1:4" ht="16.5" hidden="1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313">
        <f>参数调整!$K$39*怪物掉落配置方案!$D4267</f>
        <v>0</v>
      </c>
    </row>
    <row r="8372" spans="1:4" ht="16.5" hidden="1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313">
        <f>参数调整!$K$39*怪物掉落配置方案!$D4268</f>
        <v>0</v>
      </c>
    </row>
    <row r="8373" spans="1:4" ht="16.5" hidden="1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313">
        <f>参数调整!$K$39*怪物掉落配置方案!$D4269</f>
        <v>0</v>
      </c>
    </row>
    <row r="8374" spans="1:4" ht="16.5" hidden="1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313">
        <f>参数调整!$K$39*怪物掉落配置方案!$D4270</f>
        <v>0</v>
      </c>
    </row>
    <row r="8375" spans="1:4" ht="16.5" hidden="1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313">
        <f>参数调整!$K$39*怪物掉落配置方案!$D4271</f>
        <v>0</v>
      </c>
    </row>
    <row r="8376" spans="1:4" ht="16.5" hidden="1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313">
        <f>参数调整!$K$39*怪物掉落配置方案!$D4272</f>
        <v>0</v>
      </c>
    </row>
    <row r="8377" spans="1:4" ht="16.5" hidden="1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313">
        <f>参数调整!$K$39*怪物掉落配置方案!$D4273</f>
        <v>0</v>
      </c>
    </row>
    <row r="8378" spans="1:4" ht="16.5" hidden="1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313">
        <f>参数调整!$K$39*怪物掉落配置方案!$D4274</f>
        <v>0</v>
      </c>
    </row>
    <row r="8379" spans="1:4" ht="16.5" hidden="1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313">
        <f>参数调整!$K$39*怪物掉落配置方案!$D4275</f>
        <v>0</v>
      </c>
    </row>
    <row r="8380" spans="1:4" ht="16.5" hidden="1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313">
        <f>参数调整!$K$39*怪物掉落配置方案!$D4276</f>
        <v>0</v>
      </c>
    </row>
    <row r="8381" spans="1:4" ht="16.5" hidden="1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313">
        <f>参数调整!$K$39*怪物掉落配置方案!$D4277</f>
        <v>0</v>
      </c>
    </row>
    <row r="8382" spans="1:4" ht="16.5" hidden="1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313">
        <f>参数调整!$K$39*怪物掉落配置方案!$D4278</f>
        <v>0</v>
      </c>
    </row>
    <row r="8383" spans="1:4" ht="16.5" hidden="1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313">
        <f>参数调整!$K$39*怪物掉落配置方案!$D4279</f>
        <v>0</v>
      </c>
    </row>
    <row r="8384" spans="1:4" ht="16.5" hidden="1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313">
        <f>参数调整!$K$39*怪物掉落配置方案!$D4280</f>
        <v>0</v>
      </c>
    </row>
    <row r="8385" spans="1:4" ht="16.5" hidden="1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313">
        <f>参数调整!$K$39*怪物掉落配置方案!$D4281</f>
        <v>0</v>
      </c>
    </row>
    <row r="8386" spans="1:4" ht="16.5" hidden="1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313">
        <f>参数调整!$K$39*怪物掉落配置方案!$D4282</f>
        <v>0</v>
      </c>
    </row>
    <row r="8387" spans="1:4" ht="16.5" hidden="1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313">
        <f>参数调整!$K$39*怪物掉落配置方案!$D4283</f>
        <v>0</v>
      </c>
    </row>
    <row r="8388" spans="1:4" ht="16.5" hidden="1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313">
        <f>参数调整!$K$39*怪物掉落配置方案!$D4284</f>
        <v>0</v>
      </c>
    </row>
    <row r="8389" spans="1:4" ht="16.5" hidden="1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313">
        <f>参数调整!$K$39*怪物掉落配置方案!$D4285</f>
        <v>0</v>
      </c>
    </row>
    <row r="8390" spans="1:4" ht="16.5" hidden="1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313">
        <f>参数调整!$K$39*怪物掉落配置方案!$D4286</f>
        <v>0</v>
      </c>
    </row>
    <row r="8391" spans="1:4" ht="16.5" hidden="1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313">
        <f>参数调整!$K$39*怪物掉落配置方案!$D4287</f>
        <v>0</v>
      </c>
    </row>
    <row r="8392" spans="1:4" ht="16.5" hidden="1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313">
        <f>参数调整!$K$39*怪物掉落配置方案!$D4288</f>
        <v>0</v>
      </c>
    </row>
    <row r="8393" spans="1:4" ht="16.5" hidden="1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313">
        <f>参数调整!$K$39*怪物掉落配置方案!$D4289</f>
        <v>0</v>
      </c>
    </row>
    <row r="8394" spans="1:4" ht="16.5" hidden="1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313">
        <f>参数调整!$K$39*怪物掉落配置方案!$D4290</f>
        <v>0</v>
      </c>
    </row>
    <row r="8395" spans="1:4" ht="16.5" hidden="1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313">
        <f>参数调整!$K$39*怪物掉落配置方案!$D4291</f>
        <v>0</v>
      </c>
    </row>
    <row r="8396" spans="1:4" ht="16.5" hidden="1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313">
        <f>参数调整!$K$39*怪物掉落配置方案!$D4292</f>
        <v>0</v>
      </c>
    </row>
    <row r="8397" spans="1:4" ht="16.5" hidden="1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313">
        <f>参数调整!$K$39*怪物掉落配置方案!$D4293</f>
        <v>0</v>
      </c>
    </row>
    <row r="8398" spans="1:4" ht="16.5" hidden="1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313">
        <f>参数调整!$K$39*怪物掉落配置方案!$D4294</f>
        <v>0</v>
      </c>
    </row>
    <row r="8399" spans="1:4" ht="16.5" hidden="1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313">
        <f>参数调整!$K$39*怪物掉落配置方案!$D4295</f>
        <v>0</v>
      </c>
    </row>
    <row r="8400" spans="1:4" ht="16.5" hidden="1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313">
        <f>参数调整!$K$39*怪物掉落配置方案!$D4296</f>
        <v>0</v>
      </c>
    </row>
    <row r="8401" spans="1:4" ht="16.5" hidden="1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313">
        <f>参数调整!$K$39*怪物掉落配置方案!$D4297</f>
        <v>0</v>
      </c>
    </row>
    <row r="8402" spans="1:4" ht="16.5" hidden="1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313">
        <f>参数调整!$K$39*怪物掉落配置方案!$D4298</f>
        <v>0</v>
      </c>
    </row>
    <row r="8403" spans="1:4" ht="16.5" hidden="1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313">
        <f>参数调整!$K$39*怪物掉落配置方案!$D4299</f>
        <v>0</v>
      </c>
    </row>
    <row r="8404" spans="1:4" ht="16.5" hidden="1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313">
        <f>参数调整!$K$39*怪物掉落配置方案!$D4300</f>
        <v>0</v>
      </c>
    </row>
    <row r="8405" spans="1:4" ht="16.5" hidden="1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313">
        <f>参数调整!$K$39*怪物掉落配置方案!$D4301</f>
        <v>0</v>
      </c>
    </row>
    <row r="8406" spans="1:4" ht="16.5" hidden="1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313">
        <f>参数调整!$K$39*怪物掉落配置方案!$D4302</f>
        <v>0</v>
      </c>
    </row>
    <row r="8407" spans="1:4" ht="16.5" hidden="1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313">
        <f>参数调整!$K$39*怪物掉落配置方案!$D4303</f>
        <v>0</v>
      </c>
    </row>
    <row r="8408" spans="1:4" ht="16.5" hidden="1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313">
        <f>参数调整!$K$39*怪物掉落配置方案!$D4304</f>
        <v>0</v>
      </c>
    </row>
    <row r="8409" spans="1:4" ht="16.5" hidden="1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313">
        <f>参数调整!$K$39*怪物掉落配置方案!$D4305</f>
        <v>0</v>
      </c>
    </row>
    <row r="8410" spans="1:4" ht="16.5" hidden="1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313">
        <f>参数调整!$K$39*怪物掉落配置方案!$D4306</f>
        <v>0</v>
      </c>
    </row>
    <row r="8411" spans="1:4" ht="16.5" hidden="1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313">
        <f>参数调整!$K$39*怪物掉落配置方案!$D4307</f>
        <v>0</v>
      </c>
    </row>
    <row r="8412" spans="1:4" ht="16.5" hidden="1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313">
        <f>参数调整!$K$39*怪物掉落配置方案!$D4308</f>
        <v>0</v>
      </c>
    </row>
    <row r="8413" spans="1:4" ht="16.5" hidden="1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313">
        <f>参数调整!$K$39*怪物掉落配置方案!$D4309</f>
        <v>0</v>
      </c>
    </row>
    <row r="8414" spans="1:4" ht="16.5" hidden="1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313">
        <f>参数调整!$K$39*怪物掉落配置方案!$D4310</f>
        <v>0</v>
      </c>
    </row>
    <row r="8415" spans="1:4" ht="16.5" hidden="1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313">
        <f>参数调整!$K$39*怪物掉落配置方案!$D4311</f>
        <v>0</v>
      </c>
    </row>
    <row r="8416" spans="1:4" ht="16.5" hidden="1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313">
        <f>参数调整!$K$39*怪物掉落配置方案!$D4312</f>
        <v>0</v>
      </c>
    </row>
    <row r="8417" spans="1:4" ht="16.5" hidden="1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313">
        <f>参数调整!$K$39*怪物掉落配置方案!$D4313</f>
        <v>0</v>
      </c>
    </row>
    <row r="8418" spans="1:4" ht="16.5" hidden="1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313">
        <f>参数调整!$K$39*怪物掉落配置方案!$D4314</f>
        <v>0</v>
      </c>
    </row>
    <row r="8419" spans="1:4" ht="16.5" hidden="1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313">
        <f>参数调整!$K$39*怪物掉落配置方案!$D4315</f>
        <v>0</v>
      </c>
    </row>
    <row r="8420" spans="1:4" ht="16.5" hidden="1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313">
        <f>参数调整!$K$39*怪物掉落配置方案!$D4316</f>
        <v>0</v>
      </c>
    </row>
    <row r="8421" spans="1:4" ht="16.5" hidden="1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313">
        <f>参数调整!$K$39*怪物掉落配置方案!$D4317</f>
        <v>0</v>
      </c>
    </row>
    <row r="8422" spans="1:4" ht="16.5" hidden="1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313">
        <f>参数调整!$K$39*怪物掉落配置方案!$D4318</f>
        <v>0</v>
      </c>
    </row>
    <row r="8423" spans="1:4" ht="16.5" hidden="1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313">
        <f>参数调整!$K$39*怪物掉落配置方案!$D4319</f>
        <v>0</v>
      </c>
    </row>
    <row r="8424" spans="1:4" ht="16.5" hidden="1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313">
        <f>参数调整!$K$39*怪物掉落配置方案!$D4320</f>
        <v>0</v>
      </c>
    </row>
    <row r="8425" spans="1:4" ht="16.5" hidden="1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313">
        <f>参数调整!$K$39*怪物掉落配置方案!$D4321</f>
        <v>0</v>
      </c>
    </row>
    <row r="8426" spans="1:4" ht="16.5" hidden="1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313">
        <f>参数调整!$K$39*怪物掉落配置方案!$D4322</f>
        <v>0</v>
      </c>
    </row>
    <row r="8427" spans="1:4" ht="16.5" hidden="1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313">
        <f>参数调整!$K$39*怪物掉落配置方案!$D4323</f>
        <v>0</v>
      </c>
    </row>
    <row r="8428" spans="1:4" ht="16.5" hidden="1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313">
        <f>参数调整!$K$39*怪物掉落配置方案!$D4324</f>
        <v>0</v>
      </c>
    </row>
    <row r="8429" spans="1:4" ht="16.5" hidden="1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313">
        <f>参数调整!$K$39*怪物掉落配置方案!$D4325</f>
        <v>0</v>
      </c>
    </row>
    <row r="8430" spans="1:4" ht="16.5" hidden="1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313">
        <f>参数调整!$K$39*怪物掉落配置方案!$D4326</f>
        <v>0</v>
      </c>
    </row>
    <row r="8431" spans="1:4" ht="16.5" hidden="1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313">
        <f>参数调整!$K$39*怪物掉落配置方案!$D4327</f>
        <v>0</v>
      </c>
    </row>
    <row r="8432" spans="1:4" ht="16.5" hidden="1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313">
        <f>参数调整!$K$39*怪物掉落配置方案!$D4328</f>
        <v>0</v>
      </c>
    </row>
    <row r="8433" spans="1:4" ht="16.5" hidden="1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313">
        <f>参数调整!$K$39*怪物掉落配置方案!$D4329</f>
        <v>0</v>
      </c>
    </row>
    <row r="8434" spans="1:4" ht="16.5" hidden="1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313">
        <f>参数调整!$K$39*怪物掉落配置方案!$D4330</f>
        <v>0</v>
      </c>
    </row>
    <row r="8435" spans="1:4" ht="16.5" hidden="1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313">
        <f>参数调整!$K$39*怪物掉落配置方案!$D4331</f>
        <v>0</v>
      </c>
    </row>
    <row r="8436" spans="1:4" ht="16.5" hidden="1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313">
        <f>参数调整!$K$39*怪物掉落配置方案!$D4332</f>
        <v>0</v>
      </c>
    </row>
    <row r="8437" spans="1:4" ht="16.5" hidden="1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313">
        <f>参数调整!$K$39*怪物掉落配置方案!$D4333</f>
        <v>0</v>
      </c>
    </row>
    <row r="8438" spans="1:4" ht="16.5" hidden="1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313">
        <f>参数调整!$K$39*怪物掉落配置方案!$D4334</f>
        <v>0</v>
      </c>
    </row>
    <row r="8439" spans="1:4" ht="16.5" hidden="1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313">
        <f>参数调整!$K$39*怪物掉落配置方案!$D4335</f>
        <v>0</v>
      </c>
    </row>
    <row r="8440" spans="1:4" ht="16.5" hidden="1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313">
        <f>参数调整!$K$39*怪物掉落配置方案!$D4336</f>
        <v>0</v>
      </c>
    </row>
    <row r="8441" spans="1:4" ht="16.5" hidden="1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313">
        <f>参数调整!$K$39*怪物掉落配置方案!$D4337</f>
        <v>0</v>
      </c>
    </row>
    <row r="8442" spans="1:4" ht="16.5" hidden="1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313">
        <f>参数调整!$K$39*怪物掉落配置方案!$D4338</f>
        <v>0</v>
      </c>
    </row>
    <row r="8443" spans="1:4" ht="16.5" hidden="1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313">
        <f>参数调整!$K$39*怪物掉落配置方案!$D4339</f>
        <v>0</v>
      </c>
    </row>
    <row r="8444" spans="1:4" ht="16.5" hidden="1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313">
        <f>参数调整!$K$39*怪物掉落配置方案!$D4340</f>
        <v>0</v>
      </c>
    </row>
    <row r="8445" spans="1:4" ht="16.5" hidden="1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313">
        <f>参数调整!$K$39*怪物掉落配置方案!$D4341</f>
        <v>0</v>
      </c>
    </row>
    <row r="8446" spans="1:4" ht="16.5" hidden="1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313">
        <f>参数调整!$K$39*怪物掉落配置方案!$D4342</f>
        <v>0</v>
      </c>
    </row>
    <row r="8447" spans="1:4" ht="16.5" hidden="1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313">
        <f>参数调整!$K$39*怪物掉落配置方案!$D4343</f>
        <v>0</v>
      </c>
    </row>
    <row r="8448" spans="1:4" ht="16.5" hidden="1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313">
        <f>参数调整!$K$39*怪物掉落配置方案!$D4344</f>
        <v>0</v>
      </c>
    </row>
    <row r="8449" spans="1:4" ht="16.5" hidden="1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313">
        <f>参数调整!$K$39*怪物掉落配置方案!$D4345</f>
        <v>0</v>
      </c>
    </row>
    <row r="8450" spans="1:4" ht="16.5" hidden="1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313">
        <f>参数调整!$K$39*怪物掉落配置方案!$D4346</f>
        <v>0</v>
      </c>
    </row>
    <row r="8451" spans="1:4" ht="16.5" hidden="1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313">
        <f>参数调整!$K$39*怪物掉落配置方案!$D4347</f>
        <v>0</v>
      </c>
    </row>
    <row r="8452" spans="1:4" ht="16.5" hidden="1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313">
        <f>参数调整!$K$39*怪物掉落配置方案!$D4348</f>
        <v>0</v>
      </c>
    </row>
    <row r="8453" spans="1:4" ht="16.5" hidden="1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313">
        <f>参数调整!$K$39*怪物掉落配置方案!$D4349</f>
        <v>0</v>
      </c>
    </row>
    <row r="8454" spans="1:4" ht="16.5" hidden="1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313">
        <f>参数调整!$K$39*怪物掉落配置方案!$D4350</f>
        <v>0</v>
      </c>
    </row>
    <row r="8455" spans="1:4" ht="16.5" hidden="1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313">
        <f>参数调整!$K$39*怪物掉落配置方案!$D4351</f>
        <v>0</v>
      </c>
    </row>
    <row r="8456" spans="1:4" ht="16.5" hidden="1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313">
        <f>参数调整!$K$39*怪物掉落配置方案!$D4352</f>
        <v>0</v>
      </c>
    </row>
    <row r="8457" spans="1:4" ht="16.5" hidden="1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313">
        <f>参数调整!$K$39*怪物掉落配置方案!$D4353</f>
        <v>0</v>
      </c>
    </row>
    <row r="8458" spans="1:4" ht="16.5" hidden="1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313">
        <f>参数调整!$K$39*怪物掉落配置方案!$D4354</f>
        <v>0</v>
      </c>
    </row>
    <row r="8459" spans="1:4" ht="16.5" hidden="1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313">
        <f>参数调整!$K$39*怪物掉落配置方案!$D4355</f>
        <v>0</v>
      </c>
    </row>
    <row r="8460" spans="1:4" ht="16.5" hidden="1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313">
        <f>参数调整!$K$39*怪物掉落配置方案!$D4356</f>
        <v>0</v>
      </c>
    </row>
    <row r="8461" spans="1:4" ht="16.5" hidden="1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313">
        <f>参数调整!$K$39*怪物掉落配置方案!$D4357</f>
        <v>0</v>
      </c>
    </row>
    <row r="8462" spans="1:4" ht="16.5" hidden="1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313">
        <f>参数调整!$K$39*怪物掉落配置方案!$D4358</f>
        <v>0</v>
      </c>
    </row>
    <row r="8463" spans="1:4" ht="16.5" hidden="1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313">
        <f>参数调整!$K$39*怪物掉落配置方案!$D4359</f>
        <v>0</v>
      </c>
    </row>
    <row r="8464" spans="1:4" ht="16.5" hidden="1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313">
        <f>参数调整!$K$39*怪物掉落配置方案!$D4360</f>
        <v>0</v>
      </c>
    </row>
    <row r="8465" spans="1:4" ht="16.5" hidden="1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313">
        <f>参数调整!$K$39*怪物掉落配置方案!$D4361</f>
        <v>0</v>
      </c>
    </row>
    <row r="8466" spans="1:4" ht="16.5" hidden="1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313">
        <f>参数调整!$K$39*怪物掉落配置方案!$D4362</f>
        <v>0</v>
      </c>
    </row>
    <row r="8467" spans="1:4" ht="16.5" hidden="1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313">
        <f>参数调整!$K$39*怪物掉落配置方案!$D4363</f>
        <v>0</v>
      </c>
    </row>
    <row r="8468" spans="1:4" ht="16.5" hidden="1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313">
        <f>参数调整!$K$39*怪物掉落配置方案!$D4364</f>
        <v>0</v>
      </c>
    </row>
    <row r="8469" spans="1:4" ht="16.5" hidden="1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313">
        <f>参数调整!$K$39*怪物掉落配置方案!$D4365</f>
        <v>0</v>
      </c>
    </row>
    <row r="8470" spans="1:4" ht="16.5" hidden="1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313">
        <f>参数调整!$K$39*怪物掉落配置方案!$D4366</f>
        <v>0</v>
      </c>
    </row>
    <row r="8471" spans="1:4" ht="16.5" hidden="1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313">
        <f>参数调整!$K$39*怪物掉落配置方案!$D4367</f>
        <v>0</v>
      </c>
    </row>
    <row r="8472" spans="1:4" ht="16.5" hidden="1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313">
        <f>参数调整!$K$39*怪物掉落配置方案!$D4368</f>
        <v>0</v>
      </c>
    </row>
    <row r="8473" spans="1:4" ht="16.5" hidden="1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313">
        <f>参数调整!$K$39*怪物掉落配置方案!$D4369</f>
        <v>0</v>
      </c>
    </row>
    <row r="8474" spans="1:4" ht="16.5" hidden="1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313">
        <f>参数调整!$K$39*怪物掉落配置方案!$D4370</f>
        <v>0</v>
      </c>
    </row>
    <row r="8475" spans="1:4" ht="16.5" hidden="1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313">
        <f>参数调整!$K$39*怪物掉落配置方案!$D4371</f>
        <v>0</v>
      </c>
    </row>
    <row r="8476" spans="1:4" ht="16.5" hidden="1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313">
        <f>参数调整!$K$39*怪物掉落配置方案!$D4372</f>
        <v>0</v>
      </c>
    </row>
    <row r="8477" spans="1:4" ht="16.5" hidden="1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313">
        <f>参数调整!$K$39*怪物掉落配置方案!$D4373</f>
        <v>0</v>
      </c>
    </row>
    <row r="8478" spans="1:4" ht="16.5" hidden="1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313">
        <f>参数调整!$K$39*怪物掉落配置方案!$D4374</f>
        <v>0</v>
      </c>
    </row>
    <row r="8479" spans="1:4" ht="16.5" hidden="1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313">
        <f>参数调整!$K$39*怪物掉落配置方案!$D4375</f>
        <v>0</v>
      </c>
    </row>
    <row r="8480" spans="1:4" ht="16.5" hidden="1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313">
        <f>参数调整!$K$39*怪物掉落配置方案!$D4376</f>
        <v>0</v>
      </c>
    </row>
    <row r="8481" spans="1:4" ht="16.5" hidden="1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313">
        <f>参数调整!$K$39*怪物掉落配置方案!$D4377</f>
        <v>0</v>
      </c>
    </row>
    <row r="8482" spans="1:4" ht="16.5" hidden="1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313">
        <f>参数调整!$K$39*怪物掉落配置方案!$D4378</f>
        <v>0</v>
      </c>
    </row>
    <row r="8483" spans="1:4" ht="16.5" hidden="1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313">
        <f>参数调整!$K$39*怪物掉落配置方案!$D4379</f>
        <v>0</v>
      </c>
    </row>
    <row r="8484" spans="1:4" ht="16.5" hidden="1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313">
        <f>参数调整!$K$39*怪物掉落配置方案!$D4380</f>
        <v>0</v>
      </c>
    </row>
    <row r="8485" spans="1:4" ht="16.5" hidden="1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313">
        <f>参数调整!$K$39*怪物掉落配置方案!$D4381</f>
        <v>0</v>
      </c>
    </row>
    <row r="8486" spans="1:4" ht="16.5" hidden="1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313">
        <f>参数调整!$K$39*怪物掉落配置方案!$D4382</f>
        <v>0</v>
      </c>
    </row>
    <row r="8487" spans="1:4" ht="16.5" hidden="1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313">
        <f>参数调整!$K$39*怪物掉落配置方案!$D4383</f>
        <v>0</v>
      </c>
    </row>
    <row r="8488" spans="1:4" ht="16.5" hidden="1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313">
        <f>参数调整!$K$39*怪物掉落配置方案!$D4384</f>
        <v>0</v>
      </c>
    </row>
    <row r="8489" spans="1:4" ht="16.5" hidden="1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313">
        <f>参数调整!$K$39*怪物掉落配置方案!$D4385</f>
        <v>0</v>
      </c>
    </row>
    <row r="8490" spans="1:4" ht="16.5" hidden="1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313">
        <f>参数调整!$K$39*怪物掉落配置方案!$D4386</f>
        <v>0</v>
      </c>
    </row>
    <row r="8491" spans="1:4" ht="16.5" hidden="1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313">
        <f>参数调整!$K$39*怪物掉落配置方案!$D4387</f>
        <v>0</v>
      </c>
    </row>
    <row r="8492" spans="1:4" ht="16.5" hidden="1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313">
        <f>参数调整!$K$39*怪物掉落配置方案!$D4388</f>
        <v>0</v>
      </c>
    </row>
    <row r="8493" spans="1:4" ht="16.5" hidden="1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313">
        <f>参数调整!$K$39*怪物掉落配置方案!$D4389</f>
        <v>0</v>
      </c>
    </row>
    <row r="8494" spans="1:4" ht="16.5" hidden="1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313">
        <f>参数调整!$K$39*怪物掉落配置方案!$D4390</f>
        <v>0</v>
      </c>
    </row>
    <row r="8495" spans="1:4" ht="16.5" hidden="1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313">
        <f>参数调整!$K$39*怪物掉落配置方案!$D4391</f>
        <v>0</v>
      </c>
    </row>
    <row r="8496" spans="1:4" ht="16.5" hidden="1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313">
        <f>参数调整!$K$39*怪物掉落配置方案!$D4392</f>
        <v>0</v>
      </c>
    </row>
    <row r="8497" spans="1:4" ht="16.5" hidden="1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313">
        <f>参数调整!$K$39*怪物掉落配置方案!$D4393</f>
        <v>0</v>
      </c>
    </row>
    <row r="8498" spans="1:4" ht="16.5" hidden="1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313">
        <f>参数调整!$K$39*怪物掉落配置方案!$D4394</f>
        <v>0</v>
      </c>
    </row>
    <row r="8499" spans="1:4" ht="16.5" hidden="1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313">
        <f>参数调整!$K$39*怪物掉落配置方案!$D4395</f>
        <v>0</v>
      </c>
    </row>
    <row r="8500" spans="1:4" ht="16.5" hidden="1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313">
        <f>参数调整!$K$39*怪物掉落配置方案!$D4396</f>
        <v>0</v>
      </c>
    </row>
    <row r="8501" spans="1:4" ht="16.5" hidden="1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313">
        <f>参数调整!$K$39*怪物掉落配置方案!$D4397</f>
        <v>0</v>
      </c>
    </row>
    <row r="8502" spans="1:4" ht="16.5" hidden="1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313">
        <f>参数调整!$K$39*怪物掉落配置方案!$D4398</f>
        <v>0</v>
      </c>
    </row>
    <row r="8503" spans="1:4" ht="16.5" hidden="1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313">
        <f>参数调整!$K$39*怪物掉落配置方案!$D4399</f>
        <v>0</v>
      </c>
    </row>
    <row r="8504" spans="1:4" ht="16.5" hidden="1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313">
        <f>参数调整!$K$39*怪物掉落配置方案!$D4400</f>
        <v>0</v>
      </c>
    </row>
    <row r="8505" spans="1:4" ht="16.5" hidden="1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313">
        <f>参数调整!$K$39*怪物掉落配置方案!$D4401</f>
        <v>0</v>
      </c>
    </row>
    <row r="8506" spans="1:4" ht="16.5" hidden="1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313">
        <f>参数调整!$K$39*怪物掉落配置方案!$D4402</f>
        <v>0</v>
      </c>
    </row>
    <row r="8507" spans="1:4" ht="16.5" hidden="1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313">
        <f>参数调整!$K$39*怪物掉落配置方案!$D4403</f>
        <v>0</v>
      </c>
    </row>
    <row r="8508" spans="1:4" ht="16.5" hidden="1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313">
        <f>参数调整!$K$39*怪物掉落配置方案!$D4404</f>
        <v>0</v>
      </c>
    </row>
    <row r="8509" spans="1:4" ht="16.5" hidden="1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313">
        <f>参数调整!$K$39*怪物掉落配置方案!$D4405</f>
        <v>0</v>
      </c>
    </row>
    <row r="8510" spans="1:4" ht="16.5" hidden="1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313">
        <f>参数调整!$K$39*怪物掉落配置方案!$D4406</f>
        <v>0</v>
      </c>
    </row>
    <row r="8511" spans="1:4" ht="16.5" hidden="1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313">
        <f>参数调整!$K$39*怪物掉落配置方案!$D4407</f>
        <v>0</v>
      </c>
    </row>
    <row r="8512" spans="1:4" ht="16.5" hidden="1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313">
        <f>参数调整!$K$39*怪物掉落配置方案!$D4408</f>
        <v>0</v>
      </c>
    </row>
    <row r="8513" spans="1:4" ht="16.5" hidden="1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313">
        <f>参数调整!$K$39*怪物掉落配置方案!$D4409</f>
        <v>0</v>
      </c>
    </row>
    <row r="8514" spans="1:4" ht="16.5" hidden="1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313">
        <f>参数调整!$K$39*怪物掉落配置方案!$D4410</f>
        <v>0</v>
      </c>
    </row>
    <row r="8515" spans="1:4" ht="16.5" hidden="1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313">
        <f>参数调整!$K$39*怪物掉落配置方案!$D4411</f>
        <v>0</v>
      </c>
    </row>
    <row r="8516" spans="1:4" ht="16.5" hidden="1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313">
        <f>参数调整!$K$39*怪物掉落配置方案!$D4412</f>
        <v>0</v>
      </c>
    </row>
    <row r="8517" spans="1:4" ht="16.5" hidden="1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313">
        <f>参数调整!$K$39*怪物掉落配置方案!$D4413</f>
        <v>0</v>
      </c>
    </row>
    <row r="8518" spans="1:4" ht="16.5" hidden="1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313">
        <f>参数调整!$K$39*怪物掉落配置方案!$D4414</f>
        <v>0</v>
      </c>
    </row>
    <row r="8519" spans="1:4" ht="16.5" hidden="1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313">
        <f>参数调整!$K$39*怪物掉落配置方案!$D4415</f>
        <v>0</v>
      </c>
    </row>
    <row r="8520" spans="1:4" ht="16.5" hidden="1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313">
        <f>参数调整!$K$39*怪物掉落配置方案!$D4416</f>
        <v>0</v>
      </c>
    </row>
    <row r="8521" spans="1:4" ht="16.5" hidden="1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313">
        <f>参数调整!$K$39*怪物掉落配置方案!$D4417</f>
        <v>0</v>
      </c>
    </row>
    <row r="8522" spans="1:4" ht="16.5" hidden="1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313">
        <f>参数调整!$K$39*怪物掉落配置方案!$D4418</f>
        <v>0</v>
      </c>
    </row>
    <row r="8523" spans="1:4" ht="16.5" hidden="1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313">
        <f>参数调整!$K$39*怪物掉落配置方案!$D4419</f>
        <v>0</v>
      </c>
    </row>
    <row r="8524" spans="1:4" ht="16.5" hidden="1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313">
        <f>参数调整!$K$39*怪物掉落配置方案!$D4420</f>
        <v>0</v>
      </c>
    </row>
    <row r="8525" spans="1:4" ht="16.5" hidden="1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313">
        <f>参数调整!$K$39*怪物掉落配置方案!$D4421</f>
        <v>0</v>
      </c>
    </row>
    <row r="8526" spans="1:4" ht="16.5" hidden="1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313">
        <f>参数调整!$K$39*怪物掉落配置方案!$D4422</f>
        <v>0</v>
      </c>
    </row>
    <row r="8527" spans="1:4" ht="16.5" hidden="1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313">
        <f>参数调整!$K$39*怪物掉落配置方案!$D4423</f>
        <v>0</v>
      </c>
    </row>
    <row r="8528" spans="1:4" ht="16.5" hidden="1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313">
        <f>参数调整!$K$39*怪物掉落配置方案!$D4424</f>
        <v>0</v>
      </c>
    </row>
    <row r="8529" spans="1:4" ht="16.5" hidden="1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313">
        <f>参数调整!$K$39*怪物掉落配置方案!$D4425</f>
        <v>0</v>
      </c>
    </row>
    <row r="8530" spans="1:4" ht="16.5" hidden="1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313">
        <f>参数调整!$K$39*怪物掉落配置方案!$D4426</f>
        <v>0</v>
      </c>
    </row>
    <row r="8531" spans="1:4" ht="16.5" hidden="1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313">
        <f>参数调整!$K$39*怪物掉落配置方案!$D4427</f>
        <v>0</v>
      </c>
    </row>
    <row r="8532" spans="1:4" ht="16.5" hidden="1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313">
        <f>参数调整!$K$39*怪物掉落配置方案!$D4428</f>
        <v>0</v>
      </c>
    </row>
    <row r="8533" spans="1:4" ht="16.5" hidden="1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313">
        <f>参数调整!$K$39*怪物掉落配置方案!$D4429</f>
        <v>0</v>
      </c>
    </row>
    <row r="8534" spans="1:4" ht="16.5" hidden="1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313">
        <f>参数调整!$K$39*怪物掉落配置方案!$D4430</f>
        <v>0</v>
      </c>
    </row>
    <row r="8535" spans="1:4" ht="16.5" hidden="1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313">
        <f>参数调整!$K$39*怪物掉落配置方案!$D4431</f>
        <v>0</v>
      </c>
    </row>
    <row r="8536" spans="1:4" ht="16.5" hidden="1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313">
        <f>参数调整!$K$39*怪物掉落配置方案!$D4432</f>
        <v>0</v>
      </c>
    </row>
    <row r="8537" spans="1:4" ht="16.5" hidden="1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313">
        <f>参数调整!$K$39*怪物掉落配置方案!$D4433</f>
        <v>0</v>
      </c>
    </row>
    <row r="8538" spans="1:4" ht="16.5" hidden="1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313">
        <f>参数调整!$K$39*怪物掉落配置方案!$D4434</f>
        <v>0</v>
      </c>
    </row>
    <row r="8539" spans="1:4" ht="16.5" hidden="1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313">
        <f>参数调整!$K$39*怪物掉落配置方案!$D4435</f>
        <v>0</v>
      </c>
    </row>
    <row r="8540" spans="1:4" ht="16.5" hidden="1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313">
        <f>参数调整!$K$39*怪物掉落配置方案!$D4436</f>
        <v>0</v>
      </c>
    </row>
    <row r="8541" spans="1:4" ht="16.5" hidden="1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313">
        <f>参数调整!$K$39*怪物掉落配置方案!$D4437</f>
        <v>0</v>
      </c>
    </row>
    <row r="8542" spans="1:4" ht="16.5" hidden="1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313">
        <f>参数调整!$K$39*怪物掉落配置方案!$D4438</f>
        <v>0</v>
      </c>
    </row>
    <row r="8543" spans="1:4" ht="16.5" hidden="1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313">
        <f>参数调整!$K$39*怪物掉落配置方案!$D4439</f>
        <v>0</v>
      </c>
    </row>
    <row r="8544" spans="1:4" ht="16.5" hidden="1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313">
        <f>参数调整!$K$39*怪物掉落配置方案!$D4440</f>
        <v>0</v>
      </c>
    </row>
    <row r="8545" spans="1:4" ht="16.5" hidden="1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313">
        <f>参数调整!$K$39*怪物掉落配置方案!$D4441</f>
        <v>0</v>
      </c>
    </row>
    <row r="8546" spans="1:4" ht="16.5" hidden="1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313">
        <f>参数调整!$K$39*怪物掉落配置方案!$D4442</f>
        <v>0</v>
      </c>
    </row>
    <row r="8547" spans="1:4" ht="16.5" hidden="1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313">
        <f>参数调整!$K$39*怪物掉落配置方案!$D4443</f>
        <v>0</v>
      </c>
    </row>
    <row r="8548" spans="1:4" ht="16.5" hidden="1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313">
        <f>参数调整!$K$39*怪物掉落配置方案!$D4444</f>
        <v>0</v>
      </c>
    </row>
    <row r="8549" spans="1:4" ht="16.5" hidden="1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313">
        <f>参数调整!$K$39*怪物掉落配置方案!$D4445</f>
        <v>0</v>
      </c>
    </row>
    <row r="8550" spans="1:4" ht="16.5" hidden="1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313">
        <f>参数调整!$K$39*怪物掉落配置方案!$D4446</f>
        <v>0</v>
      </c>
    </row>
    <row r="8551" spans="1:4" ht="16.5" hidden="1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313">
        <f>参数调整!$K$39*怪物掉落配置方案!$D4447</f>
        <v>0</v>
      </c>
    </row>
    <row r="8552" spans="1:4" ht="16.5" hidden="1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313">
        <f>参数调整!$K$39*怪物掉落配置方案!$D4448</f>
        <v>0</v>
      </c>
    </row>
    <row r="8553" spans="1:4" ht="16.5" hidden="1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313">
        <f>参数调整!$K$39*怪物掉落配置方案!$D4449</f>
        <v>0</v>
      </c>
    </row>
    <row r="8554" spans="1:4" ht="16.5" hidden="1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313">
        <f>参数调整!$K$39*怪物掉落配置方案!$D4450</f>
        <v>0</v>
      </c>
    </row>
    <row r="8555" spans="1:4" ht="16.5" hidden="1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313">
        <f>参数调整!$K$39*怪物掉落配置方案!$D4451</f>
        <v>0</v>
      </c>
    </row>
    <row r="8556" spans="1:4" ht="16.5" hidden="1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313">
        <f>参数调整!$K$39*怪物掉落配置方案!$D4452</f>
        <v>0</v>
      </c>
    </row>
    <row r="8557" spans="1:4" ht="16.5" hidden="1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313">
        <f>参数调整!$K$39*怪物掉落配置方案!$D4453</f>
        <v>0</v>
      </c>
    </row>
    <row r="8558" spans="1:4" ht="16.5" hidden="1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313">
        <f>参数调整!$K$39*怪物掉落配置方案!$D4454</f>
        <v>0</v>
      </c>
    </row>
    <row r="8559" spans="1:4" ht="16.5" hidden="1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313">
        <f>参数调整!$K$39*怪物掉落配置方案!$D4455</f>
        <v>0</v>
      </c>
    </row>
    <row r="8560" spans="1:4" ht="16.5" hidden="1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313">
        <f>参数调整!$K$39*怪物掉落配置方案!$D4456</f>
        <v>0</v>
      </c>
    </row>
    <row r="8561" spans="1:4" ht="16.5" hidden="1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313">
        <f>参数调整!$K$39*怪物掉落配置方案!$D4457</f>
        <v>0</v>
      </c>
    </row>
    <row r="8562" spans="1:4" ht="16.5" hidden="1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313">
        <f>参数调整!$K$39*怪物掉落配置方案!$D4458</f>
        <v>0</v>
      </c>
    </row>
    <row r="8563" spans="1:4" ht="16.5" hidden="1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313">
        <f>参数调整!$K$39*怪物掉落配置方案!$D4459</f>
        <v>0</v>
      </c>
    </row>
    <row r="8564" spans="1:4" ht="16.5" hidden="1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313">
        <f>参数调整!$K$39*怪物掉落配置方案!$D4460</f>
        <v>0</v>
      </c>
    </row>
    <row r="8565" spans="1:4" ht="16.5" hidden="1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313">
        <f>参数调整!$K$39*怪物掉落配置方案!$D4461</f>
        <v>0</v>
      </c>
    </row>
    <row r="8566" spans="1:4" ht="16.5" hidden="1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313">
        <f>参数调整!$K$39*怪物掉落配置方案!$D4462</f>
        <v>0</v>
      </c>
    </row>
    <row r="8567" spans="1:4" ht="16.5" hidden="1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313">
        <f>参数调整!$K$39*怪物掉落配置方案!$D4463</f>
        <v>0</v>
      </c>
    </row>
    <row r="8568" spans="1:4" ht="16.5" hidden="1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313">
        <f>参数调整!$K$39*怪物掉落配置方案!$D4464</f>
        <v>0</v>
      </c>
    </row>
    <row r="8569" spans="1:4" ht="16.5" hidden="1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313">
        <f>参数调整!$K$39*怪物掉落配置方案!$D4465</f>
        <v>0</v>
      </c>
    </row>
    <row r="8570" spans="1:4" ht="16.5" hidden="1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313">
        <f>参数调整!$K$39*怪物掉落配置方案!$D4466</f>
        <v>0</v>
      </c>
    </row>
    <row r="8571" spans="1:4" ht="16.5" hidden="1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313">
        <f>参数调整!$K$39*怪物掉落配置方案!$D4467</f>
        <v>0</v>
      </c>
    </row>
    <row r="8572" spans="1:4" ht="16.5" hidden="1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313">
        <f>参数调整!$K$39*怪物掉落配置方案!$D4468</f>
        <v>0</v>
      </c>
    </row>
    <row r="8573" spans="1:4" ht="16.5" hidden="1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313">
        <f>参数调整!$K$39*怪物掉落配置方案!$D4469</f>
        <v>0</v>
      </c>
    </row>
    <row r="8574" spans="1:4" ht="16.5" hidden="1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313">
        <f>参数调整!$K$39*怪物掉落配置方案!$D4470</f>
        <v>0</v>
      </c>
    </row>
    <row r="8575" spans="1:4" ht="16.5" hidden="1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313">
        <f>参数调整!$K$39*怪物掉落配置方案!$D4471</f>
        <v>0</v>
      </c>
    </row>
    <row r="8576" spans="1:4" ht="16.5" hidden="1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313">
        <f>参数调整!$K$39*怪物掉落配置方案!$D4472</f>
        <v>0</v>
      </c>
    </row>
    <row r="8577" spans="1:4" ht="16.5" hidden="1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313">
        <f>参数调整!$K$39*怪物掉落配置方案!$D4473</f>
        <v>0</v>
      </c>
    </row>
    <row r="8578" spans="1:4" ht="16.5" hidden="1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313">
        <f>参数调整!$K$39*怪物掉落配置方案!$D4474</f>
        <v>0</v>
      </c>
    </row>
    <row r="8579" spans="1:4" ht="16.5" hidden="1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313">
        <f>参数调整!$K$39*怪物掉落配置方案!$D4475</f>
        <v>0</v>
      </c>
    </row>
    <row r="8580" spans="1:4" ht="16.5" hidden="1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313">
        <f>参数调整!$K$39*怪物掉落配置方案!$D4476</f>
        <v>0</v>
      </c>
    </row>
    <row r="8581" spans="1:4" ht="16.5" hidden="1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313">
        <f>参数调整!$K$39*怪物掉落配置方案!$D4477</f>
        <v>0</v>
      </c>
    </row>
    <row r="8582" spans="1:4" ht="16.5" hidden="1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313">
        <f>参数调整!$K$39*怪物掉落配置方案!$D4478</f>
        <v>0</v>
      </c>
    </row>
    <row r="8583" spans="1:4" ht="16.5" hidden="1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313">
        <f>参数调整!$K$39*怪物掉落配置方案!$D4479</f>
        <v>0</v>
      </c>
    </row>
    <row r="8584" spans="1:4" ht="16.5" hidden="1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313">
        <f>参数调整!$K$39*怪物掉落配置方案!$D4480</f>
        <v>0</v>
      </c>
    </row>
    <row r="8585" spans="1:4" ht="16.5" hidden="1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313">
        <f>参数调整!$K$39*怪物掉落配置方案!$D4481</f>
        <v>0</v>
      </c>
    </row>
    <row r="8586" spans="1:4" ht="16.5" hidden="1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313">
        <f>参数调整!$K$39*怪物掉落配置方案!$D4482</f>
        <v>0</v>
      </c>
    </row>
    <row r="8587" spans="1:4" ht="16.5" hidden="1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313">
        <f>参数调整!$K$39*怪物掉落配置方案!$D4483</f>
        <v>0</v>
      </c>
    </row>
    <row r="8588" spans="1:4" ht="16.5" hidden="1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313">
        <f>参数调整!$K$39*怪物掉落配置方案!$D4484</f>
        <v>0</v>
      </c>
    </row>
    <row r="8589" spans="1:4" ht="16.5" hidden="1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313">
        <f>参数调整!$K$39*怪物掉落配置方案!$D4485</f>
        <v>9.0801854447843076E-3</v>
      </c>
    </row>
    <row r="8590" spans="1:4" ht="16.5" hidden="1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313">
        <f>参数调整!$K$39*怪物掉落配置方案!$D4486</f>
        <v>1.149210970355514E-2</v>
      </c>
    </row>
    <row r="8591" spans="1:4" ht="16.5" hidden="1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313">
        <f>参数调整!$K$39*怪物掉落配置方案!$D4487</f>
        <v>1.4187789757475479E-2</v>
      </c>
    </row>
    <row r="8592" spans="1:4" ht="16.5" hidden="1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313">
        <f>参数调整!$K$39*怪物掉落配置方案!$D4488</f>
        <v>1.7167225606545333E-2</v>
      </c>
    </row>
    <row r="8593" spans="1:4" ht="16.5" hidden="1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313">
        <f>参数调整!$K$39*怪物掉落配置方案!$D4489</f>
        <v>2.0430417250764686E-2</v>
      </c>
    </row>
    <row r="8594" spans="1:4" ht="16.5" hidden="1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313">
        <f>参数调整!$K$39*怪物掉落配置方案!$D4490</f>
        <v>2.3977364690133562E-2</v>
      </c>
    </row>
    <row r="8595" spans="1:4" ht="16.5" hidden="1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313">
        <f>参数调整!$K$39*怪物掉落配置方案!$D4491</f>
        <v>2.7808067924651937E-2</v>
      </c>
    </row>
    <row r="8596" spans="1:4" ht="16.5" hidden="1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313">
        <f>参数调整!$K$39*怪物掉落配置方案!$D4492</f>
        <v>3.1922526954319831E-2</v>
      </c>
    </row>
    <row r="8597" spans="1:4" ht="16.5" hidden="1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313">
        <f>参数调整!$K$39*怪物掉落配置方案!$D4493</f>
        <v>3.6320741779137238E-2</v>
      </c>
    </row>
    <row r="8598" spans="1:4" ht="16.5" hidden="1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313">
        <f>参数调整!$K$39*怪物掉落配置方案!$D4494</f>
        <v>4.5968438814220566E-2</v>
      </c>
    </row>
    <row r="8599" spans="1:4" ht="16.5" hidden="1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313">
        <f>参数调整!$K$39*怪物掉落配置方案!$D4495</f>
        <v>5.6751159029901917E-2</v>
      </c>
    </row>
    <row r="8600" spans="1:4" ht="16.5" hidden="1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313">
        <f>参数调整!$K$39*怪物掉落配置方案!$D4496</f>
        <v>6.866890242618133E-2</v>
      </c>
    </row>
    <row r="8601" spans="1:4" ht="16.5" hidden="1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313">
        <f>参数调整!$K$39*怪物掉落配置方案!$D4497</f>
        <v>8.8673685984221748E-2</v>
      </c>
    </row>
    <row r="8602" spans="1:4" ht="16.5" hidden="1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313">
        <f>参数调整!$K$39*怪物掉落配置方案!$D4498</f>
        <v>0.1276901078172793</v>
      </c>
    </row>
    <row r="8603" spans="1:4" ht="16.5" hidden="1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313">
        <f>参数调整!$K$39*怪物掉落配置方案!$D4499</f>
        <v>0.1738004245290746</v>
      </c>
    </row>
    <row r="8604" spans="1:4" ht="16.5" hidden="1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313">
        <f>参数调整!$K$39*怪物掉落配置方案!$D4500</f>
        <v>0.19423084177983935</v>
      </c>
    </row>
    <row r="8605" spans="1:4" ht="16.5" hidden="1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313">
        <f>参数调整!$K$39*怪物掉落配置方案!$D4501</f>
        <v>0.22700463611960767</v>
      </c>
    </row>
    <row r="8606" spans="1:4" ht="16.5" hidden="1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313">
        <f>参数调整!$K$39*怪物掉落配置方案!$D4502</f>
        <v>0.26233223261572158</v>
      </c>
    </row>
    <row r="8607" spans="1:4" ht="16.5" hidden="1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313">
        <f>参数调整!$K$39*怪物掉落配置方案!$D4503</f>
        <v>0.30021363126818112</v>
      </c>
    </row>
    <row r="8608" spans="1:4" ht="16.5" hidden="1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313">
        <f>参数调整!$K$39*怪物掉落配置方案!$D4504</f>
        <v>0.34064883207698637</v>
      </c>
    </row>
    <row r="8609" spans="1:4" ht="16.5" hidden="1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313">
        <f>参数调整!$K$39*怪物掉落配置方案!$D4505</f>
        <v>0.38363783504213694</v>
      </c>
    </row>
    <row r="8610" spans="1:4" ht="16.5" hidden="1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313">
        <f>参数调整!$K$39*怪物掉落配置方案!$D4506</f>
        <v>0.42918064016363328</v>
      </c>
    </row>
    <row r="8611" spans="1:4" ht="16.5" hidden="1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313">
        <f>参数调整!$K$39*怪物掉落配置方案!$D4507</f>
        <v>0.47727724744147515</v>
      </c>
    </row>
    <row r="8612" spans="1:4" ht="16.5" hidden="1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313">
        <f>参数调整!$K$39*怪物掉落配置方案!$D4508</f>
        <v>0.52792765687566245</v>
      </c>
    </row>
    <row r="8613" spans="1:4" ht="16.5" hidden="1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313">
        <f>参数调整!$K$39*怪物掉落配置方案!$D4509</f>
        <v>0.5811318684661958</v>
      </c>
    </row>
    <row r="8614" spans="1:4" ht="16.5" hidden="1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313">
        <f>参数调整!$K$39*怪物掉落配置方案!$D4510</f>
        <v>0.6368898822130743</v>
      </c>
    </row>
    <row r="8615" spans="1:4" ht="16.5" hidden="1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313">
        <f>参数调整!$K$39*怪物掉落配置方案!$D4511</f>
        <v>0.69520169811629862</v>
      </c>
    </row>
    <row r="8616" spans="1:4" ht="16.5" hidden="1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313">
        <f>参数调整!$K$39*怪物掉落配置方案!$D4512</f>
        <v>2.3648429154063825E-3</v>
      </c>
    </row>
    <row r="8617" spans="1:4" ht="16.5" hidden="1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313">
        <f>参数调整!$K$39*怪物掉落配置方案!$D4513</f>
        <v>2.9930043148112023E-3</v>
      </c>
    </row>
    <row r="8618" spans="1:4" ht="16.5" hidden="1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313">
        <f>参数调整!$K$39*怪物掉落配置方案!$D4514</f>
        <v>3.6950670553224717E-3</v>
      </c>
    </row>
    <row r="8619" spans="1:4" ht="16.5" hidden="1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313">
        <f>参数调整!$K$39*怪物掉落配置方案!$D4515</f>
        <v>4.4710311369401913E-3</v>
      </c>
    </row>
    <row r="8620" spans="1:4" ht="16.5" hidden="1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313">
        <f>参数调整!$K$39*怪物掉落配置方案!$D4516</f>
        <v>5.3208965596643586E-3</v>
      </c>
    </row>
    <row r="8621" spans="1:4" ht="16.5" hidden="1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313">
        <f>参数调整!$K$39*怪物掉落配置方案!$D4517</f>
        <v>6.2446633234949783E-3</v>
      </c>
    </row>
    <row r="8622" spans="1:4" ht="16.5" hidden="1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313">
        <f>参数调整!$K$39*怪物掉落配置方案!$D4518</f>
        <v>7.2423314284320427E-3</v>
      </c>
    </row>
    <row r="8623" spans="1:4" ht="16.5" hidden="1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313">
        <f>参数调整!$K$39*怪物掉落配置方案!$D4519</f>
        <v>8.3139008744755622E-3</v>
      </c>
    </row>
    <row r="8624" spans="1:4" ht="16.5" hidden="1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313">
        <f>参数调整!$K$39*怪物掉落配置方案!$D4520</f>
        <v>9.4593716616255298E-3</v>
      </c>
    </row>
    <row r="8625" spans="1:4" ht="16.5" hidden="1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313">
        <f>参数调整!$K$39*怪物掉落配置方案!$D4521</f>
        <v>1.1972017259244809E-2</v>
      </c>
    </row>
    <row r="8626" spans="1:4" ht="16.5" hidden="1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313">
        <f>参数调整!$K$39*怪物掉落配置方案!$D4522</f>
        <v>1.4780268221289885E-2</v>
      </c>
    </row>
    <row r="8627" spans="1:4" ht="16.5" hidden="1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313">
        <f>参数调整!$K$39*怪物掉落配置方案!$D4523</f>
        <v>1.7884124547760765E-2</v>
      </c>
    </row>
    <row r="8628" spans="1:4" ht="16.5" hidden="1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313">
        <f>参数调整!$K$39*怪物掉落配置方案!$D4524</f>
        <v>2.3094169095765445E-2</v>
      </c>
    </row>
    <row r="8629" spans="1:4" ht="16.5" hidden="1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313">
        <f>参数调整!$K$39*怪物掉落配置方案!$D4525</f>
        <v>3.3255603497902242E-2</v>
      </c>
    </row>
    <row r="8630" spans="1:4" ht="16.5" hidden="1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313">
        <f>参数调整!$K$39*怪物掉落配置方案!$D4526</f>
        <v>4.5264571427700274E-2</v>
      </c>
    </row>
    <row r="8631" spans="1:4" ht="16.5" hidden="1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313">
        <f>参数调整!$K$39*怪物掉落配置方案!$D4527</f>
        <v>5.0585467987364643E-2</v>
      </c>
    </row>
    <row r="8632" spans="1:4" ht="16.5" hidden="1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313">
        <f>参数调整!$K$39*怪物掉落配置方案!$D4528</f>
        <v>5.912107288515954E-2</v>
      </c>
    </row>
    <row r="8633" spans="1:4" ht="16.5" hidden="1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313">
        <f>参数调整!$K$39*怪物掉落配置方案!$D4529</f>
        <v>6.8321789852912485E-2</v>
      </c>
    </row>
    <row r="8634" spans="1:4" ht="16.5" hidden="1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313">
        <f>参数调整!$K$39*怪物掉落配置方案!$D4530</f>
        <v>7.8187618890623492E-2</v>
      </c>
    </row>
    <row r="8635" spans="1:4" ht="16.5" hidden="1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313">
        <f>参数调整!$K$39*怪物掉落配置方案!$D4531</f>
        <v>8.8718559998292562E-2</v>
      </c>
    </row>
    <row r="8636" spans="1:4" ht="16.5" hidden="1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313">
        <f>参数调整!$K$39*怪物掉落配置方案!$D4532</f>
        <v>9.9914613175919639E-2</v>
      </c>
    </row>
    <row r="8637" spans="1:4" ht="16.5" hidden="1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313">
        <f>参数调整!$K$39*怪物掉落配置方案!$D4533</f>
        <v>0.11177577842350478</v>
      </c>
    </row>
    <row r="8638" spans="1:4" ht="16.5" hidden="1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313">
        <f>参数调整!$K$39*怪物掉落配置方案!$D4534</f>
        <v>0.12430205574104794</v>
      </c>
    </row>
    <row r="8639" spans="1:4" ht="16.5" hidden="1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313">
        <f>参数调整!$K$39*怪物掉落配置方案!$D4535</f>
        <v>0.13749344512854914</v>
      </c>
    </row>
    <row r="8640" spans="1:4" ht="16.5" hidden="1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313">
        <f>参数调整!$K$39*怪物掉落配置方案!$D4536</f>
        <v>0.15134994658600845</v>
      </c>
    </row>
    <row r="8641" spans="1:4" ht="16.5" hidden="1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313">
        <f>参数调整!$K$39*怪物掉落配置方案!$D4537</f>
        <v>0.16587156011342577</v>
      </c>
    </row>
    <row r="8642" spans="1:4" ht="16.5" hidden="1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313">
        <f>参数调整!$K$39*怪物掉落配置方案!$D4538</f>
        <v>0.18105828571080113</v>
      </c>
    </row>
    <row r="8643" spans="1:4" ht="16.5" hidden="1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313">
        <f>参数调整!$K$39*怪物掉落配置方案!$D4539</f>
        <v>3.2492470676928117E-5</v>
      </c>
    </row>
    <row r="8644" spans="1:4" ht="16.5" hidden="1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313">
        <f>参数调整!$K$39*怪物掉落配置方案!$D4540</f>
        <v>4.1123283200487156E-5</v>
      </c>
    </row>
    <row r="8645" spans="1:4" ht="16.5" hidden="1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313">
        <f>参数调整!$K$39*怪物掉落配置方案!$D4541</f>
        <v>5.0769485432700176E-5</v>
      </c>
    </row>
    <row r="8646" spans="1:4" ht="16.5" hidden="1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313">
        <f>参数调整!$K$39*怪物掉落配置方案!$D4542</f>
        <v>6.1431077373567218E-5</v>
      </c>
    </row>
    <row r="8647" spans="1:4" ht="16.5" hidden="1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313">
        <f>参数调整!$K$39*怪物掉落配置方案!$D4543</f>
        <v>7.3108059023088248E-5</v>
      </c>
    </row>
    <row r="8648" spans="1:4" ht="16.5" hidden="1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313">
        <f>参数调整!$K$39*怪物掉落配置方案!$D4544</f>
        <v>8.58004303812633E-5</v>
      </c>
    </row>
    <row r="8649" spans="1:4" ht="16.5" hidden="1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313">
        <f>参数调整!$K$39*怪物掉落配置方案!$D4545</f>
        <v>9.9508191448092334E-5</v>
      </c>
    </row>
    <row r="8650" spans="1:4" ht="16.5" hidden="1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313">
        <f>参数调整!$K$39*怪物掉落配置方案!$D4546</f>
        <v>1.1423134222357539E-4</v>
      </c>
    </row>
    <row r="8651" spans="1:4" ht="16.5" hidden="1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313">
        <f>参数调整!$K$39*怪物掉落配置方案!$D4547</f>
        <v>1.299698827077125E-4</v>
      </c>
    </row>
    <row r="8652" spans="1:4" ht="16.5" hidden="1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313">
        <f>参数调整!$K$39*怪物掉落配置方案!$D4548</f>
        <v>1.6449313280194857E-4</v>
      </c>
    </row>
    <row r="8653" spans="1:4" ht="16.5" hidden="1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313">
        <f>参数调整!$K$39*怪物掉落配置方案!$D4549</f>
        <v>2.0307794173080068E-4</v>
      </c>
    </row>
    <row r="8654" spans="1:4" ht="16.5" hidden="1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313">
        <f>参数调整!$K$39*怪物掉落配置方案!$D4550</f>
        <v>2.4572430949426887E-4</v>
      </c>
    </row>
    <row r="8655" spans="1:4" ht="16.5" hidden="1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313">
        <f>参数调整!$K$39*怪物掉落配置方案!$D4551</f>
        <v>3.1730928395437612E-4</v>
      </c>
    </row>
    <row r="8656" spans="1:4" ht="16.5" hidden="1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313">
        <f>参数调整!$K$39*怪物掉落配置方案!$D4552</f>
        <v>4.5692536889430145E-4</v>
      </c>
    </row>
    <row r="8657" spans="1:4" ht="16.5" hidden="1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313">
        <f>参数调整!$K$39*怪物掉落配置方案!$D4553</f>
        <v>6.2192619655057711E-4</v>
      </c>
    </row>
    <row r="8658" spans="1:4" ht="16.5" hidden="1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313">
        <f>参数调整!$K$39*怪物掉落配置方案!$D4554</f>
        <v>6.950342555736655E-4</v>
      </c>
    </row>
    <row r="8659" spans="1:4" ht="16.5" hidden="1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313">
        <f>参数调整!$K$39*怪物掉落配置方案!$D4555</f>
        <v>8.123117669232027E-4</v>
      </c>
    </row>
    <row r="8660" spans="1:4" ht="16.5" hidden="1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313">
        <f>参数调整!$K$39*怪物掉落配置方案!$D4556</f>
        <v>9.3872778565062603E-4</v>
      </c>
    </row>
    <row r="8661" spans="1:4" ht="16.5" hidden="1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313">
        <f>参数调整!$K$39*怪物掉落配置方案!$D4557</f>
        <v>1.0742823117559357E-3</v>
      </c>
    </row>
    <row r="8662" spans="1:4" ht="16.5" hidden="1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313">
        <f>参数调整!$K$39*怪物掉落配置方案!$D4558</f>
        <v>1.2189753452391315E-3</v>
      </c>
    </row>
    <row r="8663" spans="1:4" ht="16.5" hidden="1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313">
        <f>参数调整!$K$39*怪物掉落配置方案!$D4559</f>
        <v>1.3728068861002128E-3</v>
      </c>
    </row>
    <row r="8664" spans="1:4" ht="16.5" hidden="1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313">
        <f>参数调整!$K$39*怪物掉落配置方案!$D4560</f>
        <v>1.5357769343391804E-3</v>
      </c>
    </row>
    <row r="8665" spans="1:4" ht="16.5" hidden="1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313">
        <f>参数调整!$K$39*怪物掉落配置方案!$D4561</f>
        <v>1.7078854899560336E-3</v>
      </c>
    </row>
    <row r="8666" spans="1:4" ht="16.5" hidden="1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313">
        <f>参数调整!$K$39*怪物掉落配置方案!$D4562</f>
        <v>1.8891325529507732E-3</v>
      </c>
    </row>
    <row r="8667" spans="1:4" ht="16.5" hidden="1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313">
        <f>参数调整!$K$39*怪物掉落配置方案!$D4563</f>
        <v>2.0795181233233995E-3</v>
      </c>
    </row>
    <row r="8668" spans="1:4" ht="16.5" hidden="1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313">
        <f>参数调整!$K$39*怪物掉落配置方案!$D4564</f>
        <v>2.2790422010739108E-3</v>
      </c>
    </row>
    <row r="8669" spans="1:4" ht="16.5" hidden="1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313">
        <f>参数调整!$K$39*怪物掉落配置方案!$D4565</f>
        <v>2.4877047862023089E-3</v>
      </c>
    </row>
    <row r="8670" spans="1:4" ht="16.5" hidden="1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313">
        <f>参数调整!$K$39*怪物掉落配置方案!$D4566</f>
        <v>0</v>
      </c>
    </row>
    <row r="8671" spans="1:4" ht="16.5" hidden="1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313">
        <f>参数调整!$K$39*怪物掉落配置方案!$D4567</f>
        <v>0</v>
      </c>
    </row>
    <row r="8672" spans="1:4" ht="16.5" hidden="1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313">
        <f>参数调整!$K$39*怪物掉落配置方案!$D4568</f>
        <v>0</v>
      </c>
    </row>
    <row r="8673" spans="1:4" ht="16.5" hidden="1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313">
        <f>参数调整!$K$39*怪物掉落配置方案!$D4569</f>
        <v>0</v>
      </c>
    </row>
    <row r="8674" spans="1:4" ht="16.5" hidden="1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313">
        <f>参数调整!$K$39*怪物掉落配置方案!$D4570</f>
        <v>0</v>
      </c>
    </row>
    <row r="8675" spans="1:4" ht="16.5" hidden="1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313">
        <f>参数调整!$K$39*怪物掉落配置方案!$D4571</f>
        <v>0</v>
      </c>
    </row>
    <row r="8676" spans="1:4" ht="16.5" hidden="1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313">
        <f>参数调整!$K$39*怪物掉落配置方案!$D4572</f>
        <v>0</v>
      </c>
    </row>
    <row r="8677" spans="1:4" ht="16.5" hidden="1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313">
        <f>参数调整!$K$39*怪物掉落配置方案!$D4573</f>
        <v>0</v>
      </c>
    </row>
    <row r="8678" spans="1:4" ht="16.5" hidden="1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313">
        <f>参数调整!$K$39*怪物掉落配置方案!$D4574</f>
        <v>0</v>
      </c>
    </row>
    <row r="8679" spans="1:4" ht="16.5" hidden="1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313">
        <f>参数调整!$K$39*怪物掉落配置方案!$D4575</f>
        <v>0</v>
      </c>
    </row>
    <row r="8680" spans="1:4" ht="16.5" hidden="1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313">
        <f>参数调整!$K$39*怪物掉落配置方案!$D4576</f>
        <v>0</v>
      </c>
    </row>
    <row r="8681" spans="1:4" ht="16.5" hidden="1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313">
        <f>参数调整!$K$39*怪物掉落配置方案!$D4577</f>
        <v>0</v>
      </c>
    </row>
    <row r="8682" spans="1:4" ht="16.5" hidden="1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313">
        <f>参数调整!$K$39*怪物掉落配置方案!$D4578</f>
        <v>0</v>
      </c>
    </row>
    <row r="8683" spans="1:4" ht="16.5" hidden="1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313">
        <f>参数调整!$K$39*怪物掉落配置方案!$D4579</f>
        <v>0</v>
      </c>
    </row>
    <row r="8684" spans="1:4" ht="16.5" hidden="1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313">
        <f>参数调整!$K$39*怪物掉落配置方案!$D4580</f>
        <v>0</v>
      </c>
    </row>
    <row r="8685" spans="1:4" ht="16.5" hidden="1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313">
        <f>参数调整!$K$39*怪物掉落配置方案!$D4581</f>
        <v>0</v>
      </c>
    </row>
    <row r="8686" spans="1:4" ht="16.5" hidden="1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313">
        <f>参数调整!$K$39*怪物掉落配置方案!$D4582</f>
        <v>0</v>
      </c>
    </row>
    <row r="8687" spans="1:4" ht="16.5" hidden="1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313">
        <f>参数调整!$K$39*怪物掉落配置方案!$D4583</f>
        <v>0</v>
      </c>
    </row>
    <row r="8688" spans="1:4" ht="16.5" hidden="1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313">
        <f>参数调整!$K$39*怪物掉落配置方案!$D4584</f>
        <v>0</v>
      </c>
    </row>
    <row r="8689" spans="1:4" ht="16.5" hidden="1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313">
        <f>参数调整!$K$39*怪物掉落配置方案!$D4585</f>
        <v>0</v>
      </c>
    </row>
    <row r="8690" spans="1:4" ht="16.5" hidden="1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313">
        <f>参数调整!$K$39*怪物掉落配置方案!$D4586</f>
        <v>0</v>
      </c>
    </row>
    <row r="8691" spans="1:4" ht="16.5" hidden="1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313">
        <f>参数调整!$K$39*怪物掉落配置方案!$D4587</f>
        <v>0</v>
      </c>
    </row>
    <row r="8692" spans="1:4" ht="16.5" hidden="1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313">
        <f>参数调整!$K$39*怪物掉落配置方案!$D4588</f>
        <v>0</v>
      </c>
    </row>
    <row r="8693" spans="1:4" ht="16.5" hidden="1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313">
        <f>参数调整!$K$39*怪物掉落配置方案!$D4589</f>
        <v>0</v>
      </c>
    </row>
    <row r="8694" spans="1:4" ht="16.5" hidden="1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313">
        <f>参数调整!$K$39*怪物掉落配置方案!$D4590</f>
        <v>0</v>
      </c>
    </row>
    <row r="8695" spans="1:4" ht="16.5" hidden="1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313">
        <f>参数调整!$K$39*怪物掉落配置方案!$D4591</f>
        <v>0</v>
      </c>
    </row>
    <row r="8696" spans="1:4" ht="16.5" hidden="1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313">
        <f>参数调整!$K$39*怪物掉落配置方案!$D4592</f>
        <v>0</v>
      </c>
    </row>
    <row r="8697" spans="1:4" ht="16.5" hidden="1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313">
        <f>参数调整!$K$39*怪物掉落配置方案!$D4593</f>
        <v>1.6246235338464058E-4</v>
      </c>
    </row>
    <row r="8698" spans="1:4" ht="16.5" hidden="1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313">
        <f>参数调整!$K$39*怪物掉落配置方案!$D4594</f>
        <v>2.0561641600243575E-4</v>
      </c>
    </row>
    <row r="8699" spans="1:4" ht="16.5" hidden="1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313">
        <f>参数调整!$K$39*怪物掉落配置方案!$D4595</f>
        <v>2.5384742716350088E-4</v>
      </c>
    </row>
    <row r="8700" spans="1:4" ht="16.5" hidden="1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313">
        <f>参数调整!$K$39*怪物掉落配置方案!$D4596</f>
        <v>3.0715538686783609E-4</v>
      </c>
    </row>
    <row r="8701" spans="1:4" ht="16.5" hidden="1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313">
        <f>参数调整!$K$39*怪物掉落配置方案!$D4597</f>
        <v>3.6554029511544123E-4</v>
      </c>
    </row>
    <row r="8702" spans="1:4" ht="16.5" hidden="1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313">
        <f>参数调整!$K$39*怪物掉落配置方案!$D4598</f>
        <v>4.2900215190631652E-4</v>
      </c>
    </row>
    <row r="8703" spans="1:4" ht="16.5" hidden="1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313">
        <f>参数调整!$K$39*怪物掉落配置方案!$D4599</f>
        <v>4.9754095724046168E-4</v>
      </c>
    </row>
    <row r="8704" spans="1:4" ht="16.5" hidden="1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313">
        <f>参数调整!$K$39*怪物掉落配置方案!$D4600</f>
        <v>5.71156711117877E-4</v>
      </c>
    </row>
    <row r="8705" spans="1:4" ht="16.5" hidden="1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313">
        <f>参数调整!$K$39*怪物掉落配置方案!$D4601</f>
        <v>6.4984941353856242E-4</v>
      </c>
    </row>
    <row r="8706" spans="1:4" ht="16.5" hidden="1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313">
        <f>参数调整!$K$39*怪物掉落配置方案!$D4602</f>
        <v>8.2246566400974289E-4</v>
      </c>
    </row>
    <row r="8707" spans="1:4" ht="16.5" hidden="1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313">
        <f>参数调整!$K$39*怪物掉落配置方案!$D4603</f>
        <v>1.0153897086540035E-3</v>
      </c>
    </row>
    <row r="8708" spans="1:4" ht="16.5" hidden="1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313">
        <f>参数调整!$K$39*怪物掉落配置方案!$D4604</f>
        <v>1.2286215474713444E-3</v>
      </c>
    </row>
    <row r="8709" spans="1:4" ht="16.5" hidden="1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313">
        <f>参数调整!$K$39*怪物掉落配置方案!$D4605</f>
        <v>1.5865464197718805E-3</v>
      </c>
    </row>
    <row r="8710" spans="1:4" ht="16.5" hidden="1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313">
        <f>参数调整!$K$39*怪物掉落配置方案!$D4606</f>
        <v>2.2846268444715076E-3</v>
      </c>
    </row>
    <row r="8711" spans="1:4" ht="16.5" hidden="1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313">
        <f>参数调整!$K$39*怪物掉落配置方案!$D4607</f>
        <v>3.1096309827528855E-3</v>
      </c>
    </row>
    <row r="8712" spans="1:4" ht="16.5" hidden="1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313">
        <f>参数调整!$K$39*怪物掉落配置方案!$D4608</f>
        <v>3.4751712778683277E-3</v>
      </c>
    </row>
    <row r="8713" spans="1:4" ht="16.5" hidden="1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313">
        <f>参数调整!$K$39*怪物掉落配置方案!$D4609</f>
        <v>4.0615588346160142E-3</v>
      </c>
    </row>
    <row r="8714" spans="1:4" ht="16.5" hidden="1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313">
        <f>参数调整!$K$39*怪物掉落配置方案!$D4610</f>
        <v>4.6936389282531306E-3</v>
      </c>
    </row>
    <row r="8715" spans="1:4" ht="16.5" hidden="1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313">
        <f>参数调整!$K$39*怪物掉落配置方案!$D4611</f>
        <v>5.3714115587796783E-3</v>
      </c>
    </row>
    <row r="8716" spans="1:4" ht="16.5" hidden="1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313">
        <f>参数调整!$K$39*怪物掉落配置方案!$D4612</f>
        <v>6.0948767261956574E-3</v>
      </c>
    </row>
    <row r="8717" spans="1:4" ht="16.5" hidden="1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313">
        <f>参数调整!$K$39*怪物掉落配置方案!$D4613</f>
        <v>6.8640344305010642E-3</v>
      </c>
    </row>
    <row r="8718" spans="1:4" ht="16.5" hidden="1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313">
        <f>参数调整!$K$39*怪物掉落配置方案!$D4614</f>
        <v>7.6788846716959024E-3</v>
      </c>
    </row>
    <row r="8719" spans="1:4" ht="16.5" hidden="1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313">
        <f>参数调整!$K$39*怪物掉落配置方案!$D4615</f>
        <v>8.5394274497801684E-3</v>
      </c>
    </row>
    <row r="8720" spans="1:4" ht="16.5" hidden="1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313">
        <f>参数调整!$K$39*怪物掉落配置方案!$D4616</f>
        <v>9.4456627647538666E-3</v>
      </c>
    </row>
    <row r="8721" spans="1:4" ht="16.5" hidden="1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313">
        <f>参数调整!$K$39*怪物掉落配置方案!$D4617</f>
        <v>1.0397590616616999E-2</v>
      </c>
    </row>
    <row r="8722" spans="1:4" ht="16.5" hidden="1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313">
        <f>参数调整!$K$39*怪物掉落配置方案!$D4618</f>
        <v>1.1395211005369556E-2</v>
      </c>
    </row>
    <row r="8723" spans="1:4" ht="16.5" hidden="1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313">
        <f>参数调整!$K$39*怪物掉落配置方案!$D4619</f>
        <v>1.2438523931011544E-2</v>
      </c>
    </row>
    <row r="8724" spans="1:4" ht="16.5" hidden="1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313">
        <f>参数调整!$K$39*怪物掉落配置方案!$D4620</f>
        <v>2.6000588193535956E-2</v>
      </c>
    </row>
    <row r="8725" spans="1:4" ht="16.5" hidden="1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313">
        <f>参数调整!$K$39*怪物掉落配置方案!$D4621</f>
        <v>3.2906994432443951E-2</v>
      </c>
    </row>
    <row r="8726" spans="1:4" ht="16.5" hidden="1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313">
        <f>参数调整!$K$39*怪物掉落配置方案!$D4622</f>
        <v>4.0625919052399935E-2</v>
      </c>
    </row>
    <row r="8727" spans="1:4" ht="16.5" hidden="1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313">
        <f>参数调整!$K$39*怪物掉落配置方案!$D4623</f>
        <v>4.9157362053403923E-2</v>
      </c>
    </row>
    <row r="8728" spans="1:4" ht="16.5" hidden="1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313">
        <f>参数调整!$K$39*怪物掉落配置方案!$D4624</f>
        <v>5.8501323435455888E-2</v>
      </c>
    </row>
    <row r="8729" spans="1:4" ht="16.5" hidden="1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313">
        <f>参数调整!$K$39*怪物掉落配置方案!$D4625</f>
        <v>6.8657803198555897E-2</v>
      </c>
    </row>
    <row r="8730" spans="1:4" ht="16.5" hidden="1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313">
        <f>参数调整!$K$39*怪物掉落配置方案!$D4626</f>
        <v>7.9626801342703862E-2</v>
      </c>
    </row>
    <row r="8731" spans="1:4" ht="16.5" hidden="1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313">
        <f>参数调整!$K$39*怪物掉落配置方案!$D4627</f>
        <v>9.1408317867899852E-2</v>
      </c>
    </row>
    <row r="8732" spans="1:4" ht="16.5" hidden="1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313">
        <f>参数调整!$K$39*怪物掉落配置方案!$D4628</f>
        <v>0.10400235277414385</v>
      </c>
    </row>
    <row r="8733" spans="1:4" ht="16.5" hidden="1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313">
        <f>参数调整!$K$39*怪物掉落配置方案!$D4629</f>
        <v>0.1316279777297758</v>
      </c>
    </row>
    <row r="8734" spans="1:4" ht="16.5" hidden="1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313">
        <f>参数调整!$K$39*怪物掉落配置方案!$D4630</f>
        <v>0.16250367620959968</v>
      </c>
    </row>
    <row r="8735" spans="1:4" ht="16.5" hidden="1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313">
        <f>参数调整!$K$39*怪物掉落配置方案!$D4631</f>
        <v>0.19662944821361569</v>
      </c>
    </row>
    <row r="8736" spans="1:4" ht="16.5" hidden="1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313">
        <f>参数调整!$K$39*怪物掉落配置方案!$D4632</f>
        <v>0.25391199407749954</v>
      </c>
    </row>
    <row r="8737" spans="1:4" ht="16.5" hidden="1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313">
        <f>参数调整!$K$39*怪物掉落配置方案!$D4633</f>
        <v>0.3656332714715993</v>
      </c>
    </row>
    <row r="8738" spans="1:4" ht="16.5" hidden="1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313">
        <f>参数调整!$K$39*怪物掉落配置方案!$D4634</f>
        <v>0.4976675083918991</v>
      </c>
    </row>
    <row r="8739" spans="1:4" ht="16.5" hidden="1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313">
        <f>参数调整!$K$39*怪物掉落配置方案!$D4635</f>
        <v>0.5561688318273551</v>
      </c>
    </row>
    <row r="8740" spans="1:4" ht="16.5" hidden="1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313">
        <f>参数调整!$K$39*怪物掉落配置方案!$D4636</f>
        <v>0.65001470483839874</v>
      </c>
    </row>
    <row r="8741" spans="1:4" ht="16.5" hidden="1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313">
        <f>参数调整!$K$39*怪物掉落配置方案!$D4637</f>
        <v>0.75117324327887458</v>
      </c>
    </row>
    <row r="8742" spans="1:4" ht="16.5" hidden="1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313">
        <f>参数调整!$K$39*怪物掉落配置方案!$D4638</f>
        <v>0.85964444714878241</v>
      </c>
    </row>
    <row r="8743" spans="1:4" ht="16.5" hidden="1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313">
        <f>参数调整!$K$39*怪物掉落配置方案!$D4639</f>
        <v>0.97542831644812245</v>
      </c>
    </row>
    <row r="8744" spans="1:4" ht="16.5" hidden="1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313">
        <f>参数调整!$K$39*怪物掉落配置方案!$D4640</f>
        <v>1.0985248511768941</v>
      </c>
    </row>
    <row r="8745" spans="1:4" ht="16.5" hidden="1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313">
        <f>参数调整!$K$39*怪物掉落配置方案!$D4641</f>
        <v>1.2289340513350979</v>
      </c>
    </row>
    <row r="8746" spans="1:4" ht="16.5" hidden="1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313">
        <f>参数调整!$K$39*怪物掉落配置方案!$D4642</f>
        <v>1.3666559169227337</v>
      </c>
    </row>
    <row r="8747" spans="1:4" ht="16.5" hidden="1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313">
        <f>参数调整!$K$39*怪物掉落配置方案!$D4643</f>
        <v>1.5116904479398012</v>
      </c>
    </row>
    <row r="8748" spans="1:4" ht="16.5" hidden="1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313">
        <f>参数调整!$K$39*怪物掉落配置方案!$D4644</f>
        <v>1.6640376443863012</v>
      </c>
    </row>
    <row r="8749" spans="1:4" ht="16.5" hidden="1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313">
        <f>参数调整!$K$39*怪物掉落配置方案!$D4645</f>
        <v>1.8236975062622327</v>
      </c>
    </row>
    <row r="8750" spans="1:4" ht="16.5" hidden="1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313">
        <f>参数调整!$K$39*怪物掉落配置方案!$D4646</f>
        <v>1.9906700335675969</v>
      </c>
    </row>
    <row r="8751" spans="1:4" ht="16.5" hidden="1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313">
        <f>参数调整!$K$39*怪物掉落配置方案!$D4647</f>
        <v>1.169728944369412E-4</v>
      </c>
    </row>
    <row r="8752" spans="1:4" ht="16.5" hidden="1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313">
        <f>参数调整!$K$39*怪物掉落配置方案!$D4648</f>
        <v>1.4804381952175373E-4</v>
      </c>
    </row>
    <row r="8753" spans="1:4" ht="16.5" hidden="1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313">
        <f>参数调整!$K$39*怪物掉落配置方案!$D4649</f>
        <v>1.8277014755772061E-4</v>
      </c>
    </row>
    <row r="8754" spans="1:4" ht="16.5" hidden="1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313">
        <f>参数调整!$K$39*怪物掉落配置方案!$D4650</f>
        <v>2.2115187854484196E-4</v>
      </c>
    </row>
    <row r="8755" spans="1:4" ht="16.5" hidden="1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313">
        <f>参数调整!$K$39*怪物掉落配置方案!$D4651</f>
        <v>2.6318901248311761E-4</v>
      </c>
    </row>
    <row r="8756" spans="1:4" ht="16.5" hidden="1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313">
        <f>参数调整!$K$39*怪物掉落配置方案!$D4652</f>
        <v>3.0888154937254783E-4</v>
      </c>
    </row>
    <row r="8757" spans="1:4" ht="16.5" hidden="1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313">
        <f>参数调整!$K$39*怪物掉落配置方案!$D4653</f>
        <v>3.5822948921313235E-4</v>
      </c>
    </row>
    <row r="8758" spans="1:4" ht="16.5" hidden="1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313">
        <f>参数调整!$K$39*怪物掉落配置方案!$D4654</f>
        <v>4.1123283200487145E-4</v>
      </c>
    </row>
    <row r="8759" spans="1:4" ht="16.5" hidden="1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313">
        <f>参数调整!$K$39*怪物掉落配置方案!$D4655</f>
        <v>4.6789157774776479E-4</v>
      </c>
    </row>
    <row r="8760" spans="1:4" ht="16.5" hidden="1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313">
        <f>参数调整!$K$39*怪物掉落配置方案!$D4656</f>
        <v>5.9217527808701491E-4</v>
      </c>
    </row>
    <row r="8761" spans="1:4" ht="16.5" hidden="1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313">
        <f>参数调整!$K$39*怪物掉落配置方案!$D4657</f>
        <v>7.3108059023088245E-4</v>
      </c>
    </row>
    <row r="8762" spans="1:4" ht="16.5" hidden="1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313">
        <f>参数调整!$K$39*怪物掉落配置方案!$D4658</f>
        <v>8.8460751417936785E-4</v>
      </c>
    </row>
    <row r="8763" spans="1:4" ht="16.5" hidden="1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313">
        <f>参数调整!$K$39*怪物掉落配置方案!$D4659</f>
        <v>1.1423134222357538E-3</v>
      </c>
    </row>
    <row r="8764" spans="1:4" ht="16.5" hidden="1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313">
        <f>参数调整!$K$39*怪物掉落配置方案!$D4660</f>
        <v>1.6449313280194854E-3</v>
      </c>
    </row>
    <row r="8765" spans="1:4" ht="16.5" hidden="1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313">
        <f>参数调整!$K$39*怪物掉落配置方案!$D4661</f>
        <v>2.2389343075820771E-3</v>
      </c>
    </row>
    <row r="8766" spans="1:4" ht="16.5" hidden="1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313">
        <f>参数调整!$K$39*怪物掉落配置方案!$D4662</f>
        <v>2.5021233200651955E-3</v>
      </c>
    </row>
    <row r="8767" spans="1:4" ht="16.5" hidden="1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313">
        <f>参数调整!$K$39*怪物掉落配置方案!$D4663</f>
        <v>2.9243223609235298E-3</v>
      </c>
    </row>
    <row r="8768" spans="1:4" ht="16.5" hidden="1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313">
        <f>参数调整!$K$39*怪物掉落配置方案!$D4664</f>
        <v>3.3794200283422536E-3</v>
      </c>
    </row>
    <row r="8769" spans="1:4" ht="16.5" hidden="1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313">
        <f>参数调整!$K$39*怪物掉落配置方案!$D4665</f>
        <v>3.8674163223213673E-3</v>
      </c>
    </row>
    <row r="8770" spans="1:4" ht="16.5" hidden="1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313">
        <f>参数调整!$K$39*怪物掉落配置方案!$D4666</f>
        <v>4.3883112428608727E-3</v>
      </c>
    </row>
    <row r="8771" spans="1:4" ht="16.5" hidden="1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313">
        <f>参数调整!$K$39*怪物掉落配置方案!$D4667</f>
        <v>4.9421047899607653E-3</v>
      </c>
    </row>
    <row r="8772" spans="1:4" ht="16.5" hidden="1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313">
        <f>参数调整!$K$39*怪物掉落配置方案!$D4668</f>
        <v>5.52879696362105E-3</v>
      </c>
    </row>
    <row r="8773" spans="1:4" ht="16.5" hidden="1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313">
        <f>参数调整!$K$39*怪物掉落配置方案!$D4669</f>
        <v>6.1483877638417207E-3</v>
      </c>
    </row>
    <row r="8774" spans="1:4" ht="16.5" hidden="1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313">
        <f>参数调整!$K$39*怪物掉落配置方案!$D4670</f>
        <v>6.8008771906227818E-3</v>
      </c>
    </row>
    <row r="8775" spans="1:4" ht="16.5" hidden="1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313">
        <f>参数调整!$K$39*怪物掉落配置方案!$D4671</f>
        <v>7.4862652439642366E-3</v>
      </c>
    </row>
    <row r="8776" spans="1:4" ht="16.5" hidden="1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313">
        <f>参数调整!$K$39*怪物掉落配置方案!$D4672</f>
        <v>8.2045519238660783E-3</v>
      </c>
    </row>
    <row r="8777" spans="1:4" ht="16.5" hidden="1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313">
        <f>参数调整!$K$39*怪物掉落配置方案!$D4673</f>
        <v>8.9557372303283103E-3</v>
      </c>
    </row>
    <row r="8778" spans="1:4" ht="16.5" hidden="1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313">
        <f>参数调整!$K$39*怪物掉落配置方案!$D4674</f>
        <v>1.8160370889568616E-3</v>
      </c>
    </row>
    <row r="8779" spans="1:4" ht="16.5" hidden="1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313">
        <f>参数调整!$K$39*怪物掉落配置方案!$D4675</f>
        <v>2.2984219407110283E-3</v>
      </c>
    </row>
    <row r="8780" spans="1:4" ht="16.5" hidden="1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313">
        <f>参数调整!$K$39*怪物掉落配置方案!$D4676</f>
        <v>2.8375579514950959E-3</v>
      </c>
    </row>
    <row r="8781" spans="1:4" ht="16.5" hidden="1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313">
        <f>参数调整!$K$39*怪物掉落配置方案!$D4677</f>
        <v>3.4334451213090663E-3</v>
      </c>
    </row>
    <row r="8782" spans="1:4" ht="16.5" hidden="1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313">
        <f>参数调整!$K$39*怪物掉落配置方案!$D4678</f>
        <v>4.0860834501529374E-3</v>
      </c>
    </row>
    <row r="8783" spans="1:4" ht="16.5" hidden="1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313">
        <f>参数调整!$K$39*怪物掉落配置方案!$D4679</f>
        <v>4.795472938026713E-3</v>
      </c>
    </row>
    <row r="8784" spans="1:4" ht="16.5" hidden="1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313">
        <f>参数调整!$K$39*怪物掉落配置方案!$D4680</f>
        <v>5.561613584930388E-3</v>
      </c>
    </row>
    <row r="8785" spans="1:4" ht="16.5" hidden="1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313">
        <f>参数调整!$K$39*怪物掉落配置方案!$D4681</f>
        <v>6.3845053908639666E-3</v>
      </c>
    </row>
    <row r="8786" spans="1:4" ht="16.5" hidden="1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313">
        <f>参数调整!$K$39*怪物掉落配置方案!$D4682</f>
        <v>7.2641483558274463E-3</v>
      </c>
    </row>
    <row r="8787" spans="1:4" ht="16.5" hidden="1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313">
        <f>参数调整!$K$39*怪物掉落配置方案!$D4683</f>
        <v>9.1936877628441115E-3</v>
      </c>
    </row>
    <row r="8788" spans="1:4" ht="16.5" hidden="1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313">
        <f>参数调整!$K$39*怪物掉落配置方案!$D4684</f>
        <v>1.1350231805980384E-2</v>
      </c>
    </row>
    <row r="8789" spans="1:4" ht="16.5" hidden="1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313">
        <f>参数调整!$K$39*怪物掉落配置方案!$D4685</f>
        <v>1.3733780485236265E-2</v>
      </c>
    </row>
    <row r="8790" spans="1:4" ht="16.5" hidden="1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313">
        <f>参数调整!$K$39*怪物掉落配置方案!$D4686</f>
        <v>1.773473719684435E-2</v>
      </c>
    </row>
    <row r="8791" spans="1:4" ht="16.5" hidden="1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313">
        <f>参数调整!$K$39*怪物掉落配置方案!$D4687</f>
        <v>2.5538021563455859E-2</v>
      </c>
    </row>
    <row r="8792" spans="1:4" ht="16.5" hidden="1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313">
        <f>参数调整!$K$39*怪物掉落配置方案!$D4688</f>
        <v>3.4760084905814927E-2</v>
      </c>
    </row>
    <row r="8793" spans="1:4" ht="16.5" hidden="1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313">
        <f>参数调整!$K$39*怪物掉落配置方案!$D4689</f>
        <v>3.8846168355967867E-2</v>
      </c>
    </row>
    <row r="8794" spans="1:4" ht="16.5" hidden="1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313">
        <f>参数调整!$K$39*怪物掉落配置方案!$D4690</f>
        <v>4.5400927223921535E-2</v>
      </c>
    </row>
    <row r="8795" spans="1:4" ht="16.5" hidden="1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313">
        <f>参数调整!$K$39*怪物掉落配置方案!$D4691</f>
        <v>5.2466446523144319E-2</v>
      </c>
    </row>
    <row r="8796" spans="1:4" ht="16.5" hidden="1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313">
        <f>参数调整!$K$39*怪物掉落配置方案!$D4692</f>
        <v>6.0042726253636221E-2</v>
      </c>
    </row>
    <row r="8797" spans="1:4" ht="16.5" hidden="1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313">
        <f>参数调整!$K$39*怪物掉落配置方案!$D4693</f>
        <v>6.8129766415397267E-2</v>
      </c>
    </row>
    <row r="8798" spans="1:4" ht="16.5" hidden="1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313">
        <f>参数调整!$K$39*怪物掉落配置方案!$D4694</f>
        <v>7.672756700842738E-2</v>
      </c>
    </row>
    <row r="8799" spans="1:4" ht="16.5" hidden="1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313">
        <f>参数调整!$K$39*怪物掉落配置方案!$D4695</f>
        <v>8.5836128032726666E-2</v>
      </c>
    </row>
    <row r="8800" spans="1:4" ht="16.5" hidden="1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313">
        <f>参数调整!$K$39*怪物掉落配置方案!$D4696</f>
        <v>9.5455449488295013E-2</v>
      </c>
    </row>
    <row r="8801" spans="1:4" ht="16.5" hidden="1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313">
        <f>参数调整!$K$39*怪物掉落配置方案!$D4697</f>
        <v>0.10558553137513249</v>
      </c>
    </row>
    <row r="8802" spans="1:4" ht="16.5" hidden="1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313">
        <f>参数调整!$K$39*怪物掉落配置方案!$D4698</f>
        <v>0.11622637369323914</v>
      </c>
    </row>
    <row r="8803" spans="1:4" ht="16.5" hidden="1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313">
        <f>参数调整!$K$39*怪物掉落配置方案!$D4699</f>
        <v>0.12737797644261487</v>
      </c>
    </row>
    <row r="8804" spans="1:4" ht="16.5" hidden="1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313">
        <f>参数调整!$K$39*怪物掉落配置方案!$D4700</f>
        <v>0.13904033962325971</v>
      </c>
    </row>
    <row r="8805" spans="1:4" ht="16.5" hidden="1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313">
        <f>参数调整!$K$39*怪物掉落配置方案!$D4701</f>
        <v>1.0377022511825018E-2</v>
      </c>
    </row>
    <row r="8806" spans="1:4" ht="16.5" hidden="1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313">
        <f>参数调整!$K$39*怪物掉落配置方案!$D4702</f>
        <v>1.3133419116528539E-2</v>
      </c>
    </row>
    <row r="8807" spans="1:4" ht="16.5" hidden="1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313">
        <f>参数调整!$K$39*怪物掉落配置方案!$D4703</f>
        <v>1.6214097674726587E-2</v>
      </c>
    </row>
    <row r="8808" spans="1:4" ht="16.5" hidden="1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313">
        <f>参数调整!$K$39*怪物掉落配置方案!$D4704</f>
        <v>1.9619058186419173E-2</v>
      </c>
    </row>
    <row r="8809" spans="1:4" ht="16.5" hidden="1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313">
        <f>参数调整!$K$39*怪物掉落配置方案!$D4705</f>
        <v>2.3348300651606278E-2</v>
      </c>
    </row>
    <row r="8810" spans="1:4" ht="16.5" hidden="1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313">
        <f>参数调整!$K$39*怪物掉落配置方案!$D4706</f>
        <v>2.7401825070287936E-2</v>
      </c>
    </row>
    <row r="8811" spans="1:4" ht="16.5" hidden="1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313">
        <f>参数调整!$K$39*怪物掉落配置方案!$D4707</f>
        <v>3.1779631442464103E-2</v>
      </c>
    </row>
    <row r="8812" spans="1:4" ht="16.5" hidden="1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313">
        <f>参数调整!$K$39*怪物掉落配置方案!$D4708</f>
        <v>3.6481719768134815E-2</v>
      </c>
    </row>
    <row r="8813" spans="1:4" ht="16.5" hidden="1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313">
        <f>参数调整!$K$39*怪物掉落配置方案!$D4709</f>
        <v>4.1508090047300071E-2</v>
      </c>
    </row>
    <row r="8814" spans="1:4" ht="16.5" hidden="1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313">
        <f>参数调整!$K$39*怪物掉落配置方案!$D4710</f>
        <v>5.2533676466114149E-2</v>
      </c>
    </row>
    <row r="8815" spans="1:4" ht="16.5" hidden="1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313">
        <f>参数调整!$K$39*怪物掉落配置方案!$D4711</f>
        <v>6.4856390698906335E-2</v>
      </c>
    </row>
    <row r="8816" spans="1:4" ht="16.5" hidden="1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313">
        <f>参数调整!$K$39*怪物掉落配置方案!$D4712</f>
        <v>7.8476232745676694E-2</v>
      </c>
    </row>
    <row r="8817" spans="1:4" ht="16.5" hidden="1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313">
        <f>参数调整!$K$39*怪物掉落配置方案!$D4713</f>
        <v>0.10133811046704116</v>
      </c>
    </row>
    <row r="8818" spans="1:4" ht="16.5" hidden="1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313">
        <f>参数调整!$K$39*怪物掉落配置方案!$D4714</f>
        <v>0.14592687907253926</v>
      </c>
    </row>
    <row r="8819" spans="1:4" ht="16.5" hidden="1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313">
        <f>参数调整!$K$39*怪物掉落配置方案!$D4715</f>
        <v>0.19862269651540065</v>
      </c>
    </row>
    <row r="8820" spans="1:4" ht="16.5" hidden="1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313">
        <f>参数调整!$K$39*怪物掉落配置方案!$D4716</f>
        <v>0.22197099716700699</v>
      </c>
    </row>
    <row r="8821" spans="1:4" ht="16.5" hidden="1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313">
        <f>参数调整!$K$39*怪物掉落配置方案!$D4717</f>
        <v>0.25942556279562534</v>
      </c>
    </row>
    <row r="8822" spans="1:4" ht="16.5" hidden="1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313">
        <f>参数调整!$K$39*怪物掉落配置方案!$D4718</f>
        <v>0.29979866600569455</v>
      </c>
    </row>
    <row r="8823" spans="1:4" ht="16.5" hidden="1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313">
        <f>参数调整!$K$39*怪物掉落配置方案!$D4719</f>
        <v>0.34309030679721453</v>
      </c>
    </row>
    <row r="8824" spans="1:4" ht="16.5" hidden="1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313">
        <f>参数调整!$K$39*怪物掉落配置方案!$D4720</f>
        <v>0.3893004851701854</v>
      </c>
    </row>
    <row r="8825" spans="1:4" ht="16.5" hidden="1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313">
        <f>参数调整!$K$39*怪物掉落配置方案!$D4721</f>
        <v>0.43842920112460687</v>
      </c>
    </row>
    <row r="8826" spans="1:4" ht="16.5" hidden="1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313">
        <f>参数调整!$K$39*怪物掉落配置方案!$D4722</f>
        <v>0.49047645466047929</v>
      </c>
    </row>
    <row r="8827" spans="1:4" ht="16.5" hidden="1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313">
        <f>参数调整!$K$39*怪物掉落配置方案!$D4723</f>
        <v>0.54544224577780231</v>
      </c>
    </row>
    <row r="8828" spans="1:4" ht="16.5" hidden="1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313">
        <f>参数调整!$K$39*怪物掉落配置方案!$D4724</f>
        <v>0.60332657447657623</v>
      </c>
    </row>
    <row r="8829" spans="1:4" ht="16.5" hidden="1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313">
        <f>参数调整!$K$39*怪物掉落配置方案!$D4725</f>
        <v>0.66412944075680103</v>
      </c>
    </row>
    <row r="8830" spans="1:4" ht="16.5" hidden="1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313">
        <f>参数调整!$K$39*怪物掉落配置方案!$D4726</f>
        <v>0.72785084461847649</v>
      </c>
    </row>
    <row r="8831" spans="1:4" ht="16.5" hidden="1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313">
        <f>参数调整!$K$39*怪物掉落配置方案!$D4727</f>
        <v>0.79449078606160273</v>
      </c>
    </row>
    <row r="8832" spans="1:4" ht="16.5" hidden="1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313">
        <f>参数调整!$K$39*怪物掉落配置方案!$D4728</f>
        <v>1.2996988270771247E-5</v>
      </c>
    </row>
    <row r="8833" spans="1:4" ht="16.5" hidden="1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313">
        <f>参数调整!$K$39*怪物掉落配置方案!$D4729</f>
        <v>1.6449313280194861E-5</v>
      </c>
    </row>
    <row r="8834" spans="1:4" ht="16.5" hidden="1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313">
        <f>参数调整!$K$39*怪物掉落配置方案!$D4730</f>
        <v>2.0307794173080072E-5</v>
      </c>
    </row>
    <row r="8835" spans="1:4" ht="16.5" hidden="1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313">
        <f>参数调整!$K$39*怪物掉落配置方案!$D4731</f>
        <v>2.4572430949426888E-5</v>
      </c>
    </row>
    <row r="8836" spans="1:4" ht="16.5" hidden="1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313">
        <f>参数调整!$K$39*怪物掉落配置方案!$D4732</f>
        <v>2.9243223609235299E-5</v>
      </c>
    </row>
    <row r="8837" spans="1:4" ht="16.5" hidden="1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313">
        <f>参数调整!$K$39*怪物掉落配置方案!$D4733</f>
        <v>3.4320172152505328E-5</v>
      </c>
    </row>
    <row r="8838" spans="1:4" ht="16.5" hidden="1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313">
        <f>参数调整!$K$39*怪物掉落配置方案!$D4734</f>
        <v>3.9803276579236935E-5</v>
      </c>
    </row>
    <row r="8839" spans="1:4" ht="16.5" hidden="1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313">
        <f>参数调整!$K$39*怪物掉落配置方案!$D4735</f>
        <v>4.569253688943016E-5</v>
      </c>
    </row>
    <row r="8840" spans="1:4" ht="16.5" hidden="1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313">
        <f>参数调整!$K$39*怪物掉落配置方案!$D4736</f>
        <v>5.198795308308499E-5</v>
      </c>
    </row>
    <row r="8841" spans="1:4" ht="16.5" hidden="1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313">
        <f>参数调整!$K$39*怪物掉落配置方案!$D4737</f>
        <v>6.5797253120779444E-5</v>
      </c>
    </row>
    <row r="8842" spans="1:4" ht="16.5" hidden="1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313">
        <f>参数调整!$K$39*怪物掉落配置方案!$D4738</f>
        <v>8.1231176692320289E-5</v>
      </c>
    </row>
    <row r="8843" spans="1:4" ht="16.5" hidden="1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313">
        <f>参数调整!$K$39*怪物掉落配置方案!$D4739</f>
        <v>9.8289723797707554E-5</v>
      </c>
    </row>
    <row r="8844" spans="1:4" ht="16.5" hidden="1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313">
        <f>参数调整!$K$39*怪物掉落配置方案!$D4740</f>
        <v>1.2692371358175044E-4</v>
      </c>
    </row>
    <row r="8845" spans="1:4" ht="16.5" hidden="1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313">
        <f>参数调整!$K$39*怪物掉落配置方案!$D4741</f>
        <v>1.8277014755772061E-4</v>
      </c>
    </row>
    <row r="8846" spans="1:4" ht="16.5" hidden="1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313">
        <f>参数调整!$K$39*怪物掉落配置方案!$D4742</f>
        <v>2.4877047862023079E-4</v>
      </c>
    </row>
    <row r="8847" spans="1:4" ht="16.5" hidden="1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313">
        <f>参数调整!$K$39*怪物掉落配置方案!$D4743</f>
        <v>2.7801370222946622E-4</v>
      </c>
    </row>
    <row r="8848" spans="1:4" ht="16.5" hidden="1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313">
        <f>参数调整!$K$39*怪物掉落配置方案!$D4744</f>
        <v>3.2492470676928116E-4</v>
      </c>
    </row>
    <row r="8849" spans="1:4" ht="16.5" hidden="1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313">
        <f>参数调整!$K$39*怪物掉落配置方案!$D4745</f>
        <v>3.754911142602505E-4</v>
      </c>
    </row>
    <row r="8850" spans="1:4" ht="16.5" hidden="1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313">
        <f>参数调整!$K$39*怪物掉落配置方案!$D4746</f>
        <v>4.2971292470237425E-4</v>
      </c>
    </row>
    <row r="8851" spans="1:4" ht="16.5" hidden="1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313">
        <f>参数调整!$K$39*怪物掉落配置方案!$D4747</f>
        <v>4.8759013809565263E-4</v>
      </c>
    </row>
    <row r="8852" spans="1:4" ht="16.5" hidden="1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313">
        <f>参数调整!$K$39*怪物掉落配置方案!$D4748</f>
        <v>5.4912275444008514E-4</v>
      </c>
    </row>
    <row r="8853" spans="1:4" ht="16.5" hidden="1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313">
        <f>参数调整!$K$39*怪物掉落配置方案!$D4749</f>
        <v>6.1431077373567218E-4</v>
      </c>
    </row>
    <row r="8854" spans="1:4" ht="16.5" hidden="1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313">
        <f>参数调整!$K$39*怪物掉落配置方案!$D4750</f>
        <v>6.8315419598241351E-4</v>
      </c>
    </row>
    <row r="8855" spans="1:4" ht="16.5" hidden="1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313">
        <f>参数调整!$K$39*怪物掉落配置方案!$D4751</f>
        <v>7.5565302118030925E-4</v>
      </c>
    </row>
    <row r="8856" spans="1:4" ht="16.5" hidden="1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313">
        <f>参数调整!$K$39*怪物掉落配置方案!$D4752</f>
        <v>8.3180724932935984E-4</v>
      </c>
    </row>
    <row r="8857" spans="1:4" ht="16.5" hidden="1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313">
        <f>参数调整!$K$39*怪物掉落配置方案!$D4753</f>
        <v>9.1161688042956429E-4</v>
      </c>
    </row>
    <row r="8858" spans="1:4" ht="16.5" hidden="1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313">
        <f>参数调整!$K$39*怪物掉落配置方案!$D4754</f>
        <v>9.9508191448092359E-4</v>
      </c>
    </row>
    <row r="8859" spans="1:4" ht="16.5" hidden="1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313">
        <f>参数调整!$K$39*怪物掉落配置方案!$D4755</f>
        <v>2.3648429154063825E-3</v>
      </c>
    </row>
    <row r="8860" spans="1:4" ht="16.5" hidden="1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313">
        <f>参数调整!$K$39*怪物掉落配置方案!$D4756</f>
        <v>2.9930043148112023E-3</v>
      </c>
    </row>
    <row r="8861" spans="1:4" ht="16.5" hidden="1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313">
        <f>参数调整!$K$39*怪物掉落配置方案!$D4757</f>
        <v>3.6950670553224717E-3</v>
      </c>
    </row>
    <row r="8862" spans="1:4" ht="16.5" hidden="1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313">
        <f>参数调整!$K$39*怪物掉落配置方案!$D4758</f>
        <v>4.4710311369401913E-3</v>
      </c>
    </row>
    <row r="8863" spans="1:4" ht="16.5" hidden="1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313">
        <f>参数调整!$K$39*怪物掉落配置方案!$D4759</f>
        <v>5.3208965596643586E-3</v>
      </c>
    </row>
    <row r="8864" spans="1:4" ht="16.5" hidden="1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313">
        <f>参数调整!$K$39*怪物掉落配置方案!$D4760</f>
        <v>6.2446633234949783E-3</v>
      </c>
    </row>
    <row r="8865" spans="1:4" ht="16.5" hidden="1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313">
        <f>参数调整!$K$39*怪物掉落配置方案!$D4761</f>
        <v>7.2423314284320427E-3</v>
      </c>
    </row>
    <row r="8866" spans="1:4" ht="16.5" hidden="1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313">
        <f>参数调整!$K$39*怪物掉落配置方案!$D4762</f>
        <v>8.3139008744755622E-3</v>
      </c>
    </row>
    <row r="8867" spans="1:4" ht="16.5" hidden="1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313">
        <f>参数调整!$K$39*怪物掉落配置方案!$D4763</f>
        <v>9.4593716616255298E-3</v>
      </c>
    </row>
    <row r="8868" spans="1:4" ht="16.5" hidden="1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313">
        <f>参数调整!$K$39*怪物掉落配置方案!$D4764</f>
        <v>1.1972017259244809E-2</v>
      </c>
    </row>
    <row r="8869" spans="1:4" ht="16.5" hidden="1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313">
        <f>参数调整!$K$39*怪物掉落配置方案!$D4765</f>
        <v>1.4780268221289885E-2</v>
      </c>
    </row>
    <row r="8870" spans="1:4" ht="16.5" hidden="1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313">
        <f>参数调整!$K$39*怪物掉落配置方案!$D4766</f>
        <v>1.7884124547760765E-2</v>
      </c>
    </row>
    <row r="8871" spans="1:4" ht="16.5" hidden="1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313">
        <f>参数调整!$K$39*怪物掉落配置方案!$D4767</f>
        <v>2.3094169095765445E-2</v>
      </c>
    </row>
    <row r="8872" spans="1:4" ht="16.5" hidden="1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313">
        <f>参数调整!$K$39*怪物掉落配置方案!$D4768</f>
        <v>3.3255603497902242E-2</v>
      </c>
    </row>
    <row r="8873" spans="1:4" ht="16.5" hidden="1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313">
        <f>参数调整!$K$39*怪物掉落配置方案!$D4769</f>
        <v>4.5264571427700274E-2</v>
      </c>
    </row>
    <row r="8874" spans="1:4" ht="16.5" hidden="1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313">
        <f>参数调整!$K$39*怪物掉落配置方案!$D4770</f>
        <v>5.0585467987364643E-2</v>
      </c>
    </row>
    <row r="8875" spans="1:4" ht="16.5" hidden="1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313">
        <f>参数调整!$K$39*怪物掉落配置方案!$D4771</f>
        <v>5.912107288515954E-2</v>
      </c>
    </row>
    <row r="8876" spans="1:4" ht="16.5" hidden="1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313">
        <f>参数调整!$K$39*怪物掉落配置方案!$D4772</f>
        <v>6.8321789852912485E-2</v>
      </c>
    </row>
    <row r="8877" spans="1:4" ht="16.5" hidden="1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313">
        <f>参数调整!$K$39*怪物掉落配置方案!$D4773</f>
        <v>7.8187618890623492E-2</v>
      </c>
    </row>
    <row r="8878" spans="1:4" ht="16.5" hidden="1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313">
        <f>参数调整!$K$39*怪物掉落配置方案!$D4774</f>
        <v>8.8718559998292562E-2</v>
      </c>
    </row>
    <row r="8879" spans="1:4" ht="16.5" hidden="1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313">
        <f>参数调整!$K$39*怪物掉落配置方案!$D4775</f>
        <v>9.9914613175919639E-2</v>
      </c>
    </row>
    <row r="8880" spans="1:4" ht="16.5" hidden="1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313">
        <f>参数调整!$K$39*怪物掉落配置方案!$D4776</f>
        <v>0.11177577842350478</v>
      </c>
    </row>
    <row r="8881" spans="1:4" ht="16.5" hidden="1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313">
        <f>参数调整!$K$39*怪物掉落配置方案!$D4777</f>
        <v>0.12430205574104794</v>
      </c>
    </row>
    <row r="8882" spans="1:4" ht="16.5" hidden="1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313">
        <f>参数调整!$K$39*怪物掉落配置方案!$D4778</f>
        <v>0.13749344512854914</v>
      </c>
    </row>
    <row r="8883" spans="1:4" ht="16.5" hidden="1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313">
        <f>参数调整!$K$39*怪物掉落配置方案!$D4779</f>
        <v>0.15134994658600845</v>
      </c>
    </row>
    <row r="8884" spans="1:4" ht="16.5" hidden="1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313">
        <f>参数调整!$K$39*怪物掉落配置方案!$D4780</f>
        <v>0.16587156011342577</v>
      </c>
    </row>
    <row r="8885" spans="1:4" ht="16.5" hidden="1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313">
        <f>参数调整!$K$39*怪物掉落配置方案!$D4781</f>
        <v>0.18105828571080113</v>
      </c>
    </row>
    <row r="8886" spans="1:4" ht="16.5" hidden="1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313">
        <f>参数调整!$K$39*怪物掉落配置方案!$D4782</f>
        <v>2.3648429154063825E-3</v>
      </c>
    </row>
    <row r="8887" spans="1:4" ht="16.5" hidden="1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313">
        <f>参数调整!$K$39*怪物掉落配置方案!$D4783</f>
        <v>2.9930043148112023E-3</v>
      </c>
    </row>
    <row r="8888" spans="1:4" ht="16.5" hidden="1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313">
        <f>参数调整!$K$39*怪物掉落配置方案!$D4784</f>
        <v>3.6950670553224717E-3</v>
      </c>
    </row>
    <row r="8889" spans="1:4" ht="16.5" hidden="1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313">
        <f>参数调整!$K$39*怪物掉落配置方案!$D4785</f>
        <v>4.4710311369401913E-3</v>
      </c>
    </row>
    <row r="8890" spans="1:4" ht="16.5" hidden="1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313">
        <f>参数调整!$K$39*怪物掉落配置方案!$D4786</f>
        <v>5.3208965596643586E-3</v>
      </c>
    </row>
    <row r="8891" spans="1:4" ht="16.5" hidden="1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313">
        <f>参数调整!$K$39*怪物掉落配置方案!$D4787</f>
        <v>6.2446633234949783E-3</v>
      </c>
    </row>
    <row r="8892" spans="1:4" ht="16.5" hidden="1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313">
        <f>参数调整!$K$39*怪物掉落配置方案!$D4788</f>
        <v>7.2423314284320427E-3</v>
      </c>
    </row>
    <row r="8893" spans="1:4" ht="16.5" hidden="1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313">
        <f>参数调整!$K$39*怪物掉落配置方案!$D4789</f>
        <v>8.3139008744755622E-3</v>
      </c>
    </row>
    <row r="8894" spans="1:4" ht="16.5" hidden="1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313">
        <f>参数调整!$K$39*怪物掉落配置方案!$D4790</f>
        <v>9.4593716616255298E-3</v>
      </c>
    </row>
    <row r="8895" spans="1:4" ht="16.5" hidden="1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313">
        <f>参数调整!$K$39*怪物掉落配置方案!$D4791</f>
        <v>1.1972017259244809E-2</v>
      </c>
    </row>
    <row r="8896" spans="1:4" ht="16.5" hidden="1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313">
        <f>参数调整!$K$39*怪物掉落配置方案!$D4792</f>
        <v>1.4780268221289885E-2</v>
      </c>
    </row>
    <row r="8897" spans="1:4" ht="16.5" hidden="1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313">
        <f>参数调整!$K$39*怪物掉落配置方案!$D4793</f>
        <v>1.7884124547760765E-2</v>
      </c>
    </row>
    <row r="8898" spans="1:4" ht="16.5" hidden="1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313">
        <f>参数调整!$K$39*怪物掉落配置方案!$D4794</f>
        <v>2.3094169095765445E-2</v>
      </c>
    </row>
    <row r="8899" spans="1:4" ht="16.5" hidden="1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313">
        <f>参数调整!$K$39*怪物掉落配置方案!$D4795</f>
        <v>3.3255603497902242E-2</v>
      </c>
    </row>
    <row r="8900" spans="1:4" ht="16.5" hidden="1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313">
        <f>参数调整!$K$39*怪物掉落配置方案!$D4796</f>
        <v>4.5264571427700274E-2</v>
      </c>
    </row>
    <row r="8901" spans="1:4" ht="16.5" hidden="1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313">
        <f>参数调整!$K$39*怪物掉落配置方案!$D4797</f>
        <v>5.0585467987364643E-2</v>
      </c>
    </row>
    <row r="8902" spans="1:4" ht="16.5" hidden="1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313">
        <f>参数调整!$K$39*怪物掉落配置方案!$D4798</f>
        <v>5.912107288515954E-2</v>
      </c>
    </row>
    <row r="8903" spans="1:4" ht="16.5" hidden="1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313">
        <f>参数调整!$K$39*怪物掉落配置方案!$D4799</f>
        <v>6.8321789852912485E-2</v>
      </c>
    </row>
    <row r="8904" spans="1:4" ht="16.5" hidden="1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313">
        <f>参数调整!$K$39*怪物掉落配置方案!$D4800</f>
        <v>7.8187618890623492E-2</v>
      </c>
    </row>
    <row r="8905" spans="1:4" ht="16.5" hidden="1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313">
        <f>参数调整!$K$39*怪物掉落配置方案!$D4801</f>
        <v>8.8718559998292562E-2</v>
      </c>
    </row>
    <row r="8906" spans="1:4" ht="16.5" hidden="1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313">
        <f>参数调整!$K$39*怪物掉落配置方案!$D4802</f>
        <v>9.9914613175919639E-2</v>
      </c>
    </row>
    <row r="8907" spans="1:4" ht="16.5" hidden="1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313">
        <f>参数调整!$K$39*怪物掉落配置方案!$D4803</f>
        <v>0.11177577842350478</v>
      </c>
    </row>
    <row r="8908" spans="1:4" ht="16.5" hidden="1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313">
        <f>参数调整!$K$39*怪物掉落配置方案!$D4804</f>
        <v>0.12430205574104794</v>
      </c>
    </row>
    <row r="8909" spans="1:4" ht="16.5" hidden="1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313">
        <f>参数调整!$K$39*怪物掉落配置方案!$D4805</f>
        <v>0.13749344512854914</v>
      </c>
    </row>
    <row r="8910" spans="1:4" ht="16.5" hidden="1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313">
        <f>参数调整!$K$39*怪物掉落配置方案!$D4806</f>
        <v>0.15134994658600845</v>
      </c>
    </row>
    <row r="8911" spans="1:4" ht="16.5" hidden="1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313">
        <f>参数调整!$K$39*怪物掉落配置方案!$D4807</f>
        <v>0.16587156011342577</v>
      </c>
    </row>
    <row r="8912" spans="1:4" ht="16.5" hidden="1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313">
        <f>参数调整!$K$39*怪物掉落配置方案!$D4808</f>
        <v>0.18105828571080113</v>
      </c>
    </row>
    <row r="8913" spans="1:4" ht="16.5" hidden="1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313">
        <f>参数调整!$K$39*怪物掉落配置方案!$D4809</f>
        <v>6.0620442767754829E-2</v>
      </c>
    </row>
    <row r="8914" spans="1:4" ht="16.5" hidden="1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313">
        <f>参数调整!$K$39*怪物掉落配置方案!$D4810</f>
        <v>7.6722747877939715E-2</v>
      </c>
    </row>
    <row r="8915" spans="1:4" ht="16.5" hidden="1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313">
        <f>参数调整!$K$39*怪物掉落配置方案!$D4811</f>
        <v>9.4719441824616918E-2</v>
      </c>
    </row>
    <row r="8916" spans="1:4" ht="16.5" hidden="1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313">
        <f>参数调整!$K$39*怪物掉落配置方案!$D4812</f>
        <v>0.11461052460778648</v>
      </c>
    </row>
    <row r="8917" spans="1:4" ht="16.5" hidden="1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313">
        <f>参数调整!$K$39*怪物掉落配置方案!$D4813</f>
        <v>0.13639599622744833</v>
      </c>
    </row>
    <row r="8918" spans="1:4" ht="16.5" hidden="1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313">
        <f>参数调整!$K$39*怪物掉落配置方案!$D4814</f>
        <v>0.16007585668360258</v>
      </c>
    </row>
    <row r="8919" spans="1:4" ht="16.5" hidden="1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313">
        <f>参数调整!$K$39*怪物掉落配置方案!$D4815</f>
        <v>0.18565010597624912</v>
      </c>
    </row>
    <row r="8920" spans="1:4" ht="16.5" hidden="1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313">
        <f>参数调整!$K$39*怪物掉落配置方案!$D4816</f>
        <v>0.21311874410538806</v>
      </c>
    </row>
    <row r="8921" spans="1:4" ht="16.5" hidden="1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313">
        <f>参数调整!$K$39*怪物掉落配置方案!$D4817</f>
        <v>0.24248177107101934</v>
      </c>
    </row>
    <row r="8922" spans="1:4" ht="16.5" hidden="1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313">
        <f>参数调整!$K$39*怪物掉落配置方案!$D4818</f>
        <v>0.30689099151175886</v>
      </c>
    </row>
    <row r="8923" spans="1:4" ht="16.5" hidden="1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313">
        <f>参数调整!$K$39*怪物掉落配置方案!$D4819</f>
        <v>0.37887776729846762</v>
      </c>
    </row>
    <row r="8924" spans="1:4" ht="16.5" hidden="1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313">
        <f>参数调整!$K$39*怪物掉落配置方案!$D4820</f>
        <v>0.45844209843114592</v>
      </c>
    </row>
    <row r="8925" spans="1:4" ht="16.5" hidden="1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313">
        <f>参数调整!$K$39*怪物掉落配置方案!$D4821</f>
        <v>0.59199651140385567</v>
      </c>
    </row>
    <row r="8926" spans="1:4" ht="16.5" hidden="1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313">
        <f>参数调整!$K$39*怪物掉落配置方案!$D4822</f>
        <v>0.85247497642155201</v>
      </c>
    </row>
    <row r="8927" spans="1:4" ht="16.5" hidden="1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313">
        <f>参数调整!$K$39*怪物掉落配置方案!$D4823</f>
        <v>1.160313162351557</v>
      </c>
    </row>
    <row r="8928" spans="1:4" ht="16.5" hidden="1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313">
        <f>参数调整!$K$39*怪物掉落配置方案!$D4824</f>
        <v>1.2967091585790056</v>
      </c>
    </row>
    <row r="8929" spans="1:4" ht="16.5" hidden="1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313">
        <f>参数调整!$K$39*怪物掉落配置方案!$D4825</f>
        <v>1.5155110691938705</v>
      </c>
    </row>
    <row r="8930" spans="1:4" ht="16.5" hidden="1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313">
        <f>参数调整!$K$39*怪物掉落配置方案!$D4826</f>
        <v>1.7513624793371663</v>
      </c>
    </row>
    <row r="8931" spans="1:4" ht="16.5" hidden="1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313">
        <f>参数调整!$K$39*怪物掉落配置方案!$D4827</f>
        <v>2.0042633890088934</v>
      </c>
    </row>
    <row r="8932" spans="1:4" ht="16.5" hidden="1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313">
        <f>参数调整!$K$39*怪物掉落配置方案!$D4828</f>
        <v>2.2742137982090522</v>
      </c>
    </row>
    <row r="8933" spans="1:4" ht="16.5" hidden="1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313">
        <f>参数调整!$K$39*怪物掉落配置方案!$D4829</f>
        <v>2.5612137069376413</v>
      </c>
    </row>
    <row r="8934" spans="1:4" ht="16.5" hidden="1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313">
        <f>参数调整!$K$39*怪物掉落配置方案!$D4830</f>
        <v>2.8652631151946624</v>
      </c>
    </row>
    <row r="8935" spans="1:4" ht="16.5" hidden="1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313">
        <f>参数调整!$K$39*怪物掉落配置方案!$D4831</f>
        <v>3.1863620229801128</v>
      </c>
    </row>
    <row r="8936" spans="1:4" ht="16.5" hidden="1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313">
        <f>参数调整!$K$39*怪物掉落配置方案!$D4832</f>
        <v>3.5245104302939949</v>
      </c>
    </row>
    <row r="8937" spans="1:4" ht="16.5" hidden="1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313">
        <f>参数调整!$K$39*怪物掉落配置方案!$D4833</f>
        <v>3.879708337136309</v>
      </c>
    </row>
    <row r="8938" spans="1:4" ht="16.5" hidden="1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313">
        <f>参数调整!$K$39*怪物掉落配置方案!$D4834</f>
        <v>4.2519557435070539</v>
      </c>
    </row>
    <row r="8939" spans="1:4" ht="16.5" hidden="1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313">
        <f>参数调整!$K$39*怪物掉落配置方案!$D4835</f>
        <v>4.6412526494062289</v>
      </c>
    </row>
    <row r="8940" spans="1:4" ht="16.5" hidden="1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313">
        <f>参数调整!$K$39*怪物掉落配置方案!$D4836</f>
        <v>3.5741717744620927E-4</v>
      </c>
    </row>
    <row r="8941" spans="1:4" ht="16.5" hidden="1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313">
        <f>参数调整!$K$39*怪物掉落配置方案!$D4837</f>
        <v>4.5235611520535871E-4</v>
      </c>
    </row>
    <row r="8942" spans="1:4" ht="16.5" hidden="1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313">
        <f>参数调整!$K$39*怪物掉落配置方案!$D4838</f>
        <v>5.5846433975970198E-4</v>
      </c>
    </row>
    <row r="8943" spans="1:4" ht="16.5" hidden="1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313">
        <f>参数调整!$K$39*怪物掉落配置方案!$D4839</f>
        <v>6.757418511092395E-4</v>
      </c>
    </row>
    <row r="8944" spans="1:4" ht="16.5" hidden="1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313">
        <f>参数调整!$K$39*怪物掉落配置方案!$D4840</f>
        <v>8.0418864925397052E-4</v>
      </c>
    </row>
    <row r="8945" spans="1:4" ht="16.5" hidden="1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313">
        <f>参数调整!$K$39*怪物掉落配置方案!$D4841</f>
        <v>9.4380473419389634E-4</v>
      </c>
    </row>
    <row r="8946" spans="1:4" ht="16.5" hidden="1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313">
        <f>参数调整!$K$39*怪物掉落配置方案!$D4842</f>
        <v>1.0945901059290157E-3</v>
      </c>
    </row>
    <row r="8947" spans="1:4" ht="16.5" hidden="1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313">
        <f>参数调整!$K$39*怪物掉落配置方案!$D4843</f>
        <v>1.2565447644593295E-3</v>
      </c>
    </row>
    <row r="8948" spans="1:4" ht="16.5" hidden="1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313">
        <f>参数调整!$K$39*怪物掉落配置方案!$D4844</f>
        <v>1.4296687097848371E-3</v>
      </c>
    </row>
    <row r="8949" spans="1:4" ht="16.5" hidden="1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313">
        <f>参数调整!$K$39*怪物掉落配置方案!$D4845</f>
        <v>1.8094244608214344E-3</v>
      </c>
    </row>
    <row r="8950" spans="1:4" ht="16.5" hidden="1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313">
        <f>参数调整!$K$39*怪物掉落配置方案!$D4846</f>
        <v>2.2338573590388075E-3</v>
      </c>
    </row>
    <row r="8951" spans="1:4" ht="16.5" hidden="1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313">
        <f>参数调整!$K$39*怪物掉落配置方案!$D4847</f>
        <v>2.7029674044369571E-3</v>
      </c>
    </row>
    <row r="8952" spans="1:4" ht="16.5" hidden="1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313">
        <f>参数调整!$K$39*怪物掉落配置方案!$D4848</f>
        <v>3.4904021234981367E-3</v>
      </c>
    </row>
    <row r="8953" spans="1:4" ht="16.5" hidden="1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313">
        <f>参数调整!$K$39*怪物掉落配置方案!$D4849</f>
        <v>5.0261790578373169E-3</v>
      </c>
    </row>
    <row r="8954" spans="1:4" ht="16.5" hidden="1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313">
        <f>参数调整!$K$39*怪物掉落配置方案!$D4850</f>
        <v>6.8411881620563473E-3</v>
      </c>
    </row>
    <row r="8955" spans="1:4" ht="16.5" hidden="1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313">
        <f>参数调整!$K$39*怪物掉落配置方案!$D4851</f>
        <v>7.6453768113103207E-3</v>
      </c>
    </row>
    <row r="8956" spans="1:4" ht="16.5" hidden="1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313">
        <f>参数调整!$K$39*怪物掉落配置方案!$D4852</f>
        <v>8.9354294361552299E-3</v>
      </c>
    </row>
    <row r="8957" spans="1:4" ht="16.5" hidden="1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313">
        <f>参数调整!$K$39*怪物掉落配置方案!$D4853</f>
        <v>1.0326005642156888E-2</v>
      </c>
    </row>
    <row r="8958" spans="1:4" ht="16.5" hidden="1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313">
        <f>参数调整!$K$39*怪物掉落配置方案!$D4854</f>
        <v>1.1817105429315293E-2</v>
      </c>
    </row>
    <row r="8959" spans="1:4" ht="16.5" hidden="1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313">
        <f>参数调整!$K$39*怪物掉落配置方案!$D4855</f>
        <v>1.3408728797630446E-2</v>
      </c>
    </row>
    <row r="8960" spans="1:4" ht="16.5" hidden="1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313">
        <f>参数调整!$K$39*怪物掉落配置方案!$D4856</f>
        <v>1.510087574710234E-2</v>
      </c>
    </row>
    <row r="8961" spans="1:4" ht="16.5" hidden="1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313">
        <f>参数调整!$K$39*怪物掉落配置方案!$D4857</f>
        <v>1.6893546277730983E-2</v>
      </c>
    </row>
    <row r="8962" spans="1:4" ht="16.5" hidden="1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313">
        <f>参数调整!$K$39*怪物掉落配置方案!$D4858</f>
        <v>1.878674038951637E-2</v>
      </c>
    </row>
    <row r="8963" spans="1:4" ht="16.5" hidden="1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313">
        <f>参数调整!$K$39*怪物掉落配置方案!$D4859</f>
        <v>2.0780458082458503E-2</v>
      </c>
    </row>
    <row r="8964" spans="1:4" ht="16.5" hidden="1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313">
        <f>参数调整!$K$39*怪物掉落配置方案!$D4860</f>
        <v>2.2874699356557393E-2</v>
      </c>
    </row>
    <row r="8965" spans="1:4" ht="16.5" hidden="1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313">
        <f>参数调整!$K$39*怪物掉落配置方案!$D4861</f>
        <v>2.5069464211813018E-2</v>
      </c>
    </row>
    <row r="8966" spans="1:4" ht="16.5" hidden="1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313">
        <f>参数调整!$K$39*怪物掉落配置方案!$D4862</f>
        <v>2.7364752648225396E-2</v>
      </c>
    </row>
    <row r="8967" spans="1:4" ht="16.5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313">
        <f>参数调整!$K$39*怪物掉落配置方案!$D4863</f>
        <v>6668</v>
      </c>
    </row>
    <row r="8968" spans="1:4" ht="16.5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313">
        <f>参数调整!$K$39*怪物掉落配置方案!$D4864</f>
        <v>10648</v>
      </c>
    </row>
    <row r="8969" spans="1:4" ht="16.5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313">
        <f>参数调整!$K$39*怪物掉落配置方案!$D4865</f>
        <v>17332</v>
      </c>
    </row>
    <row r="8970" spans="1:4" ht="16.5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313">
        <f>参数调整!$K$39*怪物掉落配置方案!$D4866</f>
        <v>21668</v>
      </c>
    </row>
    <row r="8971" spans="1:4" ht="16.5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313">
        <f>参数调整!$K$39*怪物掉落配置方案!$D4867</f>
        <v>21776</v>
      </c>
    </row>
    <row r="8972" spans="1:4" ht="16.5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313">
        <f>参数调整!$K$39*怪物掉落配置方案!$D4868</f>
        <v>22296</v>
      </c>
    </row>
    <row r="8973" spans="1:4" ht="16.5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313">
        <f>参数调整!$K$39*怪物掉落配置方案!$D4869</f>
        <v>25164</v>
      </c>
    </row>
    <row r="8974" spans="1:4" ht="16.5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313">
        <f>参数调整!$K$39*怪物掉落配置方案!$D4870</f>
        <v>40324</v>
      </c>
    </row>
    <row r="8975" spans="1:4" ht="16.5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313">
        <f>参数调整!$K$39*怪物掉落配置方案!$D4871</f>
        <v>69340</v>
      </c>
    </row>
    <row r="8976" spans="1:4" ht="16.5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313">
        <f>参数调整!$K$39*怪物掉落配置方案!$D4872</f>
        <v>81588</v>
      </c>
    </row>
    <row r="8977" spans="1:4" ht="16.5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313">
        <f>参数调整!$K$39*怪物掉落配置方案!$D4873</f>
        <v>126000</v>
      </c>
    </row>
    <row r="8978" spans="1:4" ht="16.5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313">
        <f>参数调整!$K$39*怪物掉落配置方案!$D4874</f>
        <v>130224</v>
      </c>
    </row>
    <row r="8979" spans="1:4" ht="16.5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313">
        <f>参数调整!$K$39*怪物掉落配置方案!$D4875</f>
        <v>519256</v>
      </c>
    </row>
    <row r="8980" spans="1:4" ht="16.5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313">
        <f>参数调整!$K$39*怪物掉落配置方案!$D4876</f>
        <v>1777668</v>
      </c>
    </row>
    <row r="8981" spans="1:4" ht="16.5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313">
        <f>参数调整!$K$39*怪物掉落配置方案!$D4877</f>
        <v>21473556</v>
      </c>
    </row>
    <row r="8982" spans="1:4" ht="16.5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313">
        <f>参数调整!$K$39*怪物掉落配置方案!$D4878</f>
        <v>19525868</v>
      </c>
    </row>
    <row r="8983" spans="1:4" ht="16.5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313">
        <f>参数调整!$K$39*怪物掉落配置方案!$D4879</f>
        <v>23333332</v>
      </c>
    </row>
    <row r="8984" spans="1:4" ht="16.5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313">
        <f>参数调整!$K$39*怪物掉落配置方案!$D4880</f>
        <v>4666668</v>
      </c>
    </row>
    <row r="8985" spans="1:4" ht="16.5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313">
        <f>参数调整!$K$39*怪物掉落配置方案!$D4881</f>
        <v>4666668</v>
      </c>
    </row>
    <row r="8986" spans="1:4" ht="16.5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313">
        <f>参数调整!$K$39*怪物掉落配置方案!$D4882</f>
        <v>4666668</v>
      </c>
    </row>
    <row r="8987" spans="1:4" ht="16.5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313">
        <f>参数调整!$K$39*怪物掉落配置方案!$D4883</f>
        <v>4666668</v>
      </c>
    </row>
    <row r="8988" spans="1:4" ht="16.5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313">
        <f>参数调整!$K$39*怪物掉落配置方案!$D4884</f>
        <v>4666668</v>
      </c>
    </row>
    <row r="8989" spans="1:4" ht="16.5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313">
        <f>参数调整!$K$39*怪物掉落配置方案!$D4885</f>
        <v>2333332</v>
      </c>
    </row>
    <row r="8990" spans="1:4" ht="16.5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313">
        <f>参数调整!$K$39*怪物掉落配置方案!$D4886</f>
        <v>2333332</v>
      </c>
    </row>
    <row r="8991" spans="1:4" ht="16.5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313">
        <f>参数调整!$K$39*怪物掉落配置方案!$D4887</f>
        <v>2333332</v>
      </c>
    </row>
    <row r="8992" spans="1:4" ht="16.5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313">
        <f>参数调整!$K$39*怪物掉落配置方案!$D4888</f>
        <v>2333332</v>
      </c>
    </row>
    <row r="8993" spans="1:4" ht="16.5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313">
        <f>参数调整!$K$39*怪物掉落配置方案!$D4889</f>
        <v>2333332</v>
      </c>
    </row>
    <row r="8994" spans="1:4" ht="16.5" hidden="1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313">
        <f>参数调整!$K$39*怪物掉落配置方案!$D4890</f>
        <v>2.0754045023650032E-3</v>
      </c>
    </row>
    <row r="8995" spans="1:4" ht="16.5" hidden="1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313">
        <f>参数调整!$K$39*怪物掉落配置方案!$D4891</f>
        <v>2.6266838233057078E-3</v>
      </c>
    </row>
    <row r="8996" spans="1:4" ht="16.5" hidden="1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313">
        <f>参数调整!$K$39*怪物掉落配置方案!$D4892</f>
        <v>3.2428195349453173E-3</v>
      </c>
    </row>
    <row r="8997" spans="1:4" ht="16.5" hidden="1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313">
        <f>参数调整!$K$39*怪物掉落配置方案!$D4893</f>
        <v>3.9238116372838343E-3</v>
      </c>
    </row>
    <row r="8998" spans="1:4" ht="16.5" hidden="1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313">
        <f>参数调整!$K$39*怪物掉落配置方案!$D4894</f>
        <v>4.6696601303212563E-3</v>
      </c>
    </row>
    <row r="8999" spans="1:4" ht="16.5" hidden="1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313">
        <f>参数调整!$K$39*怪物掉落配置方案!$D4895</f>
        <v>5.4803650140575876E-3</v>
      </c>
    </row>
    <row r="9000" spans="1:4" ht="16.5" hidden="1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313">
        <f>参数调整!$K$39*怪物掉落配置方案!$D4896</f>
        <v>6.3559262884928212E-3</v>
      </c>
    </row>
    <row r="9001" spans="1:4" ht="16.5" hidden="1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313">
        <f>参数调整!$K$39*怪物掉落配置方案!$D4897</f>
        <v>7.2963439536269641E-3</v>
      </c>
    </row>
    <row r="9002" spans="1:4" ht="16.5" hidden="1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313">
        <f>参数调整!$K$39*怪物掉落配置方案!$D4898</f>
        <v>8.3016180094600146E-3</v>
      </c>
    </row>
    <row r="9003" spans="1:4" ht="16.5" hidden="1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313">
        <f>参数调整!$K$39*怪物掉落配置方案!$D4899</f>
        <v>1.0506735293222829E-2</v>
      </c>
    </row>
    <row r="9004" spans="1:4" ht="16.5" hidden="1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313">
        <f>参数调整!$K$39*怪物掉落配置方案!$D4900</f>
        <v>1.2971278139781269E-2</v>
      </c>
    </row>
    <row r="9005" spans="1:4" ht="16.5" hidden="1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313">
        <f>参数调整!$K$39*怪物掉落配置方案!$D4901</f>
        <v>1.5695246549135337E-2</v>
      </c>
    </row>
    <row r="9006" spans="1:4" ht="16.5" hidden="1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313">
        <f>参数调整!$K$39*怪物掉落配置方案!$D4902</f>
        <v>2.0267622093408235E-2</v>
      </c>
    </row>
    <row r="9007" spans="1:4" ht="16.5" hidden="1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313">
        <f>参数调整!$K$39*怪物掉落配置方案!$D4903</f>
        <v>2.918537581450785E-2</v>
      </c>
    </row>
    <row r="9008" spans="1:4" ht="16.5" hidden="1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313">
        <f>参数调整!$K$39*怪物掉落配置方案!$D4904</f>
        <v>3.9724539303080134E-2</v>
      </c>
    </row>
    <row r="9009" spans="1:4" ht="16.5" hidden="1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313">
        <f>参数调整!$K$39*怪物掉落配置方案!$D4905</f>
        <v>4.43941994334014E-2</v>
      </c>
    </row>
    <row r="9010" spans="1:4" ht="16.5" hidden="1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313">
        <f>参数调整!$K$39*怪物掉落配置方案!$D4906</f>
        <v>5.1885112559125077E-2</v>
      </c>
    </row>
    <row r="9011" spans="1:4" ht="16.5" hidden="1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313">
        <f>参数调整!$K$39*怪物掉落配置方案!$D4907</f>
        <v>5.9959733201138912E-2</v>
      </c>
    </row>
    <row r="9012" spans="1:4" ht="16.5" hidden="1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313">
        <f>参数调整!$K$39*怪物掉落配置方案!$D4908</f>
        <v>6.8618061359442914E-2</v>
      </c>
    </row>
    <row r="9013" spans="1:4" ht="16.5" hidden="1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313">
        <f>参数调整!$K$39*怪物掉落配置方案!$D4909</f>
        <v>7.7860097034037096E-2</v>
      </c>
    </row>
    <row r="9014" spans="1:4" ht="16.5" hidden="1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313">
        <f>参数调整!$K$39*怪物掉落配置方案!$D4910</f>
        <v>8.7685840224921374E-2</v>
      </c>
    </row>
    <row r="9015" spans="1:4" ht="16.5" hidden="1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313">
        <f>参数调整!$K$39*怪物掉落配置方案!$D4911</f>
        <v>9.809529093209586E-2</v>
      </c>
    </row>
    <row r="9016" spans="1:4" ht="16.5" hidden="1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313">
        <f>参数调整!$K$39*怪物掉落配置方案!$D4912</f>
        <v>0.10908844915556047</v>
      </c>
    </row>
    <row r="9017" spans="1:4" ht="16.5" hidden="1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313">
        <f>参数调整!$K$39*怪物掉落配置方案!$D4913</f>
        <v>0.12066531489531525</v>
      </c>
    </row>
    <row r="9018" spans="1:4" ht="16.5" hidden="1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313">
        <f>参数调整!$K$39*怪物掉落配置方案!$D4914</f>
        <v>0.13282588815136021</v>
      </c>
    </row>
    <row r="9019" spans="1:4" ht="16.5" hidden="1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313">
        <f>参数调整!$K$39*怪物掉落配置方案!$D4915</f>
        <v>0.14557016892369529</v>
      </c>
    </row>
    <row r="9020" spans="1:4" ht="16.5" hidden="1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313">
        <f>参数调整!$K$39*怪物掉落配置方案!$D4916</f>
        <v>0.15889815721232056</v>
      </c>
    </row>
    <row r="9021" spans="1:4" ht="16.5" hidden="1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313">
        <f>参数调整!$K$39*怪物掉落配置方案!$D4917</f>
        <v>0</v>
      </c>
    </row>
    <row r="9022" spans="1:4" ht="16.5" hidden="1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313">
        <f>参数调整!$K$39*怪物掉落配置方案!$D4918</f>
        <v>0</v>
      </c>
    </row>
    <row r="9023" spans="1:4" ht="16.5" hidden="1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313">
        <f>参数调整!$K$39*怪物掉落配置方案!$D4919</f>
        <v>0</v>
      </c>
    </row>
    <row r="9024" spans="1:4" ht="16.5" hidden="1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313">
        <f>参数调整!$K$39*怪物掉落配置方案!$D4920</f>
        <v>0</v>
      </c>
    </row>
    <row r="9025" spans="1:4" ht="16.5" hidden="1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313">
        <f>参数调整!$K$39*怪物掉落配置方案!$D4921</f>
        <v>0</v>
      </c>
    </row>
    <row r="9026" spans="1:4" ht="16.5" hidden="1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313">
        <f>参数调整!$K$39*怪物掉落配置方案!$D4922</f>
        <v>0</v>
      </c>
    </row>
    <row r="9027" spans="1:4" ht="16.5" hidden="1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313">
        <f>参数调整!$K$39*怪物掉落配置方案!$D4923</f>
        <v>0</v>
      </c>
    </row>
    <row r="9028" spans="1:4" ht="16.5" hidden="1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313">
        <f>参数调整!$K$39*怪物掉落配置方案!$D4924</f>
        <v>0</v>
      </c>
    </row>
    <row r="9029" spans="1:4" ht="16.5" hidden="1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313">
        <f>参数调整!$K$39*怪物掉落配置方案!$D4925</f>
        <v>0</v>
      </c>
    </row>
    <row r="9030" spans="1:4" ht="16.5" hidden="1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313">
        <f>参数调整!$K$39*怪物掉落配置方案!$D4926</f>
        <v>0</v>
      </c>
    </row>
    <row r="9031" spans="1:4" ht="16.5" hidden="1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313">
        <f>参数调整!$K$39*怪物掉落配置方案!$D4927</f>
        <v>0</v>
      </c>
    </row>
    <row r="9032" spans="1:4" ht="16.5" hidden="1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313">
        <f>参数调整!$K$39*怪物掉落配置方案!$D4928</f>
        <v>0</v>
      </c>
    </row>
    <row r="9033" spans="1:4" ht="16.5" hidden="1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313">
        <f>参数调整!$K$39*怪物掉落配置方案!$D4929</f>
        <v>0</v>
      </c>
    </row>
    <row r="9034" spans="1:4" ht="16.5" hidden="1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313">
        <f>参数调整!$K$39*怪物掉落配置方案!$D4930</f>
        <v>0</v>
      </c>
    </row>
    <row r="9035" spans="1:4" ht="16.5" hidden="1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313">
        <f>参数调整!$K$39*怪物掉落配置方案!$D4931</f>
        <v>0</v>
      </c>
    </row>
    <row r="9036" spans="1:4" ht="16.5" hidden="1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313">
        <f>参数调整!$K$39*怪物掉落配置方案!$D4932</f>
        <v>0</v>
      </c>
    </row>
    <row r="9037" spans="1:4" ht="16.5" hidden="1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313">
        <f>参数调整!$K$39*怪物掉落配置方案!$D4933</f>
        <v>0</v>
      </c>
    </row>
    <row r="9038" spans="1:4" ht="16.5" hidden="1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313">
        <f>参数调整!$K$39*怪物掉落配置方案!$D4934</f>
        <v>0</v>
      </c>
    </row>
    <row r="9039" spans="1:4" ht="16.5" hidden="1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313">
        <f>参数调整!$K$39*怪物掉落配置方案!$D4935</f>
        <v>0</v>
      </c>
    </row>
    <row r="9040" spans="1:4" ht="16.5" hidden="1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313">
        <f>参数调整!$K$39*怪物掉落配置方案!$D4936</f>
        <v>0</v>
      </c>
    </row>
    <row r="9041" spans="1:4" ht="16.5" hidden="1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313">
        <f>参数调整!$K$39*怪物掉落配置方案!$D4937</f>
        <v>0</v>
      </c>
    </row>
    <row r="9042" spans="1:4" ht="16.5" hidden="1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313">
        <f>参数调整!$K$39*怪物掉落配置方案!$D4938</f>
        <v>0</v>
      </c>
    </row>
    <row r="9043" spans="1:4" ht="16.5" hidden="1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313">
        <f>参数调整!$K$39*怪物掉落配置方案!$D4939</f>
        <v>0</v>
      </c>
    </row>
    <row r="9044" spans="1:4" ht="16.5" hidden="1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313">
        <f>参数调整!$K$39*怪物掉落配置方案!$D4940</f>
        <v>0</v>
      </c>
    </row>
    <row r="9045" spans="1:4" ht="16.5" hidden="1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313">
        <f>参数调整!$K$39*怪物掉落配置方案!$D4941</f>
        <v>0</v>
      </c>
    </row>
    <row r="9046" spans="1:4" ht="16.5" hidden="1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313">
        <f>参数调整!$K$39*怪物掉落配置方案!$D4942</f>
        <v>0</v>
      </c>
    </row>
    <row r="9047" spans="1:4" ht="16.5" hidden="1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313">
        <f>参数调整!$K$39*怪物掉落配置方案!$D4943</f>
        <v>0</v>
      </c>
    </row>
    <row r="9048" spans="1:4" ht="16.5" hidden="1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313">
        <f>参数调整!$K$39*怪物掉落配置方案!$D4944</f>
        <v>9.8465175897602853E-4</v>
      </c>
    </row>
    <row r="9049" spans="1:4" ht="16.5" hidden="1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313">
        <f>参数调整!$K$39*怪物掉落配置方案!$D4945</f>
        <v>1.2461998824540364E-3</v>
      </c>
    </row>
    <row r="9050" spans="1:4" ht="16.5" hidden="1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313">
        <f>参数调整!$K$39*怪物掉落配置方案!$D4946</f>
        <v>1.5385183734000444E-3</v>
      </c>
    </row>
    <row r="9051" spans="1:4" ht="16.5" hidden="1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313">
        <f>参数调整!$K$39*怪物掉落配置方案!$D4947</f>
        <v>1.861607231814054E-3</v>
      </c>
    </row>
    <row r="9052" spans="1:4" ht="16.5" hidden="1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313">
        <f>参数调整!$K$39*怪物掉落配置方案!$D4948</f>
        <v>2.2154664576960639E-3</v>
      </c>
    </row>
    <row r="9053" spans="1:4" ht="16.5" hidden="1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313">
        <f>参数调整!$K$39*怪物掉落配置方案!$D4949</f>
        <v>2.6000960510460754E-3</v>
      </c>
    </row>
    <row r="9054" spans="1:4" ht="16.5" hidden="1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313">
        <f>参数调整!$K$39*怪物掉落配置方案!$D4950</f>
        <v>3.0154960118640864E-3</v>
      </c>
    </row>
    <row r="9055" spans="1:4" ht="16.5" hidden="1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313">
        <f>参数调整!$K$39*怪物掉落配置方案!$D4951</f>
        <v>3.4616663401500999E-3</v>
      </c>
    </row>
    <row r="9056" spans="1:4" ht="16.5" hidden="1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313">
        <f>参数调整!$K$39*怪物掉落配置方案!$D4952</f>
        <v>3.938607035904115E-3</v>
      </c>
    </row>
    <row r="9057" spans="1:4" ht="16.5" hidden="1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313">
        <f>参数调整!$K$39*怪物掉落配置方案!$D4953</f>
        <v>4.9847995298161439E-3</v>
      </c>
    </row>
    <row r="9058" spans="1:4" ht="16.5" hidden="1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313">
        <f>参数调整!$K$39*怪物掉落配置方案!$D4954</f>
        <v>6.1540734936001776E-3</v>
      </c>
    </row>
    <row r="9059" spans="1:4" ht="16.5" hidden="1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313">
        <f>参数调整!$K$39*怪物掉落配置方案!$D4955</f>
        <v>7.446428927256216E-3</v>
      </c>
    </row>
    <row r="9060" spans="1:4" ht="16.5" hidden="1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313">
        <f>参数调整!$K$39*怪物掉落配置方案!$D4956</f>
        <v>9.615739833750277E-3</v>
      </c>
    </row>
    <row r="9061" spans="1:4" ht="16.5" hidden="1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313">
        <f>参数调整!$K$39*怪物掉落配置方案!$D4957</f>
        <v>1.3846665360600398E-2</v>
      </c>
    </row>
    <row r="9062" spans="1:4" ht="16.5" hidden="1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313">
        <f>参数调整!$K$39*怪物掉落配置方案!$D4958</f>
        <v>1.8846850074150542E-2</v>
      </c>
    </row>
    <row r="9063" spans="1:4" ht="16.5" hidden="1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313">
        <f>参数调整!$K$39*怪物掉落配置方案!$D4959</f>
        <v>2.1062316531846609E-2</v>
      </c>
    </row>
    <row r="9064" spans="1:4" ht="16.5" hidden="1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313">
        <f>参数调整!$K$39*怪物掉落配置方案!$D4960</f>
        <v>2.461629397440071E-2</v>
      </c>
    </row>
    <row r="9065" spans="1:4" ht="16.5" hidden="1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313">
        <f>参数调整!$K$39*怪物掉落配置方案!$D4961</f>
        <v>2.8447204724166817E-2</v>
      </c>
    </row>
    <row r="9066" spans="1:4" ht="16.5" hidden="1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313">
        <f>参数调整!$K$39*怪物掉落配置方案!$D4962</f>
        <v>3.2555048781144937E-2</v>
      </c>
    </row>
    <row r="9067" spans="1:4" ht="16.5" hidden="1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313">
        <f>参数调整!$K$39*怪物掉落配置方案!$D4963</f>
        <v>3.6939826145335072E-2</v>
      </c>
    </row>
    <row r="9068" spans="1:4" ht="16.5" hidden="1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313">
        <f>参数调整!$K$39*怪物掉落配置方案!$D4964</f>
        <v>4.1601536816737207E-2</v>
      </c>
    </row>
    <row r="9069" spans="1:4" ht="16.5" hidden="1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313">
        <f>参数调整!$K$39*怪物掉落配置方案!$D4965</f>
        <v>4.6540180795351348E-2</v>
      </c>
    </row>
    <row r="9070" spans="1:4" ht="16.5" hidden="1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313">
        <f>参数调整!$K$39*怪物掉落配置方案!$D4966</f>
        <v>5.1755758081177487E-2</v>
      </c>
    </row>
    <row r="9071" spans="1:4" ht="16.5" hidden="1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313">
        <f>参数调整!$K$39*怪物掉落配置方案!$D4967</f>
        <v>5.724826867421564E-2</v>
      </c>
    </row>
    <row r="9072" spans="1:4" ht="16.5" hidden="1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313">
        <f>参数调整!$K$39*怪物掉落配置方案!$D4968</f>
        <v>6.3017712574465826E-2</v>
      </c>
    </row>
    <row r="9073" spans="1:4" ht="16.5" hidden="1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313">
        <f>参数调整!$K$39*怪物掉落配置方案!$D4969</f>
        <v>6.9064089781928004E-2</v>
      </c>
    </row>
    <row r="9074" spans="1:4" ht="16.5" hidden="1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313">
        <f>参数调整!$K$39*怪物掉落配置方案!$D4970</f>
        <v>7.5387400296602181E-2</v>
      </c>
    </row>
    <row r="9075" spans="1:4" ht="16.5" hidden="1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313">
        <f>参数调整!$K$39*怪物掉落配置方案!$D4971</f>
        <v>2.6000588193535956E-2</v>
      </c>
    </row>
    <row r="9076" spans="1:4" ht="16.5" hidden="1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313">
        <f>参数调整!$K$39*怪物掉落配置方案!$D4972</f>
        <v>3.2906994432443951E-2</v>
      </c>
    </row>
    <row r="9077" spans="1:4" ht="16.5" hidden="1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313">
        <f>参数调整!$K$39*怪物掉落配置方案!$D4973</f>
        <v>4.0625919052399935E-2</v>
      </c>
    </row>
    <row r="9078" spans="1:4" ht="16.5" hidden="1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313">
        <f>参数调整!$K$39*怪物掉落配置方案!$D4974</f>
        <v>4.9157362053403923E-2</v>
      </c>
    </row>
    <row r="9079" spans="1:4" ht="16.5" hidden="1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313">
        <f>参数调整!$K$39*怪物掉落配置方案!$D4975</f>
        <v>5.8501323435455888E-2</v>
      </c>
    </row>
    <row r="9080" spans="1:4" ht="16.5" hidden="1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313">
        <f>参数调整!$K$39*怪物掉落配置方案!$D4976</f>
        <v>6.8657803198555897E-2</v>
      </c>
    </row>
    <row r="9081" spans="1:4" ht="16.5" hidden="1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313">
        <f>参数调整!$K$39*怪物掉落配置方案!$D4977</f>
        <v>7.9626801342703862E-2</v>
      </c>
    </row>
    <row r="9082" spans="1:4" ht="16.5" hidden="1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313">
        <f>参数调整!$K$39*怪物掉落配置方案!$D4978</f>
        <v>9.1408317867899852E-2</v>
      </c>
    </row>
    <row r="9083" spans="1:4" ht="16.5" hidden="1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313">
        <f>参数调整!$K$39*怪物掉落配置方案!$D4979</f>
        <v>0.10400235277414385</v>
      </c>
    </row>
    <row r="9084" spans="1:4" ht="16.5" hidden="1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313">
        <f>参数调整!$K$39*怪物掉落配置方案!$D4980</f>
        <v>0.1316279777297758</v>
      </c>
    </row>
    <row r="9085" spans="1:4" ht="16.5" hidden="1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313">
        <f>参数调整!$K$39*怪物掉落配置方案!$D4981</f>
        <v>0.16250367620959968</v>
      </c>
    </row>
    <row r="9086" spans="1:4" ht="16.5" hidden="1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313">
        <f>参数调整!$K$39*怪物掉落配置方案!$D4982</f>
        <v>0.19662944821361569</v>
      </c>
    </row>
    <row r="9087" spans="1:4" ht="16.5" hidden="1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313">
        <f>参数调整!$K$39*怪物掉落配置方案!$D4983</f>
        <v>0.25391199407749954</v>
      </c>
    </row>
    <row r="9088" spans="1:4" ht="16.5" hidden="1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313">
        <f>参数调整!$K$39*怪物掉落配置方案!$D4984</f>
        <v>0.3656332714715993</v>
      </c>
    </row>
    <row r="9089" spans="1:4" ht="16.5" hidden="1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313">
        <f>参数调整!$K$39*怪物掉落配置方案!$D4985</f>
        <v>0.4976675083918991</v>
      </c>
    </row>
    <row r="9090" spans="1:4" ht="16.5" hidden="1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313">
        <f>参数调整!$K$39*怪物掉落配置方案!$D4986</f>
        <v>0.5561688318273551</v>
      </c>
    </row>
    <row r="9091" spans="1:4" ht="16.5" hidden="1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313">
        <f>参数调整!$K$39*怪物掉落配置方案!$D4987</f>
        <v>0.65001470483839874</v>
      </c>
    </row>
    <row r="9092" spans="1:4" ht="16.5" hidden="1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313">
        <f>参数调整!$K$39*怪物掉落配置方案!$D4988</f>
        <v>0.75117324327887458</v>
      </c>
    </row>
    <row r="9093" spans="1:4" ht="16.5" hidden="1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313">
        <f>参数调整!$K$39*怪物掉落配置方案!$D4989</f>
        <v>0.85964444714878241</v>
      </c>
    </row>
    <row r="9094" spans="1:4" ht="16.5" hidden="1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313">
        <f>参数调整!$K$39*怪物掉落配置方案!$D4990</f>
        <v>0.97542831644812245</v>
      </c>
    </row>
    <row r="9095" spans="1:4" ht="16.5" hidden="1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313">
        <f>参数调整!$K$39*怪物掉落配置方案!$D4991</f>
        <v>1.0985248511768941</v>
      </c>
    </row>
    <row r="9096" spans="1:4" ht="16.5" hidden="1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313">
        <f>参数调整!$K$39*怪物掉落配置方案!$D4992</f>
        <v>1.2289340513350979</v>
      </c>
    </row>
    <row r="9097" spans="1:4" ht="16.5" hidden="1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313">
        <f>参数调整!$K$39*怪物掉落配置方案!$D4993</f>
        <v>1.3666559169227337</v>
      </c>
    </row>
    <row r="9098" spans="1:4" ht="16.5" hidden="1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313">
        <f>参数调整!$K$39*怪物掉落配置方案!$D4994</f>
        <v>1.5116904479398012</v>
      </c>
    </row>
    <row r="9099" spans="1:4" ht="16.5" hidden="1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313">
        <f>参数调整!$K$39*怪物掉落配置方案!$D4995</f>
        <v>1.6640376443863012</v>
      </c>
    </row>
    <row r="9100" spans="1:4" ht="16.5" hidden="1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313">
        <f>参数调整!$K$39*怪物掉落配置方案!$D4996</f>
        <v>1.8236975062622327</v>
      </c>
    </row>
    <row r="9101" spans="1:4" ht="16.5" hidden="1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313">
        <f>参数调整!$K$39*怪物掉落配置方案!$D4997</f>
        <v>1.9906700335675969</v>
      </c>
    </row>
    <row r="9102" spans="1:4" ht="16.5" hidden="1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313">
        <f>参数调整!$K$39*怪物掉落配置方案!$D4998</f>
        <v>1.2996988270771247E-5</v>
      </c>
    </row>
    <row r="9103" spans="1:4" ht="16.5" hidden="1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313">
        <f>参数调整!$K$39*怪物掉落配置方案!$D4999</f>
        <v>1.6449313280194861E-5</v>
      </c>
    </row>
    <row r="9104" spans="1:4" ht="16.5" hidden="1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313">
        <f>参数调整!$K$39*怪物掉落配置方案!$D5000</f>
        <v>2.0307794173080072E-5</v>
      </c>
    </row>
    <row r="9105" spans="1:4" ht="16.5" hidden="1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313">
        <f>参数调整!$K$39*怪物掉落配置方案!$D5001</f>
        <v>2.4572430949426888E-5</v>
      </c>
    </row>
    <row r="9106" spans="1:4" ht="16.5" hidden="1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313">
        <f>参数调整!$K$39*怪物掉落配置方案!$D5002</f>
        <v>2.9243223609235299E-5</v>
      </c>
    </row>
    <row r="9107" spans="1:4" ht="16.5" hidden="1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313">
        <f>参数调整!$K$39*怪物掉落配置方案!$D5003</f>
        <v>3.4320172152505328E-5</v>
      </c>
    </row>
    <row r="9108" spans="1:4" ht="16.5" hidden="1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313">
        <f>参数调整!$K$39*怪物掉落配置方案!$D5004</f>
        <v>3.9803276579236935E-5</v>
      </c>
    </row>
    <row r="9109" spans="1:4" ht="16.5" hidden="1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313">
        <f>参数调整!$K$39*怪物掉落配置方案!$D5005</f>
        <v>4.569253688943016E-5</v>
      </c>
    </row>
    <row r="9110" spans="1:4" ht="16.5" hidden="1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313">
        <f>参数调整!$K$39*怪物掉落配置方案!$D5006</f>
        <v>5.198795308308499E-5</v>
      </c>
    </row>
    <row r="9111" spans="1:4" ht="16.5" hidden="1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313">
        <f>参数调整!$K$39*怪物掉落配置方案!$D5007</f>
        <v>6.5797253120779444E-5</v>
      </c>
    </row>
    <row r="9112" spans="1:4" ht="16.5" hidden="1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313">
        <f>参数调整!$K$39*怪物掉落配置方案!$D5008</f>
        <v>8.1231176692320289E-5</v>
      </c>
    </row>
    <row r="9113" spans="1:4" ht="16.5" hidden="1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313">
        <f>参数调整!$K$39*怪物掉落配置方案!$D5009</f>
        <v>9.8289723797707554E-5</v>
      </c>
    </row>
    <row r="9114" spans="1:4" ht="16.5" hidden="1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313">
        <f>参数调整!$K$39*怪物掉落配置方案!$D5010</f>
        <v>1.2692371358175044E-4</v>
      </c>
    </row>
    <row r="9115" spans="1:4" ht="16.5" hidden="1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313">
        <f>参数调整!$K$39*怪物掉落配置方案!$D5011</f>
        <v>1.8277014755772061E-4</v>
      </c>
    </row>
    <row r="9116" spans="1:4" ht="16.5" hidden="1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313">
        <f>参数调整!$K$39*怪物掉落配置方案!$D5012</f>
        <v>2.4877047862023079E-4</v>
      </c>
    </row>
    <row r="9117" spans="1:4" ht="16.5" hidden="1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313">
        <f>参数调整!$K$39*怪物掉落配置方案!$D5013</f>
        <v>2.7801370222946622E-4</v>
      </c>
    </row>
    <row r="9118" spans="1:4" ht="16.5" hidden="1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313">
        <f>参数调整!$K$39*怪物掉落配置方案!$D5014</f>
        <v>3.2492470676928116E-4</v>
      </c>
    </row>
    <row r="9119" spans="1:4" ht="16.5" hidden="1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313">
        <f>参数调整!$K$39*怪物掉落配置方案!$D5015</f>
        <v>3.754911142602505E-4</v>
      </c>
    </row>
    <row r="9120" spans="1:4" ht="16.5" hidden="1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313">
        <f>参数调整!$K$39*怪物掉落配置方案!$D5016</f>
        <v>4.2971292470237425E-4</v>
      </c>
    </row>
    <row r="9121" spans="1:4" ht="16.5" hidden="1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313">
        <f>参数调整!$K$39*怪物掉落配置方案!$D5017</f>
        <v>4.8759013809565263E-4</v>
      </c>
    </row>
    <row r="9122" spans="1:4" ht="16.5" hidden="1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313">
        <f>参数调整!$K$39*怪物掉落配置方案!$D5018</f>
        <v>5.4912275444008514E-4</v>
      </c>
    </row>
    <row r="9123" spans="1:4" ht="16.5" hidden="1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313">
        <f>参数调整!$K$39*怪物掉落配置方案!$D5019</f>
        <v>6.1431077373567218E-4</v>
      </c>
    </row>
    <row r="9124" spans="1:4" ht="16.5" hidden="1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313">
        <f>参数调整!$K$39*怪物掉落配置方案!$D5020</f>
        <v>6.8315419598241351E-4</v>
      </c>
    </row>
    <row r="9125" spans="1:4" ht="16.5" hidden="1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313">
        <f>参数调整!$K$39*怪物掉落配置方案!$D5021</f>
        <v>7.5565302118030925E-4</v>
      </c>
    </row>
    <row r="9126" spans="1:4" ht="16.5" hidden="1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313">
        <f>参数调整!$K$39*怪物掉落配置方案!$D5022</f>
        <v>8.3180724932935984E-4</v>
      </c>
    </row>
    <row r="9127" spans="1:4" ht="16.5" hidden="1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313">
        <f>参数调整!$K$39*怪物掉落配置方案!$D5023</f>
        <v>9.1161688042956429E-4</v>
      </c>
    </row>
    <row r="9128" spans="1:4" ht="16.5" hidden="1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313">
        <f>参数调整!$K$39*怪物掉落配置方案!$D5024</f>
        <v>9.9508191448092359E-4</v>
      </c>
    </row>
    <row r="9129" spans="1:4" ht="16.5" hidden="1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313">
        <f>参数调整!$K$39*怪物掉落配置方案!$D5025</f>
        <v>3.5741717744620927E-3</v>
      </c>
    </row>
    <row r="9130" spans="1:4" ht="16.5" hidden="1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313">
        <f>参数调整!$K$39*怪物掉落配置方案!$D5026</f>
        <v>4.5235611520535865E-3</v>
      </c>
    </row>
    <row r="9131" spans="1:4" ht="16.5" hidden="1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313">
        <f>参数调整!$K$39*怪物掉落配置方案!$D5027</f>
        <v>5.5846433975970189E-3</v>
      </c>
    </row>
    <row r="9132" spans="1:4" ht="16.5" hidden="1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313">
        <f>参数调整!$K$39*怪物掉落配置方案!$D5028</f>
        <v>6.7574185110923935E-3</v>
      </c>
    </row>
    <row r="9133" spans="1:4" ht="16.5" hidden="1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313">
        <f>参数调整!$K$39*怪物掉落配置方案!$D5029</f>
        <v>8.0418864925397068E-3</v>
      </c>
    </row>
    <row r="9134" spans="1:4" ht="16.5" hidden="1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313">
        <f>参数调整!$K$39*怪物掉落配置方案!$D5030</f>
        <v>9.438047341938963E-3</v>
      </c>
    </row>
    <row r="9135" spans="1:4" ht="16.5" hidden="1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313">
        <f>参数调整!$K$39*怪物掉落配置方案!$D5031</f>
        <v>1.0945901059290155E-2</v>
      </c>
    </row>
    <row r="9136" spans="1:4" ht="16.5" hidden="1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313">
        <f>参数调整!$K$39*怪物掉落配置方案!$D5032</f>
        <v>1.2565447644593296E-2</v>
      </c>
    </row>
    <row r="9137" spans="1:4" ht="16.5" hidden="1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313">
        <f>参数调整!$K$39*怪物掉落配置方案!$D5033</f>
        <v>1.4296687097848371E-2</v>
      </c>
    </row>
    <row r="9138" spans="1:4" ht="16.5" hidden="1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313">
        <f>参数调整!$K$39*怪物掉落配置方案!$D5034</f>
        <v>1.8094244608214346E-2</v>
      </c>
    </row>
    <row r="9139" spans="1:4" ht="16.5" hidden="1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313">
        <f>参数调整!$K$39*怪物掉落配置方案!$D5035</f>
        <v>2.2338573590388076E-2</v>
      </c>
    </row>
    <row r="9140" spans="1:4" ht="16.5" hidden="1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313">
        <f>参数调整!$K$39*怪物掉落配置方案!$D5036</f>
        <v>2.7029674044369578E-2</v>
      </c>
    </row>
    <row r="9141" spans="1:4" ht="16.5" hidden="1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313">
        <f>参数调整!$K$39*怪物掉落配置方案!$D5037</f>
        <v>3.4904021234981375E-2</v>
      </c>
    </row>
    <row r="9142" spans="1:4" ht="16.5" hidden="1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313">
        <f>参数调整!$K$39*怪物掉落配置方案!$D5038</f>
        <v>5.0261790578373162E-2</v>
      </c>
    </row>
    <row r="9143" spans="1:4" ht="16.5" hidden="1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313">
        <f>参数调整!$K$39*怪物掉落配置方案!$D5039</f>
        <v>6.8411881620563483E-2</v>
      </c>
    </row>
    <row r="9144" spans="1:4" ht="16.5" hidden="1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313">
        <f>参数调整!$K$39*怪物掉落配置方案!$D5040</f>
        <v>7.6453768113103199E-2</v>
      </c>
    </row>
    <row r="9145" spans="1:4" ht="16.5" hidden="1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313">
        <f>参数调整!$K$39*怪物掉落配置方案!$D5041</f>
        <v>8.9354294361552303E-2</v>
      </c>
    </row>
    <row r="9146" spans="1:4" ht="16.5" hidden="1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313">
        <f>参数调整!$K$39*怪物掉落配置方案!$D5042</f>
        <v>0.10326005642156887</v>
      </c>
    </row>
    <row r="9147" spans="1:4" ht="16.5" hidden="1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313">
        <f>参数调整!$K$39*怪物掉落配置方案!$D5043</f>
        <v>0.1181710542931529</v>
      </c>
    </row>
    <row r="9148" spans="1:4" ht="16.5" hidden="1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313">
        <f>参数调整!$K$39*怪物掉落配置方案!$D5044</f>
        <v>0.13408728797630443</v>
      </c>
    </row>
    <row r="9149" spans="1:4" ht="16.5" hidden="1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313">
        <f>参数调整!$K$39*怪物掉落配置方案!$D5045</f>
        <v>0.15100875747102341</v>
      </c>
    </row>
    <row r="9150" spans="1:4" ht="16.5" hidden="1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313">
        <f>参数调整!$K$39*怪物掉落配置方案!$D5046</f>
        <v>0.16893546277730984</v>
      </c>
    </row>
    <row r="9151" spans="1:4" ht="16.5" hidden="1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313">
        <f>参数调整!$K$39*怪物掉落配置方案!$D5047</f>
        <v>0.18786740389516368</v>
      </c>
    </row>
    <row r="9152" spans="1:4" ht="16.5" hidden="1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313">
        <f>参数调整!$K$39*怪物掉落配置方案!$D5048</f>
        <v>0.20780458082458506</v>
      </c>
    </row>
    <row r="9153" spans="1:4" ht="16.5" hidden="1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313">
        <f>参数调整!$K$39*怪物掉落配置方案!$D5049</f>
        <v>0.22874699356557393</v>
      </c>
    </row>
    <row r="9154" spans="1:4" ht="16.5" hidden="1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313">
        <f>参数调整!$K$39*怪物掉落配置方案!$D5050</f>
        <v>0.2506946421181302</v>
      </c>
    </row>
    <row r="9155" spans="1:4" ht="16.5" hidden="1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313">
        <f>参数调整!$K$39*怪物掉落配置方案!$D5051</f>
        <v>0.27364752648225393</v>
      </c>
    </row>
    <row r="9156" spans="1:4" ht="16.5" hidden="1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313">
        <f>参数调整!$K$39*怪物掉落配置方案!$D5052</f>
        <v>1.2996988270771247E-4</v>
      </c>
    </row>
    <row r="9157" spans="1:4" ht="16.5" hidden="1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313">
        <f>参数调整!$K$39*怪物掉落配置方案!$D5053</f>
        <v>1.6449313280194862E-4</v>
      </c>
    </row>
    <row r="9158" spans="1:4" ht="16.5" hidden="1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313">
        <f>参数调整!$K$39*怪物掉落配置方案!$D5054</f>
        <v>2.030779417308007E-4</v>
      </c>
    </row>
    <row r="9159" spans="1:4" ht="16.5" hidden="1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313">
        <f>参数调整!$K$39*怪物掉落配置方案!$D5055</f>
        <v>2.4572430949426887E-4</v>
      </c>
    </row>
    <row r="9160" spans="1:4" ht="16.5" hidden="1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313">
        <f>参数调整!$K$39*怪物掉落配置方案!$D5056</f>
        <v>2.9243223609235299E-4</v>
      </c>
    </row>
    <row r="9161" spans="1:4" ht="16.5" hidden="1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313">
        <f>参数调整!$K$39*怪物掉落配置方案!$D5057</f>
        <v>3.432017215250532E-4</v>
      </c>
    </row>
    <row r="9162" spans="1:4" ht="16.5" hidden="1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313">
        <f>参数调整!$K$39*怪物掉落配置方案!$D5058</f>
        <v>3.9803276579236934E-4</v>
      </c>
    </row>
    <row r="9163" spans="1:4" ht="16.5" hidden="1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313">
        <f>参数调整!$K$39*怪物掉落配置方案!$D5059</f>
        <v>4.5692536889430156E-4</v>
      </c>
    </row>
    <row r="9164" spans="1:4" ht="16.5" hidden="1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313">
        <f>参数调整!$K$39*怪物掉落配置方案!$D5060</f>
        <v>5.1987953083084998E-4</v>
      </c>
    </row>
    <row r="9165" spans="1:4" ht="16.5" hidden="1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313">
        <f>参数调整!$K$39*怪物掉落配置方案!$D5061</f>
        <v>6.5797253120779427E-4</v>
      </c>
    </row>
    <row r="9166" spans="1:4" ht="16.5" hidden="1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313">
        <f>参数调整!$K$39*怪物掉落配置方案!$D5062</f>
        <v>8.123117669232027E-4</v>
      </c>
    </row>
    <row r="9167" spans="1:4" ht="16.5" hidden="1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313">
        <f>参数调整!$K$39*怪物掉落配置方案!$D5063</f>
        <v>9.8289723797707548E-4</v>
      </c>
    </row>
    <row r="9168" spans="1:4" ht="16.5" hidden="1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313">
        <f>参数调整!$K$39*怪物掉落配置方案!$D5064</f>
        <v>1.2692371358175045E-3</v>
      </c>
    </row>
    <row r="9169" spans="1:4" ht="16.5" hidden="1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313">
        <f>参数调整!$K$39*怪物掉落配置方案!$D5065</f>
        <v>1.8277014755772058E-3</v>
      </c>
    </row>
    <row r="9170" spans="1:4" ht="16.5" hidden="1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313">
        <f>参数调整!$K$39*怪物掉落配置方案!$D5066</f>
        <v>2.4877047862023084E-3</v>
      </c>
    </row>
    <row r="9171" spans="1:4" ht="16.5" hidden="1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313">
        <f>参数调整!$K$39*怪物掉落配置方案!$D5067</f>
        <v>2.780137022294662E-3</v>
      </c>
    </row>
    <row r="9172" spans="1:4" ht="16.5" hidden="1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313">
        <f>参数调整!$K$39*怪物掉落配置方案!$D5068</f>
        <v>3.2492470676928108E-3</v>
      </c>
    </row>
    <row r="9173" spans="1:4" ht="16.5" hidden="1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313">
        <f>参数调整!$K$39*怪物掉落配置方案!$D5069</f>
        <v>3.7549111426025041E-3</v>
      </c>
    </row>
    <row r="9174" spans="1:4" ht="16.5" hidden="1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313">
        <f>参数调整!$K$39*怪物掉落配置方案!$D5070</f>
        <v>4.2971292470237428E-3</v>
      </c>
    </row>
    <row r="9175" spans="1:4" ht="16.5" hidden="1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313">
        <f>参数调整!$K$39*怪物掉落配置方案!$D5071</f>
        <v>4.8759013809565261E-3</v>
      </c>
    </row>
    <row r="9176" spans="1:4" ht="16.5" hidden="1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313">
        <f>参数调整!$K$39*怪物掉落配置方案!$D5072</f>
        <v>5.4912275444008512E-3</v>
      </c>
    </row>
    <row r="9177" spans="1:4" ht="16.5" hidden="1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313">
        <f>参数调整!$K$39*怪物掉落配置方案!$D5073</f>
        <v>6.1431077373567218E-3</v>
      </c>
    </row>
    <row r="9178" spans="1:4" ht="16.5" hidden="1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313">
        <f>参数调整!$K$39*怪物掉落配置方案!$D5074</f>
        <v>6.8315419598241342E-3</v>
      </c>
    </row>
    <row r="9179" spans="1:4" ht="16.5" hidden="1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313">
        <f>参数调整!$K$39*怪物掉落配置方案!$D5075</f>
        <v>7.556530211803093E-3</v>
      </c>
    </row>
    <row r="9180" spans="1:4" ht="16.5" hidden="1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313">
        <f>参数调整!$K$39*怪物掉落配置方案!$D5076</f>
        <v>8.3180724932935979E-3</v>
      </c>
    </row>
    <row r="9181" spans="1:4" ht="16.5" hidden="1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313">
        <f>参数调整!$K$39*怪物掉落配置方案!$D5077</f>
        <v>9.1161688042956431E-3</v>
      </c>
    </row>
    <row r="9182" spans="1:4" ht="16.5" hidden="1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313">
        <f>参数调整!$K$39*怪物掉落配置方案!$D5078</f>
        <v>9.9508191448092354E-3</v>
      </c>
    </row>
    <row r="9183" spans="1:4" ht="16.5" hidden="1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313">
        <f>参数调整!$K$39*怪物掉落配置方案!$D5079</f>
        <v>1.8160370889568615E-2</v>
      </c>
    </row>
    <row r="9184" spans="1:4" ht="16.5" hidden="1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313">
        <f>参数调整!$K$39*怪物掉落配置方案!$D5080</f>
        <v>2.298421940711028E-2</v>
      </c>
    </row>
    <row r="9185" spans="1:4" ht="16.5" hidden="1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313">
        <f>参数调整!$K$39*怪物掉落配置方案!$D5081</f>
        <v>2.8375579514950958E-2</v>
      </c>
    </row>
    <row r="9186" spans="1:4" ht="16.5" hidden="1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313">
        <f>参数调整!$K$39*怪物掉落配置方案!$D5082</f>
        <v>3.4334451213090665E-2</v>
      </c>
    </row>
    <row r="9187" spans="1:4" ht="16.5" hidden="1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313">
        <f>参数调整!$K$39*怪物掉落配置方案!$D5083</f>
        <v>4.0860834501529372E-2</v>
      </c>
    </row>
    <row r="9188" spans="1:4" ht="16.5" hidden="1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313">
        <f>参数调整!$K$39*怪物掉落配置方案!$D5084</f>
        <v>4.7954729380267125E-2</v>
      </c>
    </row>
    <row r="9189" spans="1:4" ht="16.5" hidden="1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313">
        <f>参数调整!$K$39*怪物掉落配置方案!$D5085</f>
        <v>5.5616135849303874E-2</v>
      </c>
    </row>
    <row r="9190" spans="1:4" ht="16.5" hidden="1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313">
        <f>参数调整!$K$39*怪物掉落配置方案!$D5086</f>
        <v>6.3845053908639662E-2</v>
      </c>
    </row>
    <row r="9191" spans="1:4" ht="16.5" hidden="1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313">
        <f>参数调整!$K$39*怪物掉落配置方案!$D5087</f>
        <v>7.2641483558274475E-2</v>
      </c>
    </row>
    <row r="9192" spans="1:4" ht="16.5" hidden="1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313">
        <f>参数调整!$K$39*怪物掉落配置方案!$D5088</f>
        <v>9.1936877628441133E-2</v>
      </c>
    </row>
    <row r="9193" spans="1:4" ht="16.5" hidden="1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313">
        <f>参数调整!$K$39*怪物掉落配置方案!$D5089</f>
        <v>0.11350231805980383</v>
      </c>
    </row>
    <row r="9194" spans="1:4" ht="16.5" hidden="1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313">
        <f>参数调整!$K$39*怪物掉落配置方案!$D5090</f>
        <v>0.13733780485236266</v>
      </c>
    </row>
    <row r="9195" spans="1:4" ht="16.5" hidden="1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313">
        <f>参数调整!$K$39*怪物掉落配置方案!$D5091</f>
        <v>0.1773473719684435</v>
      </c>
    </row>
    <row r="9196" spans="1:4" ht="16.5" hidden="1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313">
        <f>参数调整!$K$39*怪物掉落配置方案!$D5092</f>
        <v>0.25538021563455859</v>
      </c>
    </row>
    <row r="9197" spans="1:4" ht="16.5" hidden="1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313">
        <f>参数调整!$K$39*怪物掉落配置方案!$D5093</f>
        <v>0.3476008490581492</v>
      </c>
    </row>
    <row r="9198" spans="1:4" ht="16.5" hidden="1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313">
        <f>参数调整!$K$39*怪物掉落配置方案!$D5094</f>
        <v>0.38846168355967869</v>
      </c>
    </row>
    <row r="9199" spans="1:4" ht="16.5" hidden="1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313">
        <f>参数调整!$K$39*怪物掉落配置方案!$D5095</f>
        <v>0.45400927223921533</v>
      </c>
    </row>
    <row r="9200" spans="1:4" ht="16.5" hidden="1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313">
        <f>参数调整!$K$39*怪物掉落配置方案!$D5096</f>
        <v>0.52466446523144317</v>
      </c>
    </row>
    <row r="9201" spans="1:4" ht="16.5" hidden="1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313">
        <f>参数调整!$K$39*怪物掉落配置方案!$D5097</f>
        <v>0.60042726253636225</v>
      </c>
    </row>
    <row r="9202" spans="1:4" ht="16.5" hidden="1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313">
        <f>参数调整!$K$39*怪物掉落配置方案!$D5098</f>
        <v>0.68129766415397275</v>
      </c>
    </row>
    <row r="9203" spans="1:4" ht="16.5" hidden="1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313">
        <f>参数调整!$K$39*怪物掉落配置方案!$D5099</f>
        <v>0.76727567008427389</v>
      </c>
    </row>
    <row r="9204" spans="1:4" ht="16.5" hidden="1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313">
        <f>参数调整!$K$39*怪物掉落配置方案!$D5100</f>
        <v>0.85836128032726655</v>
      </c>
    </row>
    <row r="9205" spans="1:4" ht="16.5" hidden="1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313">
        <f>参数调整!$K$39*怪物掉落配置方案!$D5101</f>
        <v>0.9545544948829503</v>
      </c>
    </row>
    <row r="9206" spans="1:4" ht="16.5" hidden="1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313">
        <f>参数调整!$K$39*怪物掉落配置方案!$D5102</f>
        <v>1.0558553137513249</v>
      </c>
    </row>
    <row r="9207" spans="1:4" ht="16.5" hidden="1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313">
        <f>参数调整!$K$39*怪物掉落配置方案!$D5103</f>
        <v>1.1622637369323916</v>
      </c>
    </row>
    <row r="9208" spans="1:4" ht="16.5" hidden="1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313">
        <f>参数调整!$K$39*怪物掉落配置方案!$D5104</f>
        <v>1.2737797644261486</v>
      </c>
    </row>
    <row r="9209" spans="1:4" ht="16.5" hidden="1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313">
        <f>参数调整!$K$39*怪物掉落配置方案!$D5105</f>
        <v>1.3904033962325972</v>
      </c>
    </row>
    <row r="9210" spans="1:4" ht="16.5" hidden="1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313">
        <f>参数调整!$K$39*怪物掉落配置方案!$D5106</f>
        <v>2.3648429154063825E-3</v>
      </c>
    </row>
    <row r="9211" spans="1:4" ht="16.5" hidden="1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313">
        <f>参数调整!$K$39*怪物掉落配置方案!$D5107</f>
        <v>2.9930043148112023E-3</v>
      </c>
    </row>
    <row r="9212" spans="1:4" ht="16.5" hidden="1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313">
        <f>参数调整!$K$39*怪物掉落配置方案!$D5108</f>
        <v>3.6950670553224717E-3</v>
      </c>
    </row>
    <row r="9213" spans="1:4" ht="16.5" hidden="1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313">
        <f>参数调整!$K$39*怪物掉落配置方案!$D5109</f>
        <v>4.4710311369401913E-3</v>
      </c>
    </row>
    <row r="9214" spans="1:4" ht="16.5" hidden="1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313">
        <f>参数调整!$K$39*怪物掉落配置方案!$D5110</f>
        <v>5.3208965596643586E-3</v>
      </c>
    </row>
    <row r="9215" spans="1:4" ht="16.5" hidden="1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313">
        <f>参数调整!$K$39*怪物掉落配置方案!$D5111</f>
        <v>6.2446633234949783E-3</v>
      </c>
    </row>
    <row r="9216" spans="1:4" ht="16.5" hidden="1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313">
        <f>参数调整!$K$39*怪物掉落配置方案!$D5112</f>
        <v>7.2423314284320427E-3</v>
      </c>
    </row>
    <row r="9217" spans="1:4" ht="16.5" hidden="1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313">
        <f>参数调整!$K$39*怪物掉落配置方案!$D5113</f>
        <v>8.3139008744755622E-3</v>
      </c>
    </row>
    <row r="9218" spans="1:4" ht="16.5" hidden="1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313">
        <f>参数调整!$K$39*怪物掉落配置方案!$D5114</f>
        <v>9.4593716616255298E-3</v>
      </c>
    </row>
    <row r="9219" spans="1:4" ht="16.5" hidden="1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313">
        <f>参数调整!$K$39*怪物掉落配置方案!$D5115</f>
        <v>1.1972017259244809E-2</v>
      </c>
    </row>
    <row r="9220" spans="1:4" ht="16.5" hidden="1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313">
        <f>参数调整!$K$39*怪物掉落配置方案!$D5116</f>
        <v>1.4780268221289885E-2</v>
      </c>
    </row>
    <row r="9221" spans="1:4" ht="16.5" hidden="1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313">
        <f>参数调整!$K$39*怪物掉落配置方案!$D5117</f>
        <v>1.7884124547760765E-2</v>
      </c>
    </row>
    <row r="9222" spans="1:4" ht="16.5" hidden="1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313">
        <f>参数调整!$K$39*怪物掉落配置方案!$D5118</f>
        <v>2.3094169095765445E-2</v>
      </c>
    </row>
    <row r="9223" spans="1:4" ht="16.5" hidden="1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313">
        <f>参数调整!$K$39*怪物掉落配置方案!$D5119</f>
        <v>3.3255603497902242E-2</v>
      </c>
    </row>
    <row r="9224" spans="1:4" ht="16.5" hidden="1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313">
        <f>参数调整!$K$39*怪物掉落配置方案!$D5120</f>
        <v>4.5264571427700274E-2</v>
      </c>
    </row>
    <row r="9225" spans="1:4" ht="16.5" hidden="1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313">
        <f>参数调整!$K$39*怪物掉落配置方案!$D5121</f>
        <v>5.0585467987364643E-2</v>
      </c>
    </row>
    <row r="9226" spans="1:4" ht="16.5" hidden="1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313">
        <f>参数调整!$K$39*怪物掉落配置方案!$D5122</f>
        <v>5.912107288515954E-2</v>
      </c>
    </row>
    <row r="9227" spans="1:4" ht="16.5" hidden="1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313">
        <f>参数调整!$K$39*怪物掉落配置方案!$D5123</f>
        <v>6.8321789852912485E-2</v>
      </c>
    </row>
    <row r="9228" spans="1:4" ht="16.5" hidden="1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313">
        <f>参数调整!$K$39*怪物掉落配置方案!$D5124</f>
        <v>7.8187618890623492E-2</v>
      </c>
    </row>
    <row r="9229" spans="1:4" ht="16.5" hidden="1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313">
        <f>参数调整!$K$39*怪物掉落配置方案!$D5125</f>
        <v>8.8718559998292562E-2</v>
      </c>
    </row>
    <row r="9230" spans="1:4" ht="16.5" hidden="1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313">
        <f>参数调整!$K$39*怪物掉落配置方案!$D5126</f>
        <v>9.9914613175919639E-2</v>
      </c>
    </row>
    <row r="9231" spans="1:4" ht="16.5" hidden="1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313">
        <f>参数调整!$K$39*怪物掉落配置方案!$D5127</f>
        <v>0.11177577842350478</v>
      </c>
    </row>
    <row r="9232" spans="1:4" ht="16.5" hidden="1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313">
        <f>参数调整!$K$39*怪物掉落配置方案!$D5128</f>
        <v>0.12430205574104794</v>
      </c>
    </row>
    <row r="9233" spans="1:4" ht="16.5" hidden="1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313">
        <f>参数调整!$K$39*怪物掉落配置方案!$D5129</f>
        <v>0.13749344512854914</v>
      </c>
    </row>
    <row r="9234" spans="1:4" ht="16.5" hidden="1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313">
        <f>参数调整!$K$39*怪物掉落配置方案!$D5130</f>
        <v>0.15134994658600845</v>
      </c>
    </row>
    <row r="9235" spans="1:4" ht="16.5" hidden="1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313">
        <f>参数调整!$K$39*怪物掉落配置方案!$D5131</f>
        <v>0.16587156011342577</v>
      </c>
    </row>
    <row r="9236" spans="1:4" ht="16.5" hidden="1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313">
        <f>参数调整!$K$39*怪物掉落配置方案!$D5132</f>
        <v>0.18105828571080113</v>
      </c>
    </row>
    <row r="9237" spans="1:4" ht="16.5" hidden="1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313">
        <f>参数调整!$K$40*怪物掉落配置方案!$D4107</f>
        <v>1.9795754865273257E-3</v>
      </c>
    </row>
    <row r="9238" spans="1:4" ht="16.5" hidden="1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313">
        <f>参数调整!$K$40*怪物掉落配置方案!$D4108</f>
        <v>2.5054002251361472E-3</v>
      </c>
    </row>
    <row r="9239" spans="1:4" ht="16.5" hidden="1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313">
        <f>参数调整!$K$40*怪物掉落配置方案!$D4109</f>
        <v>3.0930866976989465E-3</v>
      </c>
    </row>
    <row r="9240" spans="1:4" ht="16.5" hidden="1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313">
        <f>参数调整!$K$40*怪物掉落配置方案!$D4110</f>
        <v>3.7426349042157256E-3</v>
      </c>
    </row>
    <row r="9241" spans="1:4" ht="16.5" hidden="1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313">
        <f>参数调整!$K$40*怪物掉落配置方案!$D4111</f>
        <v>4.4540448446864821E-3</v>
      </c>
    </row>
    <row r="9242" spans="1:4" ht="16.5" hidden="1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313">
        <f>参数调整!$K$40*怪物掉落配置方案!$D4112</f>
        <v>5.2273165191112185E-3</v>
      </c>
    </row>
    <row r="9243" spans="1:4" ht="16.5" hidden="1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313">
        <f>参数调整!$K$40*怪物掉落配置方案!$D4113</f>
        <v>6.0624499274899339E-3</v>
      </c>
    </row>
    <row r="9244" spans="1:4" ht="16.5" hidden="1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313">
        <f>参数调整!$K$40*怪物掉落配置方案!$D4114</f>
        <v>6.9594450698226293E-3</v>
      </c>
    </row>
    <row r="9245" spans="1:4" ht="16.5" hidden="1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313">
        <f>参数调整!$K$40*怪物掉落配置方案!$D4115</f>
        <v>7.9183019461093029E-3</v>
      </c>
    </row>
    <row r="9246" spans="1:4" ht="16.5" hidden="1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313">
        <f>参数调整!$K$40*怪物掉落配置方案!$D4116</f>
        <v>1.0021600900544587E-2</v>
      </c>
    </row>
    <row r="9247" spans="1:4" ht="16.5" hidden="1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313">
        <f>参数调整!$K$40*怪物掉落配置方案!$D4117</f>
        <v>1.2372346790795784E-2</v>
      </c>
    </row>
    <row r="9248" spans="1:4" ht="16.5" hidden="1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313">
        <f>参数调整!$K$40*怪物掉落配置方案!$D4118</f>
        <v>1.4970539616862902E-2</v>
      </c>
    </row>
    <row r="9249" spans="1:4" ht="16.5" hidden="1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313">
        <f>参数调整!$K$40*怪物掉落配置方案!$D4119</f>
        <v>1.9331791860618411E-2</v>
      </c>
    </row>
    <row r="9250" spans="1:4" ht="16.5" hidden="1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313">
        <f>参数调整!$K$40*怪物掉落配置方案!$D4120</f>
        <v>2.7837780279290514E-2</v>
      </c>
    </row>
    <row r="9251" spans="1:4" ht="16.5" hidden="1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313">
        <f>参数调整!$K$40*怪物掉落配置方案!$D4121</f>
        <v>3.7890312046812084E-2</v>
      </c>
    </row>
    <row r="9252" spans="1:4" ht="16.5" hidden="1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313">
        <f>参数调整!$K$40*怪物掉落配置方案!$D4122</f>
        <v>4.2344356891498576E-2</v>
      </c>
    </row>
    <row r="9253" spans="1:4" ht="16.5" hidden="1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313">
        <f>参数调整!$K$40*怪物掉落配置方案!$D4123</f>
        <v>4.9489387163183136E-2</v>
      </c>
    </row>
    <row r="9254" spans="1:4" ht="16.5" hidden="1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313">
        <f>参数调整!$K$40*怪物掉落配置方案!$D4124</f>
        <v>5.7191173040453507E-2</v>
      </c>
    </row>
    <row r="9255" spans="1:4" ht="16.5" hidden="1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313">
        <f>参数调整!$K$40*怪物掉落配置方案!$D4125</f>
        <v>6.5449714523309693E-2</v>
      </c>
    </row>
    <row r="9256" spans="1:4" ht="16.5" hidden="1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313">
        <f>参数调整!$K$40*怪物掉落配置方案!$D4126</f>
        <v>7.4265011611751711E-2</v>
      </c>
    </row>
    <row r="9257" spans="1:4" ht="16.5" hidden="1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313">
        <f>参数调整!$K$40*怪物掉落配置方案!$D4127</f>
        <v>8.3637064305779496E-2</v>
      </c>
    </row>
    <row r="9258" spans="1:4" ht="16.5" hidden="1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313">
        <f>参数调整!$K$40*怪物掉落配置方案!$D4128</f>
        <v>9.3565872605393119E-2</v>
      </c>
    </row>
    <row r="9259" spans="1:4" ht="16.5" hidden="1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313">
        <f>参数调整!$K$40*怪物掉落配置方案!$D4129</f>
        <v>0.10405143651059254</v>
      </c>
    </row>
    <row r="9260" spans="1:4" ht="16.5" hidden="1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313">
        <f>参数调整!$K$40*怪物掉落配置方案!$D4130</f>
        <v>0.11509375602137775</v>
      </c>
    </row>
    <row r="9261" spans="1:4" ht="16.5" hidden="1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313">
        <f>参数调整!$K$40*怪物掉落配置方案!$D4131</f>
        <v>0.12669283113774885</v>
      </c>
    </row>
    <row r="9262" spans="1:4" ht="16.5" hidden="1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313">
        <f>参数调整!$K$40*怪物掉落配置方案!$D4132</f>
        <v>0.13884866185970571</v>
      </c>
    </row>
    <row r="9263" spans="1:4" ht="16.5" hidden="1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313">
        <f>参数调整!$K$40*怪物掉落配置方案!$D4133</f>
        <v>0.15156124818724837</v>
      </c>
    </row>
    <row r="9264" spans="1:4" ht="16.5" hidden="1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313">
        <f>参数调整!$K$40*怪物掉落配置方案!$D4134</f>
        <v>2.5942556279562545E-2</v>
      </c>
    </row>
    <row r="9265" spans="1:4" ht="16.5" hidden="1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313">
        <f>参数调整!$K$40*怪物掉落配置方案!$D4135</f>
        <v>3.2833547791321346E-2</v>
      </c>
    </row>
    <row r="9266" spans="1:4" ht="16.5" hidden="1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313">
        <f>参数调整!$K$40*怪物掉落配置方案!$D4136</f>
        <v>4.053524418681647E-2</v>
      </c>
    </row>
    <row r="9267" spans="1:4" ht="16.5" hidden="1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313">
        <f>参数调整!$K$40*怪物掉落配置方案!$D4137</f>
        <v>4.9047645466047937E-2</v>
      </c>
    </row>
    <row r="9268" spans="1:4" ht="16.5" hidden="1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313">
        <f>参数调整!$K$40*怪物掉落配置方案!$D4138</f>
        <v>5.8370751629015699E-2</v>
      </c>
    </row>
    <row r="9269" spans="1:4" ht="16.5" hidden="1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313">
        <f>参数调整!$K$40*怪物掉落配置方案!$D4139</f>
        <v>6.8504562675719846E-2</v>
      </c>
    </row>
    <row r="9270" spans="1:4" ht="16.5" hidden="1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313">
        <f>参数调整!$K$40*怪物掉落配置方案!$D4140</f>
        <v>7.9449078606160253E-2</v>
      </c>
    </row>
    <row r="9271" spans="1:4" ht="16.5" hidden="1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313">
        <f>参数调整!$K$40*怪物掉落配置方案!$D4141</f>
        <v>9.1204299420337032E-2</v>
      </c>
    </row>
    <row r="9272" spans="1:4" ht="16.5" hidden="1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313">
        <f>参数调整!$K$40*怪物掉落配置方案!$D4142</f>
        <v>0.10377022511825018</v>
      </c>
    </row>
    <row r="9273" spans="1:4" ht="16.5" hidden="1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313">
        <f>参数调整!$K$40*怪物掉落配置方案!$D4143</f>
        <v>0.13133419116528539</v>
      </c>
    </row>
    <row r="9274" spans="1:4" ht="16.5" hidden="1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313">
        <f>参数调整!$K$40*怪物掉落配置方案!$D4144</f>
        <v>0.16214097674726585</v>
      </c>
    </row>
    <row r="9275" spans="1:4" ht="16.5" hidden="1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313">
        <f>参数调整!$K$40*怪物掉落配置方案!$D4145</f>
        <v>0.19619058186419175</v>
      </c>
    </row>
    <row r="9276" spans="1:4" ht="16.5" hidden="1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313">
        <f>参数调整!$K$40*怪物掉落配置方案!$D4146</f>
        <v>0.25334527616760294</v>
      </c>
    </row>
    <row r="9277" spans="1:4" ht="16.5" hidden="1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313">
        <f>参数调整!$K$40*怪物掉落配置方案!$D4147</f>
        <v>0.36481719768134813</v>
      </c>
    </row>
    <row r="9278" spans="1:4" ht="16.5" hidden="1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313">
        <f>参数调整!$K$40*怪物掉落配置方案!$D4148</f>
        <v>0.49655674128850164</v>
      </c>
    </row>
    <row r="9279" spans="1:4" ht="16.5" hidden="1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313">
        <f>参数调整!$K$40*怪物掉落配置方案!$D4149</f>
        <v>0.55492749291751753</v>
      </c>
    </row>
    <row r="9280" spans="1:4" ht="16.5" hidden="1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313">
        <f>参数调整!$K$40*怪物掉落配置方案!$D4150</f>
        <v>0.64856390698906341</v>
      </c>
    </row>
    <row r="9281" spans="1:4" ht="16.5" hidden="1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313">
        <f>参数调整!$K$40*怪物掉落配置方案!$D4151</f>
        <v>0.7494966650142364</v>
      </c>
    </row>
    <row r="9282" spans="1:4" ht="16.5" hidden="1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313">
        <f>参数调整!$K$40*怪物掉落配置方案!$D4152</f>
        <v>0.85772576699303626</v>
      </c>
    </row>
    <row r="9283" spans="1:4" ht="16.5" hidden="1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313">
        <f>参数调整!$K$40*怪物掉落配置方案!$D4153</f>
        <v>0.97325121292546346</v>
      </c>
    </row>
    <row r="9284" spans="1:4" ht="16.5" hidden="1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313">
        <f>参数调整!$K$40*怪物掉落配置方案!$D4154</f>
        <v>1.0960730028115171</v>
      </c>
    </row>
    <row r="9285" spans="1:4" ht="16.5" hidden="1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313">
        <f>参数调整!$K$40*怪物掉落配置方案!$D4155</f>
        <v>1.2261911366511982</v>
      </c>
    </row>
    <row r="9286" spans="1:4" ht="16.5" hidden="1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313">
        <f>参数调整!$K$40*怪物掉落配置方案!$D4156</f>
        <v>1.3636056144445057</v>
      </c>
    </row>
    <row r="9287" spans="1:4" ht="16.5" hidden="1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313">
        <f>参数调整!$K$40*怪物掉落配置方案!$D4157</f>
        <v>1.5083164361914405</v>
      </c>
    </row>
    <row r="9288" spans="1:4" ht="16.5" hidden="1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313">
        <f>参数调整!$K$40*怪物掉落配置方案!$D4158</f>
        <v>1.6603236018920025</v>
      </c>
    </row>
    <row r="9289" spans="1:4" ht="16.5" hidden="1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313">
        <f>参数调整!$K$40*怪物掉落配置方案!$D4159</f>
        <v>1.8196271115461913</v>
      </c>
    </row>
    <row r="9290" spans="1:4" ht="16.5" hidden="1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313">
        <f>参数调整!$K$40*怪物掉落配置方案!$D4160</f>
        <v>1.9862269651540068</v>
      </c>
    </row>
    <row r="9291" spans="1:4" ht="16.5" hidden="1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313">
        <f>参数调整!$K$40*怪物掉落配置方案!$D4161</f>
        <v>335</v>
      </c>
    </row>
    <row r="9292" spans="1:4" ht="16.5" hidden="1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313">
        <f>参数调整!$K$40*怪物掉落配置方案!$D4162</f>
        <v>425</v>
      </c>
    </row>
    <row r="9293" spans="1:4" ht="16.5" hidden="1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313">
        <f>参数调整!$K$40*怪物掉落配置方案!$D4163</f>
        <v>525</v>
      </c>
    </row>
    <row r="9294" spans="1:4" ht="16.5" hidden="1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313">
        <f>参数调整!$K$40*怪物掉落配置方案!$D4164</f>
        <v>635</v>
      </c>
    </row>
    <row r="9295" spans="1:4" ht="16.5" hidden="1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313">
        <f>参数调整!$K$40*怪物掉落配置方案!$D4165</f>
        <v>755</v>
      </c>
    </row>
    <row r="9296" spans="1:4" ht="16.5" hidden="1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313">
        <f>参数调整!$K$40*怪物掉落配置方案!$D4166</f>
        <v>885</v>
      </c>
    </row>
    <row r="9297" spans="1:4" ht="16.5" hidden="1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313">
        <f>参数调整!$K$40*怪物掉落配置方案!$D4167</f>
        <v>1030</v>
      </c>
    </row>
    <row r="9298" spans="1:4" ht="16.5" hidden="1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313">
        <f>参数调整!$K$40*怪物掉落配置方案!$D4168</f>
        <v>1180</v>
      </c>
    </row>
    <row r="9299" spans="1:4" ht="16.5" hidden="1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313">
        <f>参数调整!$K$40*怪物掉落配置方案!$D4169</f>
        <v>1340</v>
      </c>
    </row>
    <row r="9300" spans="1:4" ht="16.5" hidden="1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313">
        <f>参数调整!$K$40*怪物掉落配置方案!$D4170</f>
        <v>1700</v>
      </c>
    </row>
    <row r="9301" spans="1:4" ht="16.5" hidden="1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313">
        <f>参数调整!$K$40*怪物掉落配置方案!$D4171</f>
        <v>2095</v>
      </c>
    </row>
    <row r="9302" spans="1:4" ht="16.5" hidden="1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313">
        <f>参数调整!$K$40*怪物掉落配置方案!$D4172</f>
        <v>2540</v>
      </c>
    </row>
    <row r="9303" spans="1:4" ht="16.5" hidden="1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313">
        <f>参数调整!$K$40*怪物掉落配置方案!$D4173</f>
        <v>3275</v>
      </c>
    </row>
    <row r="9304" spans="1:4" ht="16.5" hidden="1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313">
        <f>参数调整!$K$40*怪物掉落配置方案!$D4174</f>
        <v>4720</v>
      </c>
    </row>
    <row r="9305" spans="1:4" ht="16.5" hidden="1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313">
        <f>参数调整!$K$40*怪物掉落配置方案!$D4175</f>
        <v>6425</v>
      </c>
    </row>
    <row r="9306" spans="1:4" ht="16.5" hidden="1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313">
        <f>参数调整!$K$40*怪物掉落配置方案!$D4176</f>
        <v>7180</v>
      </c>
    </row>
    <row r="9307" spans="1:4" ht="16.5" hidden="1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313">
        <f>参数调整!$K$40*怪物掉落配置方案!$D4177</f>
        <v>8390</v>
      </c>
    </row>
    <row r="9308" spans="1:4" ht="16.5" hidden="1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313">
        <f>参数调整!$K$40*怪物掉落配置方案!$D4178</f>
        <v>9695</v>
      </c>
    </row>
    <row r="9309" spans="1:4" ht="16.5" hidden="1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313">
        <f>参数调整!$K$40*怪物掉落配置方案!$D4179</f>
        <v>11095</v>
      </c>
    </row>
    <row r="9310" spans="1:4" ht="16.5" hidden="1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313">
        <f>参数调整!$K$40*怪物掉落配置方案!$D4180</f>
        <v>12590</v>
      </c>
    </row>
    <row r="9311" spans="1:4" ht="16.5" hidden="1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313">
        <f>参数调整!$K$40*怪物掉落配置方案!$D4181</f>
        <v>14180</v>
      </c>
    </row>
    <row r="9312" spans="1:4" ht="16.5" hidden="1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313">
        <f>参数调整!$K$40*怪物掉落配置方案!$D4182</f>
        <v>15860</v>
      </c>
    </row>
    <row r="9313" spans="1:4" ht="16.5" hidden="1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313">
        <f>参数调整!$K$40*怪物掉落配置方案!$D4183</f>
        <v>17640</v>
      </c>
    </row>
    <row r="9314" spans="1:4" ht="16.5" hidden="1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313">
        <f>参数调整!$K$40*怪物掉落配置方案!$D4184</f>
        <v>19510</v>
      </c>
    </row>
    <row r="9315" spans="1:4" ht="16.5" hidden="1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313">
        <f>参数调整!$K$40*怪物掉落配置方案!$D4185</f>
        <v>21475</v>
      </c>
    </row>
    <row r="9316" spans="1:4" ht="16.5" hidden="1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313">
        <f>参数调整!$K$40*怪物掉落配置方案!$D4186</f>
        <v>23535</v>
      </c>
    </row>
    <row r="9317" spans="1:4" ht="16.5" hidden="1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313">
        <f>参数调整!$K$40*怪物掉落配置方案!$D4187</f>
        <v>25690</v>
      </c>
    </row>
    <row r="9318" spans="1:4" ht="16.5" hidden="1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313">
        <f>参数调整!$K$40*怪物掉落配置方案!$D4188</f>
        <v>4.0615588346160145E-5</v>
      </c>
    </row>
    <row r="9319" spans="1:4" ht="16.5" hidden="1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313">
        <f>参数调整!$K$40*怪物掉落配置方案!$D4189</f>
        <v>5.1404104000608944E-5</v>
      </c>
    </row>
    <row r="9320" spans="1:4" ht="16.5" hidden="1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313">
        <f>参数调整!$K$40*怪物掉落配置方案!$D4190</f>
        <v>6.3461856790875221E-5</v>
      </c>
    </row>
    <row r="9321" spans="1:4" ht="16.5" hidden="1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313">
        <f>参数调整!$K$40*怪物掉落配置方案!$D4191</f>
        <v>7.6788846716959022E-5</v>
      </c>
    </row>
    <row r="9322" spans="1:4" ht="16.5" hidden="1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313">
        <f>参数调整!$K$40*怪物掉落配置方案!$D4192</f>
        <v>9.1385073778860307E-5</v>
      </c>
    </row>
    <row r="9323" spans="1:4" ht="16.5" hidden="1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313">
        <f>参数调整!$K$40*怪物掉落配置方案!$D4193</f>
        <v>1.0725053797657913E-4</v>
      </c>
    </row>
    <row r="9324" spans="1:4" ht="16.5" hidden="1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313">
        <f>参数调整!$K$40*怪物掉落配置方案!$D4194</f>
        <v>1.2438523931011542E-4</v>
      </c>
    </row>
    <row r="9325" spans="1:4" ht="16.5" hidden="1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313">
        <f>参数调整!$K$40*怪物掉落配置方案!$D4195</f>
        <v>1.4278917777946925E-4</v>
      </c>
    </row>
    <row r="9326" spans="1:4" ht="16.5" hidden="1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313">
        <f>参数调整!$K$40*怪物掉落配置方案!$D4196</f>
        <v>1.6246235338464061E-4</v>
      </c>
    </row>
    <row r="9327" spans="1:4" ht="16.5" hidden="1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313">
        <f>参数调整!$K$40*怪物掉落配置方案!$D4197</f>
        <v>2.0561641600243572E-4</v>
      </c>
    </row>
    <row r="9328" spans="1:4" ht="16.5" hidden="1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313">
        <f>参数调整!$K$40*怪物掉落配置方案!$D4198</f>
        <v>2.5384742716350083E-4</v>
      </c>
    </row>
    <row r="9329" spans="1:4" ht="16.5" hidden="1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313">
        <f>参数调整!$K$40*怪物掉落配置方案!$D4199</f>
        <v>3.0715538686783609E-4</v>
      </c>
    </row>
    <row r="9330" spans="1:4" ht="16.5" hidden="1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313">
        <f>参数调整!$K$40*怪物掉落配置方案!$D4200</f>
        <v>3.9663660494297014E-4</v>
      </c>
    </row>
    <row r="9331" spans="1:4" ht="16.5" hidden="1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313">
        <f>参数调整!$K$40*怪物掉落配置方案!$D4201</f>
        <v>5.7115671111787679E-4</v>
      </c>
    </row>
    <row r="9332" spans="1:4" ht="16.5" hidden="1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313">
        <f>参数调整!$K$40*怪物掉落配置方案!$D4202</f>
        <v>7.7740774568822138E-4</v>
      </c>
    </row>
    <row r="9333" spans="1:4" ht="16.5" hidden="1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313">
        <f>参数调整!$K$40*怪物掉落配置方案!$D4203</f>
        <v>8.6879281946708182E-4</v>
      </c>
    </row>
    <row r="9334" spans="1:4" ht="16.5" hidden="1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313">
        <f>参数调整!$K$40*怪物掉落配置方案!$D4204</f>
        <v>1.0153897086540033E-3</v>
      </c>
    </row>
    <row r="9335" spans="1:4" ht="16.5" hidden="1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313">
        <f>参数调整!$K$40*怪物掉落配置方案!$D4205</f>
        <v>1.1734097320632826E-3</v>
      </c>
    </row>
    <row r="9336" spans="1:4" ht="16.5" hidden="1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313">
        <f>参数调整!$K$40*怪物掉落配置方案!$D4206</f>
        <v>1.3428528896949196E-3</v>
      </c>
    </row>
    <row r="9337" spans="1:4" ht="16.5" hidden="1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313">
        <f>参数调整!$K$40*怪物掉落配置方案!$D4207</f>
        <v>1.5237191815489143E-3</v>
      </c>
    </row>
    <row r="9338" spans="1:4" ht="16.5" hidden="1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313">
        <f>参数调整!$K$40*怪物掉落配置方案!$D4208</f>
        <v>1.7160086076252661E-3</v>
      </c>
    </row>
    <row r="9339" spans="1:4" ht="16.5" hidden="1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313">
        <f>参数调整!$K$40*怪物掉落配置方案!$D4209</f>
        <v>1.9197211679239756E-3</v>
      </c>
    </row>
    <row r="9340" spans="1:4" ht="16.5" hidden="1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313">
        <f>参数调整!$K$40*怪物掉落配置方案!$D4210</f>
        <v>2.1348568624450421E-3</v>
      </c>
    </row>
    <row r="9341" spans="1:4" ht="16.5" hidden="1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313">
        <f>参数调整!$K$40*怪物掉落配置方案!$D4211</f>
        <v>2.3614156911884667E-3</v>
      </c>
    </row>
    <row r="9342" spans="1:4" ht="16.5" hidden="1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313">
        <f>参数调整!$K$40*怪物掉落配置方案!$D4212</f>
        <v>2.5993976541542493E-3</v>
      </c>
    </row>
    <row r="9343" spans="1:4" ht="16.5" hidden="1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313">
        <f>参数调整!$K$40*怪物掉落配置方案!$D4213</f>
        <v>2.8488027513423886E-3</v>
      </c>
    </row>
    <row r="9344" spans="1:4" ht="16.5" hidden="1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313">
        <f>参数调整!$K$40*怪物掉落配置方案!$D4214</f>
        <v>3.109630982752886E-3</v>
      </c>
    </row>
    <row r="9345" spans="1:4" ht="16.5" hidden="1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313">
        <f>参数调整!$K$40*怪物掉落配置方案!$D4215</f>
        <v>0</v>
      </c>
    </row>
    <row r="9346" spans="1:4" ht="16.5" hidden="1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313">
        <f>参数调整!$K$40*怪物掉落配置方案!$D4216</f>
        <v>0</v>
      </c>
    </row>
    <row r="9347" spans="1:4" ht="16.5" hidden="1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313">
        <f>参数调整!$K$40*怪物掉落配置方案!$D4217</f>
        <v>0</v>
      </c>
    </row>
    <row r="9348" spans="1:4" ht="16.5" hidden="1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313">
        <f>参数调整!$K$40*怪物掉落配置方案!$D4218</f>
        <v>0</v>
      </c>
    </row>
    <row r="9349" spans="1:4" ht="16.5" hidden="1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313">
        <f>参数调整!$K$40*怪物掉落配置方案!$D4219</f>
        <v>0</v>
      </c>
    </row>
    <row r="9350" spans="1:4" ht="16.5" hidden="1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313">
        <f>参数调整!$K$40*怪物掉落配置方案!$D4220</f>
        <v>0</v>
      </c>
    </row>
    <row r="9351" spans="1:4" ht="16.5" hidden="1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313">
        <f>参数调整!$K$40*怪物掉落配置方案!$D4221</f>
        <v>0</v>
      </c>
    </row>
    <row r="9352" spans="1:4" ht="16.5" hidden="1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313">
        <f>参数调整!$K$40*怪物掉落配置方案!$D4222</f>
        <v>0</v>
      </c>
    </row>
    <row r="9353" spans="1:4" ht="16.5" hidden="1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313">
        <f>参数调整!$K$40*怪物掉落配置方案!$D4223</f>
        <v>0</v>
      </c>
    </row>
    <row r="9354" spans="1:4" ht="16.5" hidden="1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313">
        <f>参数调整!$K$40*怪物掉落配置方案!$D4224</f>
        <v>0</v>
      </c>
    </row>
    <row r="9355" spans="1:4" ht="16.5" hidden="1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313">
        <f>参数调整!$K$40*怪物掉落配置方案!$D4225</f>
        <v>0</v>
      </c>
    </row>
    <row r="9356" spans="1:4" ht="16.5" hidden="1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313">
        <f>参数调整!$K$40*怪物掉落配置方案!$D4226</f>
        <v>0</v>
      </c>
    </row>
    <row r="9357" spans="1:4" ht="16.5" hidden="1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313">
        <f>参数调整!$K$40*怪物掉落配置方案!$D4227</f>
        <v>0</v>
      </c>
    </row>
    <row r="9358" spans="1:4" ht="16.5" hidden="1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313">
        <f>参数调整!$K$40*怪物掉落配置方案!$D4228</f>
        <v>0</v>
      </c>
    </row>
    <row r="9359" spans="1:4" ht="16.5" hidden="1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313">
        <f>参数调整!$K$40*怪物掉落配置方案!$D4229</f>
        <v>0</v>
      </c>
    </row>
    <row r="9360" spans="1:4" ht="16.5" hidden="1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313">
        <f>参数调整!$K$40*怪物掉落配置方案!$D4230</f>
        <v>0</v>
      </c>
    </row>
    <row r="9361" spans="1:4" ht="16.5" hidden="1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313">
        <f>参数调整!$K$40*怪物掉落配置方案!$D4231</f>
        <v>0</v>
      </c>
    </row>
    <row r="9362" spans="1:4" ht="16.5" hidden="1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313">
        <f>参数调整!$K$40*怪物掉落配置方案!$D4232</f>
        <v>0</v>
      </c>
    </row>
    <row r="9363" spans="1:4" ht="16.5" hidden="1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313">
        <f>参数调整!$K$40*怪物掉落配置方案!$D4233</f>
        <v>0</v>
      </c>
    </row>
    <row r="9364" spans="1:4" ht="16.5" hidden="1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313">
        <f>参数调整!$K$40*怪物掉落配置方案!$D4234</f>
        <v>0</v>
      </c>
    </row>
    <row r="9365" spans="1:4" ht="16.5" hidden="1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313">
        <f>参数调整!$K$40*怪物掉落配置方案!$D4235</f>
        <v>0</v>
      </c>
    </row>
    <row r="9366" spans="1:4" ht="16.5" hidden="1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313">
        <f>参数调整!$K$40*怪物掉落配置方案!$D4236</f>
        <v>0</v>
      </c>
    </row>
    <row r="9367" spans="1:4" ht="16.5" hidden="1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313">
        <f>参数调整!$K$40*怪物掉落配置方案!$D4237</f>
        <v>0</v>
      </c>
    </row>
    <row r="9368" spans="1:4" ht="16.5" hidden="1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313">
        <f>参数调整!$K$40*怪物掉落配置方案!$D4238</f>
        <v>0</v>
      </c>
    </row>
    <row r="9369" spans="1:4" ht="16.5" hidden="1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313">
        <f>参数调整!$K$40*怪物掉落配置方案!$D4239</f>
        <v>0</v>
      </c>
    </row>
    <row r="9370" spans="1:4" ht="16.5" hidden="1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313">
        <f>参数调整!$K$40*怪物掉落配置方案!$D4240</f>
        <v>0</v>
      </c>
    </row>
    <row r="9371" spans="1:4" ht="16.5" hidden="1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313">
        <f>参数调整!$K$40*怪物掉落配置方案!$D4241</f>
        <v>0</v>
      </c>
    </row>
    <row r="9372" spans="1:4" ht="16.5" hidden="1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313">
        <f>参数调整!$K$40*怪物掉落配置方案!$D4242</f>
        <v>0</v>
      </c>
    </row>
    <row r="9373" spans="1:4" ht="16.5" hidden="1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313">
        <f>参数调整!$K$40*怪物掉落配置方案!$D4243</f>
        <v>0</v>
      </c>
    </row>
    <row r="9374" spans="1:4" ht="16.5" hidden="1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313">
        <f>参数调整!$K$40*怪物掉落配置方案!$D4244</f>
        <v>0</v>
      </c>
    </row>
    <row r="9375" spans="1:4" ht="16.5" hidden="1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313">
        <f>参数调整!$K$40*怪物掉落配置方案!$D4245</f>
        <v>0</v>
      </c>
    </row>
    <row r="9376" spans="1:4" ht="16.5" hidden="1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313">
        <f>参数调整!$K$40*怪物掉落配置方案!$D4246</f>
        <v>0</v>
      </c>
    </row>
    <row r="9377" spans="1:4" ht="16.5" hidden="1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313">
        <f>参数调整!$K$40*怪物掉落配置方案!$D4247</f>
        <v>0</v>
      </c>
    </row>
    <row r="9378" spans="1:4" ht="16.5" hidden="1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313">
        <f>参数调整!$K$40*怪物掉落配置方案!$D4248</f>
        <v>0</v>
      </c>
    </row>
    <row r="9379" spans="1:4" ht="16.5" hidden="1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313">
        <f>参数调整!$K$40*怪物掉落配置方案!$D4249</f>
        <v>0</v>
      </c>
    </row>
    <row r="9380" spans="1:4" ht="16.5" hidden="1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313">
        <f>参数调整!$K$40*怪物掉落配置方案!$D4250</f>
        <v>0</v>
      </c>
    </row>
    <row r="9381" spans="1:4" ht="16.5" hidden="1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313">
        <f>参数调整!$K$40*怪物掉落配置方案!$D4251</f>
        <v>0</v>
      </c>
    </row>
    <row r="9382" spans="1:4" ht="16.5" hidden="1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313">
        <f>参数调整!$K$40*怪物掉落配置方案!$D4252</f>
        <v>0</v>
      </c>
    </row>
    <row r="9383" spans="1:4" ht="16.5" hidden="1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313">
        <f>参数调整!$K$40*怪物掉落配置方案!$D4253</f>
        <v>0</v>
      </c>
    </row>
    <row r="9384" spans="1:4" ht="16.5" hidden="1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313">
        <f>参数调整!$K$40*怪物掉落配置方案!$D4254</f>
        <v>0</v>
      </c>
    </row>
    <row r="9385" spans="1:4" ht="16.5" hidden="1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313">
        <f>参数调整!$K$40*怪物掉落配置方案!$D4255</f>
        <v>0</v>
      </c>
    </row>
    <row r="9386" spans="1:4" ht="16.5" hidden="1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313">
        <f>参数调整!$K$40*怪物掉落配置方案!$D4256</f>
        <v>0</v>
      </c>
    </row>
    <row r="9387" spans="1:4" ht="16.5" hidden="1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313">
        <f>参数调整!$K$40*怪物掉落配置方案!$D4257</f>
        <v>0</v>
      </c>
    </row>
    <row r="9388" spans="1:4" ht="16.5" hidden="1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313">
        <f>参数调整!$K$40*怪物掉落配置方案!$D4258</f>
        <v>0</v>
      </c>
    </row>
    <row r="9389" spans="1:4" ht="16.5" hidden="1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313">
        <f>参数调整!$K$40*怪物掉落配置方案!$D4259</f>
        <v>0</v>
      </c>
    </row>
    <row r="9390" spans="1:4" ht="16.5" hidden="1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313">
        <f>参数调整!$K$40*怪物掉落配置方案!$D4260</f>
        <v>0</v>
      </c>
    </row>
    <row r="9391" spans="1:4" ht="16.5" hidden="1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313">
        <f>参数调整!$K$40*怪物掉落配置方案!$D4261</f>
        <v>0</v>
      </c>
    </row>
    <row r="9392" spans="1:4" ht="16.5" hidden="1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313">
        <f>参数调整!$K$40*怪物掉落配置方案!$D4262</f>
        <v>0</v>
      </c>
    </row>
    <row r="9393" spans="1:4" ht="16.5" hidden="1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313">
        <f>参数调整!$K$40*怪物掉落配置方案!$D4263</f>
        <v>0</v>
      </c>
    </row>
    <row r="9394" spans="1:4" ht="16.5" hidden="1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313">
        <f>参数调整!$K$40*怪物掉落配置方案!$D4264</f>
        <v>0</v>
      </c>
    </row>
    <row r="9395" spans="1:4" ht="16.5" hidden="1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313">
        <f>参数调整!$K$40*怪物掉落配置方案!$D4265</f>
        <v>0</v>
      </c>
    </row>
    <row r="9396" spans="1:4" ht="16.5" hidden="1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313">
        <f>参数调整!$K$40*怪物掉落配置方案!$D4266</f>
        <v>0</v>
      </c>
    </row>
    <row r="9397" spans="1:4" ht="16.5" hidden="1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313">
        <f>参数调整!$K$40*怪物掉落配置方案!$D4267</f>
        <v>0</v>
      </c>
    </row>
    <row r="9398" spans="1:4" ht="16.5" hidden="1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313">
        <f>参数调整!$K$40*怪物掉落配置方案!$D4268</f>
        <v>0</v>
      </c>
    </row>
    <row r="9399" spans="1:4" ht="16.5" hidden="1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313">
        <f>参数调整!$K$40*怪物掉落配置方案!$D4269</f>
        <v>0</v>
      </c>
    </row>
    <row r="9400" spans="1:4" ht="16.5" hidden="1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313">
        <f>参数调整!$K$40*怪物掉落配置方案!$D4270</f>
        <v>0</v>
      </c>
    </row>
    <row r="9401" spans="1:4" ht="16.5" hidden="1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313">
        <f>参数调整!$K$40*怪物掉落配置方案!$D4271</f>
        <v>0</v>
      </c>
    </row>
    <row r="9402" spans="1:4" ht="16.5" hidden="1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313">
        <f>参数调整!$K$40*怪物掉落配置方案!$D4272</f>
        <v>0</v>
      </c>
    </row>
    <row r="9403" spans="1:4" ht="16.5" hidden="1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313">
        <f>参数调整!$K$40*怪物掉落配置方案!$D4273</f>
        <v>0</v>
      </c>
    </row>
    <row r="9404" spans="1:4" ht="16.5" hidden="1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313">
        <f>参数调整!$K$40*怪物掉落配置方案!$D4274</f>
        <v>0</v>
      </c>
    </row>
    <row r="9405" spans="1:4" ht="16.5" hidden="1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313">
        <f>参数调整!$K$40*怪物掉落配置方案!$D4275</f>
        <v>0</v>
      </c>
    </row>
    <row r="9406" spans="1:4" ht="16.5" hidden="1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313">
        <f>参数调整!$K$40*怪物掉落配置方案!$D4276</f>
        <v>0</v>
      </c>
    </row>
    <row r="9407" spans="1:4" ht="16.5" hidden="1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313">
        <f>参数调整!$K$40*怪物掉落配置方案!$D4277</f>
        <v>0</v>
      </c>
    </row>
    <row r="9408" spans="1:4" ht="16.5" hidden="1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313">
        <f>参数调整!$K$40*怪物掉落配置方案!$D4278</f>
        <v>0</v>
      </c>
    </row>
    <row r="9409" spans="1:4" ht="16.5" hidden="1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313">
        <f>参数调整!$K$40*怪物掉落配置方案!$D4279</f>
        <v>0</v>
      </c>
    </row>
    <row r="9410" spans="1:4" ht="16.5" hidden="1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313">
        <f>参数调整!$K$40*怪物掉落配置方案!$D4280</f>
        <v>0</v>
      </c>
    </row>
    <row r="9411" spans="1:4" ht="16.5" hidden="1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313">
        <f>参数调整!$K$40*怪物掉落配置方案!$D4281</f>
        <v>0</v>
      </c>
    </row>
    <row r="9412" spans="1:4" ht="16.5" hidden="1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313">
        <f>参数调整!$K$40*怪物掉落配置方案!$D4282</f>
        <v>0</v>
      </c>
    </row>
    <row r="9413" spans="1:4" ht="16.5" hidden="1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313">
        <f>参数调整!$K$40*怪物掉落配置方案!$D4283</f>
        <v>0</v>
      </c>
    </row>
    <row r="9414" spans="1:4" ht="16.5" hidden="1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313">
        <f>参数调整!$K$40*怪物掉落配置方案!$D4284</f>
        <v>0</v>
      </c>
    </row>
    <row r="9415" spans="1:4" ht="16.5" hidden="1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313">
        <f>参数调整!$K$40*怪物掉落配置方案!$D4285</f>
        <v>0</v>
      </c>
    </row>
    <row r="9416" spans="1:4" ht="16.5" hidden="1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313">
        <f>参数调整!$K$40*怪物掉落配置方案!$D4286</f>
        <v>0</v>
      </c>
    </row>
    <row r="9417" spans="1:4" ht="16.5" hidden="1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313">
        <f>参数调整!$K$40*怪物掉落配置方案!$D4287</f>
        <v>0</v>
      </c>
    </row>
    <row r="9418" spans="1:4" ht="16.5" hidden="1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313">
        <f>参数调整!$K$40*怪物掉落配置方案!$D4288</f>
        <v>0</v>
      </c>
    </row>
    <row r="9419" spans="1:4" ht="16.5" hidden="1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313">
        <f>参数调整!$K$40*怪物掉落配置方案!$D4289</f>
        <v>0</v>
      </c>
    </row>
    <row r="9420" spans="1:4" ht="16.5" hidden="1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313">
        <f>参数调整!$K$40*怪物掉落配置方案!$D4290</f>
        <v>0</v>
      </c>
    </row>
    <row r="9421" spans="1:4" ht="16.5" hidden="1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313">
        <f>参数调整!$K$40*怪物掉落配置方案!$D4291</f>
        <v>0</v>
      </c>
    </row>
    <row r="9422" spans="1:4" ht="16.5" hidden="1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313">
        <f>参数调整!$K$40*怪物掉落配置方案!$D4292</f>
        <v>0</v>
      </c>
    </row>
    <row r="9423" spans="1:4" ht="16.5" hidden="1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313">
        <f>参数调整!$K$40*怪物掉落配置方案!$D4293</f>
        <v>0</v>
      </c>
    </row>
    <row r="9424" spans="1:4" ht="16.5" hidden="1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313">
        <f>参数调整!$K$40*怪物掉落配置方案!$D4294</f>
        <v>0</v>
      </c>
    </row>
    <row r="9425" spans="1:4" ht="16.5" hidden="1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313">
        <f>参数调整!$K$40*怪物掉落配置方案!$D4295</f>
        <v>0</v>
      </c>
    </row>
    <row r="9426" spans="1:4" ht="16.5" hidden="1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313">
        <f>参数调整!$K$40*怪物掉落配置方案!$D4296</f>
        <v>0</v>
      </c>
    </row>
    <row r="9427" spans="1:4" ht="16.5" hidden="1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313">
        <f>参数调整!$K$40*怪物掉落配置方案!$D4297</f>
        <v>0</v>
      </c>
    </row>
    <row r="9428" spans="1:4" ht="16.5" hidden="1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313">
        <f>参数调整!$K$40*怪物掉落配置方案!$D4298</f>
        <v>0</v>
      </c>
    </row>
    <row r="9429" spans="1:4" ht="16.5" hidden="1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313">
        <f>参数调整!$K$40*怪物掉落配置方案!$D4299</f>
        <v>0</v>
      </c>
    </row>
    <row r="9430" spans="1:4" ht="16.5" hidden="1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313">
        <f>参数调整!$K$40*怪物掉落配置方案!$D4300</f>
        <v>0</v>
      </c>
    </row>
    <row r="9431" spans="1:4" ht="16.5" hidden="1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313">
        <f>参数调整!$K$40*怪物掉落配置方案!$D4301</f>
        <v>0</v>
      </c>
    </row>
    <row r="9432" spans="1:4" ht="16.5" hidden="1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313">
        <f>参数调整!$K$40*怪物掉落配置方案!$D4302</f>
        <v>0</v>
      </c>
    </row>
    <row r="9433" spans="1:4" ht="16.5" hidden="1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313">
        <f>参数调整!$K$40*怪物掉落配置方案!$D4303</f>
        <v>0</v>
      </c>
    </row>
    <row r="9434" spans="1:4" ht="16.5" hidden="1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313">
        <f>参数调整!$K$40*怪物掉落配置方案!$D4304</f>
        <v>0</v>
      </c>
    </row>
    <row r="9435" spans="1:4" ht="16.5" hidden="1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313">
        <f>参数调整!$K$40*怪物掉落配置方案!$D4305</f>
        <v>0</v>
      </c>
    </row>
    <row r="9436" spans="1:4" ht="16.5" hidden="1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313">
        <f>参数调整!$K$40*怪物掉落配置方案!$D4306</f>
        <v>0</v>
      </c>
    </row>
    <row r="9437" spans="1:4" ht="16.5" hidden="1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313">
        <f>参数调整!$K$40*怪物掉落配置方案!$D4307</f>
        <v>0</v>
      </c>
    </row>
    <row r="9438" spans="1:4" ht="16.5" hidden="1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313">
        <f>参数调整!$K$40*怪物掉落配置方案!$D4308</f>
        <v>0</v>
      </c>
    </row>
    <row r="9439" spans="1:4" ht="16.5" hidden="1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313">
        <f>参数调整!$K$40*怪物掉落配置方案!$D4309</f>
        <v>0</v>
      </c>
    </row>
    <row r="9440" spans="1:4" ht="16.5" hidden="1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313">
        <f>参数调整!$K$40*怪物掉落配置方案!$D4310</f>
        <v>0</v>
      </c>
    </row>
    <row r="9441" spans="1:4" ht="16.5" hidden="1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313">
        <f>参数调整!$K$40*怪物掉落配置方案!$D4311</f>
        <v>0</v>
      </c>
    </row>
    <row r="9442" spans="1:4" ht="16.5" hidden="1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313">
        <f>参数调整!$K$40*怪物掉落配置方案!$D4312</f>
        <v>0</v>
      </c>
    </row>
    <row r="9443" spans="1:4" ht="16.5" hidden="1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313">
        <f>参数调整!$K$40*怪物掉落配置方案!$D4313</f>
        <v>0</v>
      </c>
    </row>
    <row r="9444" spans="1:4" ht="16.5" hidden="1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313">
        <f>参数调整!$K$40*怪物掉落配置方案!$D4314</f>
        <v>0</v>
      </c>
    </row>
    <row r="9445" spans="1:4" ht="16.5" hidden="1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313">
        <f>参数调整!$K$40*怪物掉落配置方案!$D4315</f>
        <v>0</v>
      </c>
    </row>
    <row r="9446" spans="1:4" ht="16.5" hidden="1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313">
        <f>参数调整!$K$40*怪物掉落配置方案!$D4316</f>
        <v>0</v>
      </c>
    </row>
    <row r="9447" spans="1:4" ht="16.5" hidden="1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313">
        <f>参数调整!$K$40*怪物掉落配置方案!$D4317</f>
        <v>0</v>
      </c>
    </row>
    <row r="9448" spans="1:4" ht="16.5" hidden="1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313">
        <f>参数调整!$K$40*怪物掉落配置方案!$D4318</f>
        <v>0</v>
      </c>
    </row>
    <row r="9449" spans="1:4" ht="16.5" hidden="1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313">
        <f>参数调整!$K$40*怪物掉落配置方案!$D4319</f>
        <v>0</v>
      </c>
    </row>
    <row r="9450" spans="1:4" ht="16.5" hidden="1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313">
        <f>参数调整!$K$40*怪物掉落配置方案!$D4320</f>
        <v>0</v>
      </c>
    </row>
    <row r="9451" spans="1:4" ht="16.5" hidden="1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313">
        <f>参数调整!$K$40*怪物掉落配置方案!$D4321</f>
        <v>0</v>
      </c>
    </row>
    <row r="9452" spans="1:4" ht="16.5" hidden="1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313">
        <f>参数调整!$K$40*怪物掉落配置方案!$D4322</f>
        <v>0</v>
      </c>
    </row>
    <row r="9453" spans="1:4" ht="16.5" hidden="1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313">
        <f>参数调整!$K$40*怪物掉落配置方案!$D4323</f>
        <v>0</v>
      </c>
    </row>
    <row r="9454" spans="1:4" ht="16.5" hidden="1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313">
        <f>参数调整!$K$40*怪物掉落配置方案!$D4324</f>
        <v>0</v>
      </c>
    </row>
    <row r="9455" spans="1:4" ht="16.5" hidden="1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313">
        <f>参数调整!$K$40*怪物掉落配置方案!$D4325</f>
        <v>0</v>
      </c>
    </row>
    <row r="9456" spans="1:4" ht="16.5" hidden="1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313">
        <f>参数调整!$K$40*怪物掉落配置方案!$D4326</f>
        <v>0</v>
      </c>
    </row>
    <row r="9457" spans="1:4" ht="16.5" hidden="1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313">
        <f>参数调整!$K$40*怪物掉落配置方案!$D4327</f>
        <v>0</v>
      </c>
    </row>
    <row r="9458" spans="1:4" ht="16.5" hidden="1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313">
        <f>参数调整!$K$40*怪物掉落配置方案!$D4328</f>
        <v>0</v>
      </c>
    </row>
    <row r="9459" spans="1:4" ht="16.5" hidden="1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313">
        <f>参数调整!$K$40*怪物掉落配置方案!$D4329</f>
        <v>0</v>
      </c>
    </row>
    <row r="9460" spans="1:4" ht="16.5" hidden="1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313">
        <f>参数调整!$K$40*怪物掉落配置方案!$D4330</f>
        <v>0</v>
      </c>
    </row>
    <row r="9461" spans="1:4" ht="16.5" hidden="1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313">
        <f>参数调整!$K$40*怪物掉落配置方案!$D4331</f>
        <v>0</v>
      </c>
    </row>
    <row r="9462" spans="1:4" ht="16.5" hidden="1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313">
        <f>参数调整!$K$40*怪物掉落配置方案!$D4332</f>
        <v>0</v>
      </c>
    </row>
    <row r="9463" spans="1:4" ht="16.5" hidden="1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313">
        <f>参数调整!$K$40*怪物掉落配置方案!$D4333</f>
        <v>0</v>
      </c>
    </row>
    <row r="9464" spans="1:4" ht="16.5" hidden="1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313">
        <f>参数调整!$K$40*怪物掉落配置方案!$D4334</f>
        <v>0</v>
      </c>
    </row>
    <row r="9465" spans="1:4" ht="16.5" hidden="1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313">
        <f>参数调整!$K$40*怪物掉落配置方案!$D4335</f>
        <v>0</v>
      </c>
    </row>
    <row r="9466" spans="1:4" ht="16.5" hidden="1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313">
        <f>参数调整!$K$40*怪物掉落配置方案!$D4336</f>
        <v>0</v>
      </c>
    </row>
    <row r="9467" spans="1:4" ht="16.5" hidden="1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313">
        <f>参数调整!$K$40*怪物掉落配置方案!$D4337</f>
        <v>0</v>
      </c>
    </row>
    <row r="9468" spans="1:4" ht="16.5" hidden="1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313">
        <f>参数调整!$K$40*怪物掉落配置方案!$D4338</f>
        <v>0</v>
      </c>
    </row>
    <row r="9469" spans="1:4" ht="16.5" hidden="1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313">
        <f>参数调整!$K$40*怪物掉落配置方案!$D4339</f>
        <v>0</v>
      </c>
    </row>
    <row r="9470" spans="1:4" ht="16.5" hidden="1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313">
        <f>参数调整!$K$40*怪物掉落配置方案!$D4340</f>
        <v>0</v>
      </c>
    </row>
    <row r="9471" spans="1:4" ht="16.5" hidden="1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313">
        <f>参数调整!$K$40*怪物掉落配置方案!$D4341</f>
        <v>0</v>
      </c>
    </row>
    <row r="9472" spans="1:4" ht="16.5" hidden="1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313">
        <f>参数调整!$K$40*怪物掉落配置方案!$D4342</f>
        <v>0</v>
      </c>
    </row>
    <row r="9473" spans="1:4" ht="16.5" hidden="1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313">
        <f>参数调整!$K$40*怪物掉落配置方案!$D4343</f>
        <v>0</v>
      </c>
    </row>
    <row r="9474" spans="1:4" ht="16.5" hidden="1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313">
        <f>参数调整!$K$40*怪物掉落配置方案!$D4344</f>
        <v>0</v>
      </c>
    </row>
    <row r="9475" spans="1:4" ht="16.5" hidden="1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313">
        <f>参数调整!$K$40*怪物掉落配置方案!$D4345</f>
        <v>0</v>
      </c>
    </row>
    <row r="9476" spans="1:4" ht="16.5" hidden="1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313">
        <f>参数调整!$K$40*怪物掉落配置方案!$D4346</f>
        <v>0</v>
      </c>
    </row>
    <row r="9477" spans="1:4" ht="16.5" hidden="1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313">
        <f>参数调整!$K$40*怪物掉落配置方案!$D4347</f>
        <v>0</v>
      </c>
    </row>
    <row r="9478" spans="1:4" ht="16.5" hidden="1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313">
        <f>参数调整!$K$40*怪物掉落配置方案!$D4348</f>
        <v>0</v>
      </c>
    </row>
    <row r="9479" spans="1:4" ht="16.5" hidden="1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313">
        <f>参数调整!$K$40*怪物掉落配置方案!$D4349</f>
        <v>0</v>
      </c>
    </row>
    <row r="9480" spans="1:4" ht="16.5" hidden="1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313">
        <f>参数调整!$K$40*怪物掉落配置方案!$D4350</f>
        <v>0</v>
      </c>
    </row>
    <row r="9481" spans="1:4" ht="16.5" hidden="1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313">
        <f>参数调整!$K$40*怪物掉落配置方案!$D4351</f>
        <v>0</v>
      </c>
    </row>
    <row r="9482" spans="1:4" ht="16.5" hidden="1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313">
        <f>参数调整!$K$40*怪物掉落配置方案!$D4352</f>
        <v>0</v>
      </c>
    </row>
    <row r="9483" spans="1:4" ht="16.5" hidden="1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313">
        <f>参数调整!$K$40*怪物掉落配置方案!$D4353</f>
        <v>0</v>
      </c>
    </row>
    <row r="9484" spans="1:4" ht="16.5" hidden="1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313">
        <f>参数调整!$K$40*怪物掉落配置方案!$D4354</f>
        <v>0</v>
      </c>
    </row>
    <row r="9485" spans="1:4" ht="16.5" hidden="1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313">
        <f>参数调整!$K$40*怪物掉落配置方案!$D4355</f>
        <v>0</v>
      </c>
    </row>
    <row r="9486" spans="1:4" ht="16.5" hidden="1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313">
        <f>参数调整!$K$40*怪物掉落配置方案!$D4356</f>
        <v>0</v>
      </c>
    </row>
    <row r="9487" spans="1:4" ht="16.5" hidden="1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313">
        <f>参数调整!$K$40*怪物掉落配置方案!$D4357</f>
        <v>0</v>
      </c>
    </row>
    <row r="9488" spans="1:4" ht="16.5" hidden="1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313">
        <f>参数调整!$K$40*怪物掉落配置方案!$D4358</f>
        <v>0</v>
      </c>
    </row>
    <row r="9489" spans="1:4" ht="16.5" hidden="1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313">
        <f>参数调整!$K$40*怪物掉落配置方案!$D4359</f>
        <v>0</v>
      </c>
    </row>
    <row r="9490" spans="1:4" ht="16.5" hidden="1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313">
        <f>参数调整!$K$40*怪物掉落配置方案!$D4360</f>
        <v>0</v>
      </c>
    </row>
    <row r="9491" spans="1:4" ht="16.5" hidden="1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313">
        <f>参数调整!$K$40*怪物掉落配置方案!$D4361</f>
        <v>0</v>
      </c>
    </row>
    <row r="9492" spans="1:4" ht="16.5" hidden="1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313">
        <f>参数调整!$K$40*怪物掉落配置方案!$D4362</f>
        <v>0</v>
      </c>
    </row>
    <row r="9493" spans="1:4" ht="16.5" hidden="1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313">
        <f>参数调整!$K$40*怪物掉落配置方案!$D4363</f>
        <v>0</v>
      </c>
    </row>
    <row r="9494" spans="1:4" ht="16.5" hidden="1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313">
        <f>参数调整!$K$40*怪物掉落配置方案!$D4364</f>
        <v>0</v>
      </c>
    </row>
    <row r="9495" spans="1:4" ht="16.5" hidden="1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313">
        <f>参数调整!$K$40*怪物掉落配置方案!$D4365</f>
        <v>0</v>
      </c>
    </row>
    <row r="9496" spans="1:4" ht="16.5" hidden="1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313">
        <f>参数调整!$K$40*怪物掉落配置方案!$D4366</f>
        <v>0</v>
      </c>
    </row>
    <row r="9497" spans="1:4" ht="16.5" hidden="1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313">
        <f>参数调整!$K$40*怪物掉落配置方案!$D4367</f>
        <v>0</v>
      </c>
    </row>
    <row r="9498" spans="1:4" ht="16.5" hidden="1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313">
        <f>参数调整!$K$40*怪物掉落配置方案!$D4368</f>
        <v>0</v>
      </c>
    </row>
    <row r="9499" spans="1:4" ht="16.5" hidden="1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313">
        <f>参数调整!$K$40*怪物掉落配置方案!$D4369</f>
        <v>0</v>
      </c>
    </row>
    <row r="9500" spans="1:4" ht="16.5" hidden="1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313">
        <f>参数调整!$K$40*怪物掉落配置方案!$D4370</f>
        <v>0</v>
      </c>
    </row>
    <row r="9501" spans="1:4" ht="16.5" hidden="1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313">
        <f>参数调整!$K$40*怪物掉落配置方案!$D4371</f>
        <v>0</v>
      </c>
    </row>
    <row r="9502" spans="1:4" ht="16.5" hidden="1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313">
        <f>参数调整!$K$40*怪物掉落配置方案!$D4372</f>
        <v>0</v>
      </c>
    </row>
    <row r="9503" spans="1:4" ht="16.5" hidden="1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313">
        <f>参数调整!$K$40*怪物掉落配置方案!$D4373</f>
        <v>0</v>
      </c>
    </row>
    <row r="9504" spans="1:4" ht="16.5" hidden="1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313">
        <f>参数调整!$K$40*怪物掉落配置方案!$D4374</f>
        <v>0</v>
      </c>
    </row>
    <row r="9505" spans="1:4" ht="16.5" hidden="1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313">
        <f>参数调整!$K$40*怪物掉落配置方案!$D4375</f>
        <v>0</v>
      </c>
    </row>
    <row r="9506" spans="1:4" ht="16.5" hidden="1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313">
        <f>参数调整!$K$40*怪物掉落配置方案!$D4376</f>
        <v>0</v>
      </c>
    </row>
    <row r="9507" spans="1:4" ht="16.5" hidden="1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313">
        <f>参数调整!$K$40*怪物掉落配置方案!$D4377</f>
        <v>0</v>
      </c>
    </row>
    <row r="9508" spans="1:4" ht="16.5" hidden="1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313">
        <f>参数调整!$K$40*怪物掉落配置方案!$D4378</f>
        <v>0</v>
      </c>
    </row>
    <row r="9509" spans="1:4" ht="16.5" hidden="1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313">
        <f>参数调整!$K$40*怪物掉落配置方案!$D4379</f>
        <v>0</v>
      </c>
    </row>
    <row r="9510" spans="1:4" ht="16.5" hidden="1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313">
        <f>参数调整!$K$40*怪物掉落配置方案!$D4380</f>
        <v>0</v>
      </c>
    </row>
    <row r="9511" spans="1:4" ht="16.5" hidden="1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313">
        <f>参数调整!$K$40*怪物掉落配置方案!$D4381</f>
        <v>0</v>
      </c>
    </row>
    <row r="9512" spans="1:4" ht="16.5" hidden="1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313">
        <f>参数调整!$K$40*怪物掉落配置方案!$D4382</f>
        <v>0</v>
      </c>
    </row>
    <row r="9513" spans="1:4" ht="16.5" hidden="1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313">
        <f>参数调整!$K$40*怪物掉落配置方案!$D4383</f>
        <v>0</v>
      </c>
    </row>
    <row r="9514" spans="1:4" ht="16.5" hidden="1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313">
        <f>参数调整!$K$40*怪物掉落配置方案!$D4384</f>
        <v>0</v>
      </c>
    </row>
    <row r="9515" spans="1:4" ht="16.5" hidden="1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313">
        <f>参数调整!$K$40*怪物掉落配置方案!$D4385</f>
        <v>0</v>
      </c>
    </row>
    <row r="9516" spans="1:4" ht="16.5" hidden="1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313">
        <f>参数调整!$K$40*怪物掉落配置方案!$D4386</f>
        <v>0</v>
      </c>
    </row>
    <row r="9517" spans="1:4" ht="16.5" hidden="1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313">
        <f>参数调整!$K$40*怪物掉落配置方案!$D4387</f>
        <v>0</v>
      </c>
    </row>
    <row r="9518" spans="1:4" ht="16.5" hidden="1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313">
        <f>参数调整!$K$40*怪物掉落配置方案!$D4388</f>
        <v>0</v>
      </c>
    </row>
    <row r="9519" spans="1:4" ht="16.5" hidden="1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313">
        <f>参数调整!$K$40*怪物掉落配置方案!$D4389</f>
        <v>0</v>
      </c>
    </row>
    <row r="9520" spans="1:4" ht="16.5" hidden="1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313">
        <f>参数调整!$K$40*怪物掉落配置方案!$D4390</f>
        <v>0</v>
      </c>
    </row>
    <row r="9521" spans="1:4" ht="16.5" hidden="1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313">
        <f>参数调整!$K$40*怪物掉落配置方案!$D4391</f>
        <v>0</v>
      </c>
    </row>
    <row r="9522" spans="1:4" ht="16.5" hidden="1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313">
        <f>参数调整!$K$40*怪物掉落配置方案!$D4392</f>
        <v>0</v>
      </c>
    </row>
    <row r="9523" spans="1:4" ht="16.5" hidden="1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313">
        <f>参数调整!$K$40*怪物掉落配置方案!$D4393</f>
        <v>0</v>
      </c>
    </row>
    <row r="9524" spans="1:4" ht="16.5" hidden="1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313">
        <f>参数调整!$K$40*怪物掉落配置方案!$D4394</f>
        <v>0</v>
      </c>
    </row>
    <row r="9525" spans="1:4" ht="16.5" hidden="1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313">
        <f>参数调整!$K$40*怪物掉落配置方案!$D4395</f>
        <v>0</v>
      </c>
    </row>
    <row r="9526" spans="1:4" ht="16.5" hidden="1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313">
        <f>参数调整!$K$40*怪物掉落配置方案!$D4396</f>
        <v>0</v>
      </c>
    </row>
    <row r="9527" spans="1:4" ht="16.5" hidden="1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313">
        <f>参数调整!$K$40*怪物掉落配置方案!$D4397</f>
        <v>0</v>
      </c>
    </row>
    <row r="9528" spans="1:4" ht="16.5" hidden="1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313">
        <f>参数调整!$K$40*怪物掉落配置方案!$D4398</f>
        <v>0</v>
      </c>
    </row>
    <row r="9529" spans="1:4" ht="16.5" hidden="1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313">
        <f>参数调整!$K$40*怪物掉落配置方案!$D4399</f>
        <v>0</v>
      </c>
    </row>
    <row r="9530" spans="1:4" ht="16.5" hidden="1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313">
        <f>参数调整!$K$40*怪物掉落配置方案!$D4400</f>
        <v>0</v>
      </c>
    </row>
    <row r="9531" spans="1:4" ht="16.5" hidden="1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313">
        <f>参数调整!$K$40*怪物掉落配置方案!$D4401</f>
        <v>0</v>
      </c>
    </row>
    <row r="9532" spans="1:4" ht="16.5" hidden="1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313">
        <f>参数调整!$K$40*怪物掉落配置方案!$D4402</f>
        <v>0</v>
      </c>
    </row>
    <row r="9533" spans="1:4" ht="16.5" hidden="1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313">
        <f>参数调整!$K$40*怪物掉落配置方案!$D4403</f>
        <v>0</v>
      </c>
    </row>
    <row r="9534" spans="1:4" ht="16.5" hidden="1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313">
        <f>参数调整!$K$40*怪物掉落配置方案!$D4404</f>
        <v>0</v>
      </c>
    </row>
    <row r="9535" spans="1:4" ht="16.5" hidden="1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313">
        <f>参数调整!$K$40*怪物掉落配置方案!$D4405</f>
        <v>0</v>
      </c>
    </row>
    <row r="9536" spans="1:4" ht="16.5" hidden="1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313">
        <f>参数调整!$K$40*怪物掉落配置方案!$D4406</f>
        <v>0</v>
      </c>
    </row>
    <row r="9537" spans="1:4" ht="16.5" hidden="1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313">
        <f>参数调整!$K$40*怪物掉落配置方案!$D4407</f>
        <v>0</v>
      </c>
    </row>
    <row r="9538" spans="1:4" ht="16.5" hidden="1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313">
        <f>参数调整!$K$40*怪物掉落配置方案!$D4408</f>
        <v>0</v>
      </c>
    </row>
    <row r="9539" spans="1:4" ht="16.5" hidden="1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313">
        <f>参数调整!$K$40*怪物掉落配置方案!$D4409</f>
        <v>0</v>
      </c>
    </row>
    <row r="9540" spans="1:4" ht="16.5" hidden="1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313">
        <f>参数调整!$K$40*怪物掉落配置方案!$D4410</f>
        <v>0</v>
      </c>
    </row>
    <row r="9541" spans="1:4" ht="16.5" hidden="1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313">
        <f>参数调整!$K$40*怪物掉落配置方案!$D4411</f>
        <v>0</v>
      </c>
    </row>
    <row r="9542" spans="1:4" ht="16.5" hidden="1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313">
        <f>参数调整!$K$40*怪物掉落配置方案!$D4412</f>
        <v>0</v>
      </c>
    </row>
    <row r="9543" spans="1:4" ht="16.5" hidden="1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313">
        <f>参数调整!$K$40*怪物掉落配置方案!$D4413</f>
        <v>0</v>
      </c>
    </row>
    <row r="9544" spans="1:4" ht="16.5" hidden="1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313">
        <f>参数调整!$K$40*怪物掉落配置方案!$D4414</f>
        <v>0</v>
      </c>
    </row>
    <row r="9545" spans="1:4" ht="16.5" hidden="1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313">
        <f>参数调整!$K$40*怪物掉落配置方案!$D4415</f>
        <v>0</v>
      </c>
    </row>
    <row r="9546" spans="1:4" ht="16.5" hidden="1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313">
        <f>参数调整!$K$40*怪物掉落配置方案!$D4416</f>
        <v>0</v>
      </c>
    </row>
    <row r="9547" spans="1:4" ht="16.5" hidden="1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313">
        <f>参数调整!$K$40*怪物掉落配置方案!$D4417</f>
        <v>0</v>
      </c>
    </row>
    <row r="9548" spans="1:4" ht="16.5" hidden="1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313">
        <f>参数调整!$K$40*怪物掉落配置方案!$D4418</f>
        <v>0</v>
      </c>
    </row>
    <row r="9549" spans="1:4" ht="16.5" hidden="1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313">
        <f>参数调整!$K$40*怪物掉落配置方案!$D4419</f>
        <v>0</v>
      </c>
    </row>
    <row r="9550" spans="1:4" ht="16.5" hidden="1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313">
        <f>参数调整!$K$40*怪物掉落配置方案!$D4420</f>
        <v>0</v>
      </c>
    </row>
    <row r="9551" spans="1:4" ht="16.5" hidden="1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313">
        <f>参数调整!$K$40*怪物掉落配置方案!$D4421</f>
        <v>0</v>
      </c>
    </row>
    <row r="9552" spans="1:4" ht="16.5" hidden="1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313">
        <f>参数调整!$K$40*怪物掉落配置方案!$D4422</f>
        <v>0</v>
      </c>
    </row>
    <row r="9553" spans="1:4" ht="16.5" hidden="1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313">
        <f>参数调整!$K$40*怪物掉落配置方案!$D4423</f>
        <v>0</v>
      </c>
    </row>
    <row r="9554" spans="1:4" ht="16.5" hidden="1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313">
        <f>参数调整!$K$40*怪物掉落配置方案!$D4424</f>
        <v>0</v>
      </c>
    </row>
    <row r="9555" spans="1:4" ht="16.5" hidden="1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313">
        <f>参数调整!$K$40*怪物掉落配置方案!$D4425</f>
        <v>0</v>
      </c>
    </row>
    <row r="9556" spans="1:4" ht="16.5" hidden="1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313">
        <f>参数调整!$K$40*怪物掉落配置方案!$D4426</f>
        <v>0</v>
      </c>
    </row>
    <row r="9557" spans="1:4" ht="16.5" hidden="1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313">
        <f>参数调整!$K$40*怪物掉落配置方案!$D4427</f>
        <v>0</v>
      </c>
    </row>
    <row r="9558" spans="1:4" ht="16.5" hidden="1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313">
        <f>参数调整!$K$40*怪物掉落配置方案!$D4428</f>
        <v>0</v>
      </c>
    </row>
    <row r="9559" spans="1:4" ht="16.5" hidden="1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313">
        <f>参数调整!$K$40*怪物掉落配置方案!$D4429</f>
        <v>0</v>
      </c>
    </row>
    <row r="9560" spans="1:4" ht="16.5" hidden="1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313">
        <f>参数调整!$K$40*怪物掉落配置方案!$D4430</f>
        <v>0</v>
      </c>
    </row>
    <row r="9561" spans="1:4" ht="16.5" hidden="1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313">
        <f>参数调整!$K$40*怪物掉落配置方案!$D4431</f>
        <v>0</v>
      </c>
    </row>
    <row r="9562" spans="1:4" ht="16.5" hidden="1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313">
        <f>参数调整!$K$40*怪物掉落配置方案!$D4432</f>
        <v>0</v>
      </c>
    </row>
    <row r="9563" spans="1:4" ht="16.5" hidden="1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313">
        <f>参数调整!$K$40*怪物掉落配置方案!$D4433</f>
        <v>0</v>
      </c>
    </row>
    <row r="9564" spans="1:4" ht="16.5" hidden="1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313">
        <f>参数调整!$K$40*怪物掉落配置方案!$D4434</f>
        <v>0</v>
      </c>
    </row>
    <row r="9565" spans="1:4" ht="16.5" hidden="1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313">
        <f>参数调整!$K$40*怪物掉落配置方案!$D4435</f>
        <v>0</v>
      </c>
    </row>
    <row r="9566" spans="1:4" ht="16.5" hidden="1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313">
        <f>参数调整!$K$40*怪物掉落配置方案!$D4436</f>
        <v>0</v>
      </c>
    </row>
    <row r="9567" spans="1:4" ht="16.5" hidden="1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313">
        <f>参数调整!$K$40*怪物掉落配置方案!$D4437</f>
        <v>0</v>
      </c>
    </row>
    <row r="9568" spans="1:4" ht="16.5" hidden="1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313">
        <f>参数调整!$K$40*怪物掉落配置方案!$D4438</f>
        <v>0</v>
      </c>
    </row>
    <row r="9569" spans="1:4" ht="16.5" hidden="1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313">
        <f>参数调整!$K$40*怪物掉落配置方案!$D4439</f>
        <v>0</v>
      </c>
    </row>
    <row r="9570" spans="1:4" ht="16.5" hidden="1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313">
        <f>参数调整!$K$40*怪物掉落配置方案!$D4440</f>
        <v>0</v>
      </c>
    </row>
    <row r="9571" spans="1:4" ht="16.5" hidden="1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313">
        <f>参数调整!$K$40*怪物掉落配置方案!$D4441</f>
        <v>0</v>
      </c>
    </row>
    <row r="9572" spans="1:4" ht="16.5" hidden="1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313">
        <f>参数调整!$K$40*怪物掉落配置方案!$D4442</f>
        <v>0</v>
      </c>
    </row>
    <row r="9573" spans="1:4" ht="16.5" hidden="1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313">
        <f>参数调整!$K$40*怪物掉落配置方案!$D4443</f>
        <v>0</v>
      </c>
    </row>
    <row r="9574" spans="1:4" ht="16.5" hidden="1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313">
        <f>参数调整!$K$40*怪物掉落配置方案!$D4444</f>
        <v>0</v>
      </c>
    </row>
    <row r="9575" spans="1:4" ht="16.5" hidden="1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313">
        <f>参数调整!$K$40*怪物掉落配置方案!$D4445</f>
        <v>0</v>
      </c>
    </row>
    <row r="9576" spans="1:4" ht="16.5" hidden="1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313">
        <f>参数调整!$K$40*怪物掉落配置方案!$D4446</f>
        <v>0</v>
      </c>
    </row>
    <row r="9577" spans="1:4" ht="16.5" hidden="1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313">
        <f>参数调整!$K$40*怪物掉落配置方案!$D4447</f>
        <v>0</v>
      </c>
    </row>
    <row r="9578" spans="1:4" ht="16.5" hidden="1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313">
        <f>参数调整!$K$40*怪物掉落配置方案!$D4448</f>
        <v>0</v>
      </c>
    </row>
    <row r="9579" spans="1:4" ht="16.5" hidden="1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313">
        <f>参数调整!$K$40*怪物掉落配置方案!$D4449</f>
        <v>0</v>
      </c>
    </row>
    <row r="9580" spans="1:4" ht="16.5" hidden="1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313">
        <f>参数调整!$K$40*怪物掉落配置方案!$D4450</f>
        <v>0</v>
      </c>
    </row>
    <row r="9581" spans="1:4" ht="16.5" hidden="1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313">
        <f>参数调整!$K$40*怪物掉落配置方案!$D4451</f>
        <v>0</v>
      </c>
    </row>
    <row r="9582" spans="1:4" ht="16.5" hidden="1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313">
        <f>参数调整!$K$40*怪物掉落配置方案!$D4452</f>
        <v>0</v>
      </c>
    </row>
    <row r="9583" spans="1:4" ht="16.5" hidden="1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313">
        <f>参数调整!$K$40*怪物掉落配置方案!$D4453</f>
        <v>0</v>
      </c>
    </row>
    <row r="9584" spans="1:4" ht="16.5" hidden="1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313">
        <f>参数调整!$K$40*怪物掉落配置方案!$D4454</f>
        <v>0</v>
      </c>
    </row>
    <row r="9585" spans="1:4" ht="16.5" hidden="1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313">
        <f>参数调整!$K$40*怪物掉落配置方案!$D4455</f>
        <v>0</v>
      </c>
    </row>
    <row r="9586" spans="1:4" ht="16.5" hidden="1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313">
        <f>参数调整!$K$40*怪物掉落配置方案!$D4456</f>
        <v>0</v>
      </c>
    </row>
    <row r="9587" spans="1:4" ht="16.5" hidden="1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313">
        <f>参数调整!$K$40*怪物掉落配置方案!$D4457</f>
        <v>0</v>
      </c>
    </row>
    <row r="9588" spans="1:4" ht="16.5" hidden="1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313">
        <f>参数调整!$K$40*怪物掉落配置方案!$D4458</f>
        <v>0</v>
      </c>
    </row>
    <row r="9589" spans="1:4" ht="16.5" hidden="1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313">
        <f>参数调整!$K$40*怪物掉落配置方案!$D4459</f>
        <v>0</v>
      </c>
    </row>
    <row r="9590" spans="1:4" ht="16.5" hidden="1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313">
        <f>参数调整!$K$40*怪物掉落配置方案!$D4460</f>
        <v>0</v>
      </c>
    </row>
    <row r="9591" spans="1:4" ht="16.5" hidden="1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313">
        <f>参数调整!$K$40*怪物掉落配置方案!$D4461</f>
        <v>0</v>
      </c>
    </row>
    <row r="9592" spans="1:4" ht="16.5" hidden="1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313">
        <f>参数调整!$K$40*怪物掉落配置方案!$D4462</f>
        <v>0</v>
      </c>
    </row>
    <row r="9593" spans="1:4" ht="16.5" hidden="1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313">
        <f>参数调整!$K$40*怪物掉落配置方案!$D4463</f>
        <v>0</v>
      </c>
    </row>
    <row r="9594" spans="1:4" ht="16.5" hidden="1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313">
        <f>参数调整!$K$40*怪物掉落配置方案!$D4464</f>
        <v>0</v>
      </c>
    </row>
    <row r="9595" spans="1:4" ht="16.5" hidden="1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313">
        <f>参数调整!$K$40*怪物掉落配置方案!$D4465</f>
        <v>0</v>
      </c>
    </row>
    <row r="9596" spans="1:4" ht="16.5" hidden="1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313">
        <f>参数调整!$K$40*怪物掉落配置方案!$D4466</f>
        <v>0</v>
      </c>
    </row>
    <row r="9597" spans="1:4" ht="16.5" hidden="1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313">
        <f>参数调整!$K$40*怪物掉落配置方案!$D4467</f>
        <v>0</v>
      </c>
    </row>
    <row r="9598" spans="1:4" ht="16.5" hidden="1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313">
        <f>参数调整!$K$40*怪物掉落配置方案!$D4468</f>
        <v>0</v>
      </c>
    </row>
    <row r="9599" spans="1:4" ht="16.5" hidden="1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313">
        <f>参数调整!$K$40*怪物掉落配置方案!$D4469</f>
        <v>0</v>
      </c>
    </row>
    <row r="9600" spans="1:4" ht="16.5" hidden="1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313">
        <f>参数调整!$K$40*怪物掉落配置方案!$D4470</f>
        <v>0</v>
      </c>
    </row>
    <row r="9601" spans="1:4" ht="16.5" hidden="1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313">
        <f>参数调整!$K$40*怪物掉落配置方案!$D4471</f>
        <v>0</v>
      </c>
    </row>
    <row r="9602" spans="1:4" ht="16.5" hidden="1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313">
        <f>参数调整!$K$40*怪物掉落配置方案!$D4472</f>
        <v>0</v>
      </c>
    </row>
    <row r="9603" spans="1:4" ht="16.5" hidden="1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313">
        <f>参数调整!$K$40*怪物掉落配置方案!$D4473</f>
        <v>0</v>
      </c>
    </row>
    <row r="9604" spans="1:4" ht="16.5" hidden="1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313">
        <f>参数调整!$K$40*怪物掉落配置方案!$D4474</f>
        <v>0</v>
      </c>
    </row>
    <row r="9605" spans="1:4" ht="16.5" hidden="1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313">
        <f>参数调整!$K$40*怪物掉落配置方案!$D4475</f>
        <v>0</v>
      </c>
    </row>
    <row r="9606" spans="1:4" ht="16.5" hidden="1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313">
        <f>参数调整!$K$40*怪物掉落配置方案!$D4476</f>
        <v>0</v>
      </c>
    </row>
    <row r="9607" spans="1:4" ht="16.5" hidden="1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313">
        <f>参数调整!$K$40*怪物掉落配置方案!$D4477</f>
        <v>0</v>
      </c>
    </row>
    <row r="9608" spans="1:4" ht="16.5" hidden="1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313">
        <f>参数调整!$K$40*怪物掉落配置方案!$D4478</f>
        <v>0</v>
      </c>
    </row>
    <row r="9609" spans="1:4" ht="16.5" hidden="1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313">
        <f>参数调整!$K$40*怪物掉落配置方案!$D4479</f>
        <v>0</v>
      </c>
    </row>
    <row r="9610" spans="1:4" ht="16.5" hidden="1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313">
        <f>参数调整!$K$40*怪物掉落配置方案!$D4480</f>
        <v>0</v>
      </c>
    </row>
    <row r="9611" spans="1:4" ht="16.5" hidden="1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313">
        <f>参数调整!$K$40*怪物掉落配置方案!$D4481</f>
        <v>0</v>
      </c>
    </row>
    <row r="9612" spans="1:4" ht="16.5" hidden="1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313">
        <f>参数调整!$K$40*怪物掉落配置方案!$D4482</f>
        <v>0</v>
      </c>
    </row>
    <row r="9613" spans="1:4" ht="16.5" hidden="1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313">
        <f>参数调整!$K$40*怪物掉落配置方案!$D4483</f>
        <v>0</v>
      </c>
    </row>
    <row r="9614" spans="1:4" ht="16.5" hidden="1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313">
        <f>参数调整!$K$40*怪物掉落配置方案!$D4484</f>
        <v>0</v>
      </c>
    </row>
    <row r="9615" spans="1:4" ht="16.5" hidden="1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313">
        <f>参数调整!$K$40*怪物掉落配置方案!$D4485</f>
        <v>1.1350231805980385E-2</v>
      </c>
    </row>
    <row r="9616" spans="1:4" ht="16.5" hidden="1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313">
        <f>参数调整!$K$40*怪物掉落配置方案!$D4486</f>
        <v>1.4365137129443924E-2</v>
      </c>
    </row>
    <row r="9617" spans="1:4" ht="16.5" hidden="1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313">
        <f>参数调整!$K$40*怪物掉落配置方案!$D4487</f>
        <v>1.773473719684435E-2</v>
      </c>
    </row>
    <row r="9618" spans="1:4" ht="16.5" hidden="1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313">
        <f>参数调整!$K$40*怪物掉落配置方案!$D4488</f>
        <v>2.1459032008181667E-2</v>
      </c>
    </row>
    <row r="9619" spans="1:4" ht="16.5" hidden="1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313">
        <f>参数调整!$K$40*怪物掉落配置方案!$D4489</f>
        <v>2.5538021563455859E-2</v>
      </c>
    </row>
    <row r="9620" spans="1:4" ht="16.5" hidden="1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313">
        <f>参数调整!$K$40*怪物掉落配置方案!$D4490</f>
        <v>2.9971705862666953E-2</v>
      </c>
    </row>
    <row r="9621" spans="1:4" ht="16.5" hidden="1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313">
        <f>参数调整!$K$40*怪物掉落配置方案!$D4491</f>
        <v>3.476008490581492E-2</v>
      </c>
    </row>
    <row r="9622" spans="1:4" ht="16.5" hidden="1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313">
        <f>参数调整!$K$40*怪物掉落配置方案!$D4492</f>
        <v>3.9903158692899787E-2</v>
      </c>
    </row>
    <row r="9623" spans="1:4" ht="16.5" hidden="1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313">
        <f>参数调整!$K$40*怪物掉落配置方案!$D4493</f>
        <v>4.5400927223921549E-2</v>
      </c>
    </row>
    <row r="9624" spans="1:4" ht="16.5" hidden="1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313">
        <f>参数调整!$K$40*怪物掉落配置方案!$D4494</f>
        <v>5.7460548517775711E-2</v>
      </c>
    </row>
    <row r="9625" spans="1:4" ht="16.5" hidden="1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313">
        <f>参数调整!$K$40*怪物掉落配置方案!$D4495</f>
        <v>7.0938948787377401E-2</v>
      </c>
    </row>
    <row r="9626" spans="1:4" ht="16.5" hidden="1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313">
        <f>参数调整!$K$40*怪物掉落配置方案!$D4496</f>
        <v>8.5836128032726666E-2</v>
      </c>
    </row>
    <row r="9627" spans="1:4" ht="16.5" hidden="1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313">
        <f>参数调整!$K$40*怪物掉落配置方案!$D4497</f>
        <v>0.11084210748027719</v>
      </c>
    </row>
    <row r="9628" spans="1:4" ht="16.5" hidden="1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313">
        <f>参数调整!$K$40*怪物掉落配置方案!$D4498</f>
        <v>0.15961263477159912</v>
      </c>
    </row>
    <row r="9629" spans="1:4" ht="16.5" hidden="1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313">
        <f>参数调整!$K$40*怪物掉落配置方案!$D4499</f>
        <v>0.21725053066134326</v>
      </c>
    </row>
    <row r="9630" spans="1:4" ht="16.5" hidden="1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313">
        <f>参数调整!$K$40*怪物掉落配置方案!$D4500</f>
        <v>0.24278855222479917</v>
      </c>
    </row>
    <row r="9631" spans="1:4" ht="16.5" hidden="1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313">
        <f>参数调整!$K$40*怪物掉落配置方案!$D4501</f>
        <v>0.2837557951495096</v>
      </c>
    </row>
    <row r="9632" spans="1:4" ht="16.5" hidden="1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313">
        <f>参数调整!$K$40*怪物掉落配置方案!$D4502</f>
        <v>0.32791529076965198</v>
      </c>
    </row>
    <row r="9633" spans="1:4" ht="16.5" hidden="1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313">
        <f>参数调整!$K$40*怪物掉落配置方案!$D4503</f>
        <v>0.37526703908522641</v>
      </c>
    </row>
    <row r="9634" spans="1:4" ht="16.5" hidden="1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313">
        <f>参数调整!$K$40*怪物掉落配置方案!$D4504</f>
        <v>0.42581104009623294</v>
      </c>
    </row>
    <row r="9635" spans="1:4" ht="16.5" hidden="1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313">
        <f>参数调整!$K$40*怪物掉落配置方案!$D4505</f>
        <v>0.47954729380267119</v>
      </c>
    </row>
    <row r="9636" spans="1:4" ht="16.5" hidden="1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313">
        <f>参数调整!$K$40*怪物掉落配置方案!$D4506</f>
        <v>0.53647580020454155</v>
      </c>
    </row>
    <row r="9637" spans="1:4" ht="16.5" hidden="1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313">
        <f>参数调整!$K$40*怪物掉落配置方案!$D4507</f>
        <v>0.59659655930184396</v>
      </c>
    </row>
    <row r="9638" spans="1:4" ht="16.5" hidden="1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313">
        <f>参数调整!$K$40*怪物掉落配置方案!$D4508</f>
        <v>0.65990957109457804</v>
      </c>
    </row>
    <row r="9639" spans="1:4" ht="16.5" hidden="1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313">
        <f>参数调整!$K$40*怪物掉落配置方案!$D4509</f>
        <v>0.72641483558274478</v>
      </c>
    </row>
    <row r="9640" spans="1:4" ht="16.5" hidden="1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313">
        <f>参数调整!$K$40*怪物掉落配置方案!$D4510</f>
        <v>0.79611235276634285</v>
      </c>
    </row>
    <row r="9641" spans="1:4" ht="16.5" hidden="1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313">
        <f>参数调整!$K$40*怪物掉落配置方案!$D4511</f>
        <v>0.86900212264537324</v>
      </c>
    </row>
    <row r="9642" spans="1:4" ht="16.5" hidden="1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313">
        <f>参数调整!$K$40*怪物掉落配置方案!$D4512</f>
        <v>2.9560536442579778E-3</v>
      </c>
    </row>
    <row r="9643" spans="1:4" ht="16.5" hidden="1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313">
        <f>参数调整!$K$40*怪物掉落配置方案!$D4513</f>
        <v>3.7412553935140028E-3</v>
      </c>
    </row>
    <row r="9644" spans="1:4" ht="16.5" hidden="1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313">
        <f>参数调整!$K$40*怪物掉落配置方案!$D4514</f>
        <v>4.6188338191530892E-3</v>
      </c>
    </row>
    <row r="9645" spans="1:4" ht="16.5" hidden="1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313">
        <f>参数调整!$K$40*怪物掉落配置方案!$D4515</f>
        <v>5.5887889211752393E-3</v>
      </c>
    </row>
    <row r="9646" spans="1:4" ht="16.5" hidden="1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313">
        <f>参数调整!$K$40*怪物掉落配置方案!$D4516</f>
        <v>6.6511206995804482E-3</v>
      </c>
    </row>
    <row r="9647" spans="1:4" ht="16.5" hidden="1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313">
        <f>参数调整!$K$40*怪物掉落配置方案!$D4517</f>
        <v>7.8058291543687229E-3</v>
      </c>
    </row>
    <row r="9648" spans="1:4" ht="16.5" hidden="1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313">
        <f>参数调整!$K$40*怪物掉落配置方案!$D4518</f>
        <v>9.0529142855400539E-3</v>
      </c>
    </row>
    <row r="9649" spans="1:4" ht="16.5" hidden="1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313">
        <f>参数调整!$K$40*怪物掉落配置方案!$D4519</f>
        <v>1.0392376093094452E-2</v>
      </c>
    </row>
    <row r="9650" spans="1:4" ht="16.5" hidden="1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313">
        <f>参数调整!$K$40*怪物掉落配置方案!$D4520</f>
        <v>1.1824214577031911E-2</v>
      </c>
    </row>
    <row r="9651" spans="1:4" ht="16.5" hidden="1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313">
        <f>参数调整!$K$40*怪物掉落配置方案!$D4521</f>
        <v>1.4965021574056011E-2</v>
      </c>
    </row>
    <row r="9652" spans="1:4" ht="16.5" hidden="1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313">
        <f>参数调整!$K$40*怪物掉落配置方案!$D4522</f>
        <v>1.8475335276612357E-2</v>
      </c>
    </row>
    <row r="9653" spans="1:4" ht="16.5" hidden="1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313">
        <f>参数调整!$K$40*怪物掉落配置方案!$D4523</f>
        <v>2.2355155684700957E-2</v>
      </c>
    </row>
    <row r="9654" spans="1:4" ht="16.5" hidden="1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313">
        <f>参数调整!$K$40*怪物掉落配置方案!$D4524</f>
        <v>2.8867711369706808E-2</v>
      </c>
    </row>
    <row r="9655" spans="1:4" ht="16.5" hidden="1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313">
        <f>参数调整!$K$40*怪物掉落配置方案!$D4525</f>
        <v>4.1569504372377802E-2</v>
      </c>
    </row>
    <row r="9656" spans="1:4" ht="16.5" hidden="1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313">
        <f>参数调整!$K$40*怪物掉落配置方案!$D4526</f>
        <v>5.6580714284625341E-2</v>
      </c>
    </row>
    <row r="9657" spans="1:4" ht="16.5" hidden="1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313">
        <f>参数调整!$K$40*怪物掉落配置方案!$D4527</f>
        <v>6.3231834984205801E-2</v>
      </c>
    </row>
    <row r="9658" spans="1:4" ht="16.5" hidden="1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313">
        <f>参数调整!$K$40*怪物掉落配置方案!$D4528</f>
        <v>7.3901341106449428E-2</v>
      </c>
    </row>
    <row r="9659" spans="1:4" ht="16.5" hidden="1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313">
        <f>参数调整!$K$40*怪物掉落配置方案!$D4529</f>
        <v>8.5402237316140606E-2</v>
      </c>
    </row>
    <row r="9660" spans="1:4" ht="16.5" hidden="1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313">
        <f>参数调整!$K$40*怪物掉落配置方案!$D4530</f>
        <v>9.7734523613279362E-2</v>
      </c>
    </row>
    <row r="9661" spans="1:4" ht="16.5" hidden="1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313">
        <f>参数调整!$K$40*怪物掉落配置方案!$D4531</f>
        <v>0.11089819999786571</v>
      </c>
    </row>
    <row r="9662" spans="1:4" ht="16.5" hidden="1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313">
        <f>参数调整!$K$40*怪物掉落配置方案!$D4532</f>
        <v>0.12489326646989955</v>
      </c>
    </row>
    <row r="9663" spans="1:4" ht="16.5" hidden="1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313">
        <f>参数调整!$K$40*怪物掉落配置方案!$D4533</f>
        <v>0.13971972302938096</v>
      </c>
    </row>
    <row r="9664" spans="1:4" ht="16.5" hidden="1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313">
        <f>参数调整!$K$40*怪物掉落配置方案!$D4534</f>
        <v>0.15537756967630992</v>
      </c>
    </row>
    <row r="9665" spans="1:4" ht="16.5" hidden="1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313">
        <f>参数调整!$K$40*怪物掉落配置方案!$D4535</f>
        <v>0.17186680641068641</v>
      </c>
    </row>
    <row r="9666" spans="1:4" ht="16.5" hidden="1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313">
        <f>参数调整!$K$40*怪物掉落配置方案!$D4536</f>
        <v>0.18918743323251055</v>
      </c>
    </row>
    <row r="9667" spans="1:4" ht="16.5" hidden="1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313">
        <f>参数调整!$K$40*怪物掉落配置方案!$D4537</f>
        <v>0.20733945014178221</v>
      </c>
    </row>
    <row r="9668" spans="1:4" ht="16.5" hidden="1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313">
        <f>参数调整!$K$40*怪物掉落配置方案!$D4538</f>
        <v>0.22632285713850142</v>
      </c>
    </row>
    <row r="9669" spans="1:4" ht="16.5" hidden="1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313">
        <f>参数调整!$K$40*怪物掉落配置方案!$D4539</f>
        <v>4.0615588346160145E-5</v>
      </c>
    </row>
    <row r="9670" spans="1:4" ht="16.5" hidden="1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313">
        <f>参数调整!$K$40*怪物掉落配置方案!$D4540</f>
        <v>5.1404104000608944E-5</v>
      </c>
    </row>
    <row r="9671" spans="1:4" ht="16.5" hidden="1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313">
        <f>参数调整!$K$40*怪物掉落配置方案!$D4541</f>
        <v>6.3461856790875221E-5</v>
      </c>
    </row>
    <row r="9672" spans="1:4" ht="16.5" hidden="1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313">
        <f>参数调整!$K$40*怪物掉落配置方案!$D4542</f>
        <v>7.6788846716959022E-5</v>
      </c>
    </row>
    <row r="9673" spans="1:4" ht="16.5" hidden="1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313">
        <f>参数调整!$K$40*怪物掉落配置方案!$D4543</f>
        <v>9.1385073778860307E-5</v>
      </c>
    </row>
    <row r="9674" spans="1:4" ht="16.5" hidden="1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313">
        <f>参数调整!$K$40*怪物掉落配置方案!$D4544</f>
        <v>1.0725053797657913E-4</v>
      </c>
    </row>
    <row r="9675" spans="1:4" ht="16.5" hidden="1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313">
        <f>参数调整!$K$40*怪物掉落配置方案!$D4545</f>
        <v>1.2438523931011542E-4</v>
      </c>
    </row>
    <row r="9676" spans="1:4" ht="16.5" hidden="1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313">
        <f>参数调整!$K$40*怪物掉落配置方案!$D4546</f>
        <v>1.4278917777946925E-4</v>
      </c>
    </row>
    <row r="9677" spans="1:4" ht="16.5" hidden="1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313">
        <f>参数调整!$K$40*怪物掉落配置方案!$D4547</f>
        <v>1.6246235338464061E-4</v>
      </c>
    </row>
    <row r="9678" spans="1:4" ht="16.5" hidden="1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313">
        <f>参数调整!$K$40*怪物掉落配置方案!$D4548</f>
        <v>2.0561641600243572E-4</v>
      </c>
    </row>
    <row r="9679" spans="1:4" ht="16.5" hidden="1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313">
        <f>参数调整!$K$40*怪物掉落配置方案!$D4549</f>
        <v>2.5384742716350083E-4</v>
      </c>
    </row>
    <row r="9680" spans="1:4" ht="16.5" hidden="1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313">
        <f>参数调整!$K$40*怪物掉落配置方案!$D4550</f>
        <v>3.0715538686783609E-4</v>
      </c>
    </row>
    <row r="9681" spans="1:4" ht="16.5" hidden="1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313">
        <f>参数调整!$K$40*怪物掉落配置方案!$D4551</f>
        <v>3.9663660494297014E-4</v>
      </c>
    </row>
    <row r="9682" spans="1:4" ht="16.5" hidden="1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313">
        <f>参数调整!$K$40*怪物掉落配置方案!$D4552</f>
        <v>5.7115671111787679E-4</v>
      </c>
    </row>
    <row r="9683" spans="1:4" ht="16.5" hidden="1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313">
        <f>参数调整!$K$40*怪物掉落配置方案!$D4553</f>
        <v>7.7740774568822138E-4</v>
      </c>
    </row>
    <row r="9684" spans="1:4" ht="16.5" hidden="1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313">
        <f>参数调整!$K$40*怪物掉落配置方案!$D4554</f>
        <v>8.6879281946708182E-4</v>
      </c>
    </row>
    <row r="9685" spans="1:4" ht="16.5" hidden="1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313">
        <f>参数调整!$K$40*怪物掉落配置方案!$D4555</f>
        <v>1.0153897086540033E-3</v>
      </c>
    </row>
    <row r="9686" spans="1:4" ht="16.5" hidden="1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313">
        <f>参数调整!$K$40*怪物掉落配置方案!$D4556</f>
        <v>1.1734097320632826E-3</v>
      </c>
    </row>
    <row r="9687" spans="1:4" ht="16.5" hidden="1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313">
        <f>参数调整!$K$40*怪物掉落配置方案!$D4557</f>
        <v>1.3428528896949196E-3</v>
      </c>
    </row>
    <row r="9688" spans="1:4" ht="16.5" hidden="1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313">
        <f>参数调整!$K$40*怪物掉落配置方案!$D4558</f>
        <v>1.5237191815489143E-3</v>
      </c>
    </row>
    <row r="9689" spans="1:4" ht="16.5" hidden="1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313">
        <f>参数调整!$K$40*怪物掉落配置方案!$D4559</f>
        <v>1.7160086076252661E-3</v>
      </c>
    </row>
    <row r="9690" spans="1:4" ht="16.5" hidden="1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313">
        <f>参数调整!$K$40*怪物掉落配置方案!$D4560</f>
        <v>1.9197211679239756E-3</v>
      </c>
    </row>
    <row r="9691" spans="1:4" ht="16.5" hidden="1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313">
        <f>参数调整!$K$40*怪物掉落配置方案!$D4561</f>
        <v>2.1348568624450421E-3</v>
      </c>
    </row>
    <row r="9692" spans="1:4" ht="16.5" hidden="1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313">
        <f>参数调整!$K$40*怪物掉落配置方案!$D4562</f>
        <v>2.3614156911884667E-3</v>
      </c>
    </row>
    <row r="9693" spans="1:4" ht="16.5" hidden="1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313">
        <f>参数调整!$K$40*怪物掉落配置方案!$D4563</f>
        <v>2.5993976541542493E-3</v>
      </c>
    </row>
    <row r="9694" spans="1:4" ht="16.5" hidden="1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313">
        <f>参数调整!$K$40*怪物掉落配置方案!$D4564</f>
        <v>2.8488027513423886E-3</v>
      </c>
    </row>
    <row r="9695" spans="1:4" ht="16.5" hidden="1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313">
        <f>参数调整!$K$40*怪物掉落配置方案!$D4565</f>
        <v>3.109630982752886E-3</v>
      </c>
    </row>
    <row r="9696" spans="1:4" ht="16.5" hidden="1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313">
        <f>参数调整!$K$40*怪物掉落配置方案!$D4566</f>
        <v>0</v>
      </c>
    </row>
    <row r="9697" spans="1:4" ht="16.5" hidden="1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313">
        <f>参数调整!$K$40*怪物掉落配置方案!$D4567</f>
        <v>0</v>
      </c>
    </row>
    <row r="9698" spans="1:4" ht="16.5" hidden="1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313">
        <f>参数调整!$K$40*怪物掉落配置方案!$D4568</f>
        <v>0</v>
      </c>
    </row>
    <row r="9699" spans="1:4" ht="16.5" hidden="1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313">
        <f>参数调整!$K$40*怪物掉落配置方案!$D4569</f>
        <v>0</v>
      </c>
    </row>
    <row r="9700" spans="1:4" ht="16.5" hidden="1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313">
        <f>参数调整!$K$40*怪物掉落配置方案!$D4570</f>
        <v>0</v>
      </c>
    </row>
    <row r="9701" spans="1:4" ht="16.5" hidden="1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313">
        <f>参数调整!$K$40*怪物掉落配置方案!$D4571</f>
        <v>0</v>
      </c>
    </row>
    <row r="9702" spans="1:4" ht="16.5" hidden="1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313">
        <f>参数调整!$K$40*怪物掉落配置方案!$D4572</f>
        <v>0</v>
      </c>
    </row>
    <row r="9703" spans="1:4" ht="16.5" hidden="1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313">
        <f>参数调整!$K$40*怪物掉落配置方案!$D4573</f>
        <v>0</v>
      </c>
    </row>
    <row r="9704" spans="1:4" ht="16.5" hidden="1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313">
        <f>参数调整!$K$40*怪物掉落配置方案!$D4574</f>
        <v>0</v>
      </c>
    </row>
    <row r="9705" spans="1:4" ht="16.5" hidden="1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313">
        <f>参数调整!$K$40*怪物掉落配置方案!$D4575</f>
        <v>0</v>
      </c>
    </row>
    <row r="9706" spans="1:4" ht="16.5" hidden="1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313">
        <f>参数调整!$K$40*怪物掉落配置方案!$D4576</f>
        <v>0</v>
      </c>
    </row>
    <row r="9707" spans="1:4" ht="16.5" hidden="1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313">
        <f>参数调整!$K$40*怪物掉落配置方案!$D4577</f>
        <v>0</v>
      </c>
    </row>
    <row r="9708" spans="1:4" ht="16.5" hidden="1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313">
        <f>参数调整!$K$40*怪物掉落配置方案!$D4578</f>
        <v>0</v>
      </c>
    </row>
    <row r="9709" spans="1:4" ht="16.5" hidden="1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313">
        <f>参数调整!$K$40*怪物掉落配置方案!$D4579</f>
        <v>0</v>
      </c>
    </row>
    <row r="9710" spans="1:4" ht="16.5" hidden="1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313">
        <f>参数调整!$K$40*怪物掉落配置方案!$D4580</f>
        <v>0</v>
      </c>
    </row>
    <row r="9711" spans="1:4" ht="16.5" hidden="1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313">
        <f>参数调整!$K$40*怪物掉落配置方案!$D4581</f>
        <v>0</v>
      </c>
    </row>
    <row r="9712" spans="1:4" ht="16.5" hidden="1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313">
        <f>参数调整!$K$40*怪物掉落配置方案!$D4582</f>
        <v>0</v>
      </c>
    </row>
    <row r="9713" spans="1:4" ht="16.5" hidden="1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313">
        <f>参数调整!$K$40*怪物掉落配置方案!$D4583</f>
        <v>0</v>
      </c>
    </row>
    <row r="9714" spans="1:4" ht="16.5" hidden="1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313">
        <f>参数调整!$K$40*怪物掉落配置方案!$D4584</f>
        <v>0</v>
      </c>
    </row>
    <row r="9715" spans="1:4" ht="16.5" hidden="1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313">
        <f>参数调整!$K$40*怪物掉落配置方案!$D4585</f>
        <v>0</v>
      </c>
    </row>
    <row r="9716" spans="1:4" ht="16.5" hidden="1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313">
        <f>参数调整!$K$40*怪物掉落配置方案!$D4586</f>
        <v>0</v>
      </c>
    </row>
    <row r="9717" spans="1:4" ht="16.5" hidden="1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313">
        <f>参数调整!$K$40*怪物掉落配置方案!$D4587</f>
        <v>0</v>
      </c>
    </row>
    <row r="9718" spans="1:4" ht="16.5" hidden="1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313">
        <f>参数调整!$K$40*怪物掉落配置方案!$D4588</f>
        <v>0</v>
      </c>
    </row>
    <row r="9719" spans="1:4" ht="16.5" hidden="1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313">
        <f>参数调整!$K$40*怪物掉落配置方案!$D4589</f>
        <v>0</v>
      </c>
    </row>
    <row r="9720" spans="1:4" ht="16.5" hidden="1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313">
        <f>参数调整!$K$40*怪物掉落配置方案!$D4590</f>
        <v>0</v>
      </c>
    </row>
    <row r="9721" spans="1:4" ht="16.5" hidden="1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313">
        <f>参数调整!$K$40*怪物掉落配置方案!$D4591</f>
        <v>0</v>
      </c>
    </row>
    <row r="9722" spans="1:4" ht="16.5" hidden="1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313">
        <f>参数调整!$K$40*怪物掉落配置方案!$D4592</f>
        <v>0</v>
      </c>
    </row>
    <row r="9723" spans="1:4" ht="16.5" hidden="1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313">
        <f>参数调整!$K$40*怪物掉落配置方案!$D4593</f>
        <v>2.0307794173080073E-4</v>
      </c>
    </row>
    <row r="9724" spans="1:4" ht="16.5" hidden="1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313">
        <f>参数调整!$K$40*怪物掉落配置方案!$D4594</f>
        <v>2.570205200030447E-4</v>
      </c>
    </row>
    <row r="9725" spans="1:4" ht="16.5" hidden="1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313">
        <f>参数调整!$K$40*怪物掉落配置方案!$D4595</f>
        <v>3.1730928395437612E-4</v>
      </c>
    </row>
    <row r="9726" spans="1:4" ht="16.5" hidden="1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313">
        <f>参数调整!$K$40*怪物掉落配置方案!$D4596</f>
        <v>3.8394423358479511E-4</v>
      </c>
    </row>
    <row r="9727" spans="1:4" ht="16.5" hidden="1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313">
        <f>参数调整!$K$40*怪物掉落配置方案!$D4597</f>
        <v>4.5692536889430156E-4</v>
      </c>
    </row>
    <row r="9728" spans="1:4" ht="16.5" hidden="1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313">
        <f>参数调整!$K$40*怪物掉落配置方案!$D4598</f>
        <v>5.3625268988289568E-4</v>
      </c>
    </row>
    <row r="9729" spans="1:4" ht="16.5" hidden="1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313">
        <f>参数调整!$K$40*怪物掉落配置方案!$D4599</f>
        <v>6.2192619655057711E-4</v>
      </c>
    </row>
    <row r="9730" spans="1:4" ht="16.5" hidden="1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313">
        <f>参数调整!$K$40*怪物掉落配置方案!$D4600</f>
        <v>7.1394588889734626E-4</v>
      </c>
    </row>
    <row r="9731" spans="1:4" ht="16.5" hidden="1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313">
        <f>参数调整!$K$40*怪物掉落配置方案!$D4601</f>
        <v>8.1231176692320303E-4</v>
      </c>
    </row>
    <row r="9732" spans="1:4" ht="16.5" hidden="1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313">
        <f>参数调整!$K$40*怪物掉落配置方案!$D4602</f>
        <v>1.0280820800121786E-3</v>
      </c>
    </row>
    <row r="9733" spans="1:4" ht="16.5" hidden="1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313">
        <f>参数调整!$K$40*怪物掉落配置方案!$D4603</f>
        <v>1.2692371358175045E-3</v>
      </c>
    </row>
    <row r="9734" spans="1:4" ht="16.5" hidden="1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313">
        <f>参数调整!$K$40*怪物掉落配置方案!$D4604</f>
        <v>1.5357769343391804E-3</v>
      </c>
    </row>
    <row r="9735" spans="1:4" ht="16.5" hidden="1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313">
        <f>参数调整!$K$40*怪物掉落配置方案!$D4605</f>
        <v>1.9831830247148507E-3</v>
      </c>
    </row>
    <row r="9736" spans="1:4" ht="16.5" hidden="1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313">
        <f>参数调整!$K$40*怪物掉落配置方案!$D4606</f>
        <v>2.8557835555893846E-3</v>
      </c>
    </row>
    <row r="9737" spans="1:4" ht="16.5" hidden="1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313">
        <f>参数调整!$K$40*怪物掉落配置方案!$D4607</f>
        <v>3.8870387284411067E-3</v>
      </c>
    </row>
    <row r="9738" spans="1:4" ht="16.5" hidden="1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313">
        <f>参数调整!$K$40*怪物掉落配置方案!$D4608</f>
        <v>4.3439640973354093E-3</v>
      </c>
    </row>
    <row r="9739" spans="1:4" ht="16.5" hidden="1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313">
        <f>参数调整!$K$40*怪物掉落配置方案!$D4609</f>
        <v>5.0769485432700179E-3</v>
      </c>
    </row>
    <row r="9740" spans="1:4" ht="16.5" hidden="1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313">
        <f>参数调整!$K$40*怪物掉落配置方案!$D4610</f>
        <v>5.8670486603164132E-3</v>
      </c>
    </row>
    <row r="9741" spans="1:4" ht="16.5" hidden="1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313">
        <f>参数调整!$K$40*怪物掉落配置方案!$D4611</f>
        <v>6.7142644484745979E-3</v>
      </c>
    </row>
    <row r="9742" spans="1:4" ht="16.5" hidden="1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313">
        <f>参数调整!$K$40*怪物掉落配置方案!$D4612</f>
        <v>7.6185959077445719E-3</v>
      </c>
    </row>
    <row r="9743" spans="1:4" ht="16.5" hidden="1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313">
        <f>参数调整!$K$40*怪物掉落配置方案!$D4613</f>
        <v>8.580043038126331E-3</v>
      </c>
    </row>
    <row r="9744" spans="1:4" ht="16.5" hidden="1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313">
        <f>参数调整!$K$40*怪物掉落配置方案!$D4614</f>
        <v>9.5986058396198785E-3</v>
      </c>
    </row>
    <row r="9745" spans="1:4" ht="16.5" hidden="1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313">
        <f>参数调整!$K$40*怪物掉落配置方案!$D4615</f>
        <v>1.067428431222521E-2</v>
      </c>
    </row>
    <row r="9746" spans="1:4" ht="16.5" hidden="1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313">
        <f>参数调整!$K$40*怪物掉落配置方案!$D4616</f>
        <v>1.1807078455942333E-2</v>
      </c>
    </row>
    <row r="9747" spans="1:4" ht="16.5" hidden="1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313">
        <f>参数调整!$K$40*怪物掉落配置方案!$D4617</f>
        <v>1.2996988270771248E-2</v>
      </c>
    </row>
    <row r="9748" spans="1:4" ht="16.5" hidden="1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313">
        <f>参数调整!$K$40*怪物掉落配置方案!$D4618</f>
        <v>1.4244013756711945E-2</v>
      </c>
    </row>
    <row r="9749" spans="1:4" ht="16.5" hidden="1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313">
        <f>参数调整!$K$40*怪物掉落配置方案!$D4619</f>
        <v>1.554815491376443E-2</v>
      </c>
    </row>
    <row r="9750" spans="1:4" ht="16.5" hidden="1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313">
        <f>参数调整!$K$40*怪物掉落配置方案!$D4620</f>
        <v>3.2500735241919945E-2</v>
      </c>
    </row>
    <row r="9751" spans="1:4" ht="16.5" hidden="1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313">
        <f>参数调整!$K$40*怪物掉落配置方案!$D4621</f>
        <v>4.1133743040554935E-2</v>
      </c>
    </row>
    <row r="9752" spans="1:4" ht="16.5" hidden="1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313">
        <f>参数调整!$K$40*怪物掉落配置方案!$D4622</f>
        <v>5.0782398815499917E-2</v>
      </c>
    </row>
    <row r="9753" spans="1:4" ht="16.5" hidden="1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313">
        <f>参数调整!$K$40*怪物掉落配置方案!$D4623</f>
        <v>6.1446702566754906E-2</v>
      </c>
    </row>
    <row r="9754" spans="1:4" ht="16.5" hidden="1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313">
        <f>参数调整!$K$40*怪物掉落配置方案!$D4624</f>
        <v>7.3126654294319859E-2</v>
      </c>
    </row>
    <row r="9755" spans="1:4" ht="16.5" hidden="1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313">
        <f>参数调整!$K$40*怪物掉落配置方案!$D4625</f>
        <v>8.5822253998194875E-2</v>
      </c>
    </row>
    <row r="9756" spans="1:4" ht="16.5" hidden="1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313">
        <f>参数调整!$K$40*怪物掉落配置方案!$D4626</f>
        <v>9.9533501678379821E-2</v>
      </c>
    </row>
    <row r="9757" spans="1:4" ht="16.5" hidden="1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313">
        <f>参数调整!$K$40*怪物掉落配置方案!$D4627</f>
        <v>0.11426039733487481</v>
      </c>
    </row>
    <row r="9758" spans="1:4" ht="16.5" hidden="1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313">
        <f>参数调整!$K$40*怪物掉落配置方案!$D4628</f>
        <v>0.13000294096767981</v>
      </c>
    </row>
    <row r="9759" spans="1:4" ht="16.5" hidden="1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313">
        <f>参数调整!$K$40*怪物掉落配置方案!$D4629</f>
        <v>0.16453497216221974</v>
      </c>
    </row>
    <row r="9760" spans="1:4" ht="16.5" hidden="1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313">
        <f>参数调整!$K$40*怪物掉落配置方案!$D4630</f>
        <v>0.20312959526199961</v>
      </c>
    </row>
    <row r="9761" spans="1:4" ht="16.5" hidden="1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313">
        <f>参数调整!$K$40*怪物掉落配置方案!$D4631</f>
        <v>0.24578681026701962</v>
      </c>
    </row>
    <row r="9762" spans="1:4" ht="16.5" hidden="1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313">
        <f>参数调整!$K$40*怪物掉落配置方案!$D4632</f>
        <v>0.31738999259687439</v>
      </c>
    </row>
    <row r="9763" spans="1:4" ht="16.5" hidden="1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313">
        <f>参数调整!$K$40*怪物掉落配置方案!$D4633</f>
        <v>0.45704158933949912</v>
      </c>
    </row>
    <row r="9764" spans="1:4" ht="16.5" hidden="1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313">
        <f>参数调整!$K$40*怪物掉落配置方案!$D4634</f>
        <v>0.62208438548987388</v>
      </c>
    </row>
    <row r="9765" spans="1:4" ht="16.5" hidden="1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313">
        <f>参数调整!$K$40*怪物掉落配置方案!$D4635</f>
        <v>0.69521103978419385</v>
      </c>
    </row>
    <row r="9766" spans="1:4" ht="16.5" hidden="1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313">
        <f>参数调整!$K$40*怪物掉落配置方案!$D4636</f>
        <v>0.81251838104799845</v>
      </c>
    </row>
    <row r="9767" spans="1:4" ht="16.5" hidden="1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313">
        <f>参数调整!$K$40*怪物掉落配置方案!$D4637</f>
        <v>0.9389665540985932</v>
      </c>
    </row>
    <row r="9768" spans="1:4" ht="16.5" hidden="1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313">
        <f>参数调整!$K$40*怪物掉落配置方案!$D4638</f>
        <v>1.0745555589359781</v>
      </c>
    </row>
    <row r="9769" spans="1:4" ht="16.5" hidden="1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313">
        <f>参数调整!$K$40*怪物掉落配置方案!$D4639</f>
        <v>1.219285395560153</v>
      </c>
    </row>
    <row r="9770" spans="1:4" ht="16.5" hidden="1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313">
        <f>参数调整!$K$40*怪物掉落配置方案!$D4640</f>
        <v>1.3731560639711176</v>
      </c>
    </row>
    <row r="9771" spans="1:4" ht="16.5" hidden="1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313">
        <f>参数调整!$K$40*怪物掉落配置方案!$D4641</f>
        <v>1.5361675641688723</v>
      </c>
    </row>
    <row r="9772" spans="1:4" ht="16.5" hidden="1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313">
        <f>参数调整!$K$40*怪物掉落配置方案!$D4642</f>
        <v>1.7083198961534172</v>
      </c>
    </row>
    <row r="9773" spans="1:4" ht="16.5" hidden="1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313">
        <f>参数调整!$K$40*怪物掉落配置方案!$D4643</f>
        <v>1.8896130599247516</v>
      </c>
    </row>
    <row r="9774" spans="1:4" ht="16.5" hidden="1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313">
        <f>参数调整!$K$40*怪物掉落配置方案!$D4644</f>
        <v>2.0800470554828765</v>
      </c>
    </row>
    <row r="9775" spans="1:4" ht="16.5" hidden="1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313">
        <f>参数调整!$K$40*怪物掉落配置方案!$D4645</f>
        <v>2.279621882827791</v>
      </c>
    </row>
    <row r="9776" spans="1:4" ht="16.5" hidden="1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313">
        <f>参数调整!$K$40*怪物掉落配置方案!$D4646</f>
        <v>2.488337541959496</v>
      </c>
    </row>
    <row r="9777" spans="1:4" ht="16.5" hidden="1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313">
        <f>参数调整!$K$40*怪物掉落配置方案!$D4647</f>
        <v>1.462161180461765E-4</v>
      </c>
    </row>
    <row r="9778" spans="1:4" ht="16.5" hidden="1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313">
        <f>参数调整!$K$40*怪物掉落配置方案!$D4648</f>
        <v>1.8505477440219215E-4</v>
      </c>
    </row>
    <row r="9779" spans="1:4" ht="16.5" hidden="1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313">
        <f>参数调整!$K$40*怪物掉落配置方案!$D4649</f>
        <v>2.2846268444715078E-4</v>
      </c>
    </row>
    <row r="9780" spans="1:4" ht="16.5" hidden="1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313">
        <f>参数调整!$K$40*怪物掉落配置方案!$D4650</f>
        <v>2.7643984818105248E-4</v>
      </c>
    </row>
    <row r="9781" spans="1:4" ht="16.5" hidden="1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313">
        <f>参数调整!$K$40*怪物掉落配置方案!$D4651</f>
        <v>3.2898626560389703E-4</v>
      </c>
    </row>
    <row r="9782" spans="1:4" ht="16.5" hidden="1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313">
        <f>参数调整!$K$40*怪物掉落配置方案!$D4652</f>
        <v>3.861019367156848E-4</v>
      </c>
    </row>
    <row r="9783" spans="1:4" ht="16.5" hidden="1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313">
        <f>参数调整!$K$40*怪物掉落配置方案!$D4653</f>
        <v>4.4778686151641543E-4</v>
      </c>
    </row>
    <row r="9784" spans="1:4" ht="16.5" hidden="1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313">
        <f>参数调整!$K$40*怪物掉落配置方案!$D4654</f>
        <v>5.1404104000608928E-4</v>
      </c>
    </row>
    <row r="9785" spans="1:4" ht="16.5" hidden="1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313">
        <f>参数调整!$K$40*怪物掉落配置方案!$D4655</f>
        <v>5.8486447218470598E-4</v>
      </c>
    </row>
    <row r="9786" spans="1:4" ht="16.5" hidden="1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313">
        <f>参数调整!$K$40*怪物掉落配置方案!$D4656</f>
        <v>7.4021909760876858E-4</v>
      </c>
    </row>
    <row r="9787" spans="1:4" ht="16.5" hidden="1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313">
        <f>参数调整!$K$40*怪物掉落配置方案!$D4657</f>
        <v>9.1385073778860312E-4</v>
      </c>
    </row>
    <row r="9788" spans="1:4" ht="16.5" hidden="1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313">
        <f>参数调整!$K$40*怪物掉落配置方案!$D4658</f>
        <v>1.1057593927242099E-3</v>
      </c>
    </row>
    <row r="9789" spans="1:4" ht="16.5" hidden="1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313">
        <f>参数调整!$K$40*怪物掉落配置方案!$D4659</f>
        <v>1.4278917777946923E-3</v>
      </c>
    </row>
    <row r="9790" spans="1:4" ht="16.5" hidden="1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313">
        <f>参数调整!$K$40*怪物掉落配置方案!$D4660</f>
        <v>2.0561641600243567E-3</v>
      </c>
    </row>
    <row r="9791" spans="1:4" ht="16.5" hidden="1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313">
        <f>参数调整!$K$40*怪物掉落配置方案!$D4661</f>
        <v>2.7986678844775965E-3</v>
      </c>
    </row>
    <row r="9792" spans="1:4" ht="16.5" hidden="1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313">
        <f>参数调整!$K$40*怪物掉落配置方案!$D4662</f>
        <v>3.1276541500814942E-3</v>
      </c>
    </row>
    <row r="9793" spans="1:4" ht="16.5" hidden="1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313">
        <f>参数调整!$K$40*怪物掉落配置方案!$D4663</f>
        <v>3.6554029511544125E-3</v>
      </c>
    </row>
    <row r="9794" spans="1:4" ht="16.5" hidden="1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313">
        <f>参数调整!$K$40*怪物掉落配置方案!$D4664</f>
        <v>4.2242750354278174E-3</v>
      </c>
    </row>
    <row r="9795" spans="1:4" ht="16.5" hidden="1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313">
        <f>参数调整!$K$40*怪物掉落配置方案!$D4665</f>
        <v>4.8342704029017093E-3</v>
      </c>
    </row>
    <row r="9796" spans="1:4" ht="16.5" hidden="1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313">
        <f>参数调整!$K$40*怪物掉落配置方案!$D4666</f>
        <v>5.4853890535760908E-3</v>
      </c>
    </row>
    <row r="9797" spans="1:4" ht="16.5" hidden="1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313">
        <f>参数调整!$K$40*怪物掉落配置方案!$D4667</f>
        <v>6.1776309874509569E-3</v>
      </c>
    </row>
    <row r="9798" spans="1:4" ht="16.5" hidden="1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313">
        <f>参数调整!$K$40*怪物掉落配置方案!$D4668</f>
        <v>6.9109962045263125E-3</v>
      </c>
    </row>
    <row r="9799" spans="1:4" ht="16.5" hidden="1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313">
        <f>参数调整!$K$40*怪物掉落配置方案!$D4669</f>
        <v>7.6854847048021509E-3</v>
      </c>
    </row>
    <row r="9800" spans="1:4" ht="16.5" hidden="1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313">
        <f>参数调整!$K$40*怪物掉落配置方案!$D4670</f>
        <v>8.5010964882784763E-3</v>
      </c>
    </row>
    <row r="9801" spans="1:4" ht="16.5" hidden="1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313">
        <f>参数调整!$K$40*怪物掉落配置方案!$D4671</f>
        <v>9.3578315549552957E-3</v>
      </c>
    </row>
    <row r="9802" spans="1:4" ht="16.5" hidden="1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313">
        <f>参数调整!$K$40*怪物掉落配置方案!$D4672</f>
        <v>1.0255689904832598E-2</v>
      </c>
    </row>
    <row r="9803" spans="1:4" ht="16.5" hidden="1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313">
        <f>参数调整!$K$40*怪物掉落配置方案!$D4673</f>
        <v>1.1194671537910388E-2</v>
      </c>
    </row>
    <row r="9804" spans="1:4" ht="16.5" hidden="1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313">
        <f>参数调整!$K$40*怪物掉落配置方案!$D4674</f>
        <v>2.2700463611960769E-3</v>
      </c>
    </row>
    <row r="9805" spans="1:4" ht="16.5" hidden="1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313">
        <f>参数调整!$K$40*怪物掉落配置方案!$D4675</f>
        <v>2.8730274258887854E-3</v>
      </c>
    </row>
    <row r="9806" spans="1:4" ht="16.5" hidden="1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313">
        <f>参数调整!$K$40*怪物掉落配置方案!$D4676</f>
        <v>3.5469474393688698E-3</v>
      </c>
    </row>
    <row r="9807" spans="1:4" ht="16.5" hidden="1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313">
        <f>参数调整!$K$40*怪物掉落配置方案!$D4677</f>
        <v>4.2918064016363331E-3</v>
      </c>
    </row>
    <row r="9808" spans="1:4" ht="16.5" hidden="1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313">
        <f>参数调整!$K$40*怪物掉落配置方案!$D4678</f>
        <v>5.1076043126911715E-3</v>
      </c>
    </row>
    <row r="9809" spans="1:4" ht="16.5" hidden="1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313">
        <f>参数调整!$K$40*怪物掉落配置方案!$D4679</f>
        <v>5.9943411725333915E-3</v>
      </c>
    </row>
    <row r="9810" spans="1:4" ht="16.5" hidden="1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313">
        <f>参数调整!$K$40*怪物掉落配置方案!$D4680</f>
        <v>6.9520169811629852E-3</v>
      </c>
    </row>
    <row r="9811" spans="1:4" ht="16.5" hidden="1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313">
        <f>参数调整!$K$40*怪物掉落配置方案!$D4681</f>
        <v>7.9806317385799578E-3</v>
      </c>
    </row>
    <row r="9812" spans="1:4" ht="16.5" hidden="1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313">
        <f>参数调整!$K$40*怪物掉落配置方案!$D4682</f>
        <v>9.0801854447843076E-3</v>
      </c>
    </row>
    <row r="9813" spans="1:4" ht="16.5" hidden="1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313">
        <f>参数调整!$K$40*怪物掉落配置方案!$D4683</f>
        <v>1.149210970355514E-2</v>
      </c>
    </row>
    <row r="9814" spans="1:4" ht="16.5" hidden="1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313">
        <f>参数调整!$K$40*怪物掉落配置方案!$D4684</f>
        <v>1.4187789757475479E-2</v>
      </c>
    </row>
    <row r="9815" spans="1:4" ht="16.5" hidden="1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313">
        <f>参数调整!$K$40*怪物掉落配置方案!$D4685</f>
        <v>1.7167225606545333E-2</v>
      </c>
    </row>
    <row r="9816" spans="1:4" ht="16.5" hidden="1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313">
        <f>参数调整!$K$40*怪物掉落配置方案!$D4686</f>
        <v>2.2168421496055437E-2</v>
      </c>
    </row>
    <row r="9817" spans="1:4" ht="16.5" hidden="1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313">
        <f>参数调整!$K$40*怪物掉落配置方案!$D4687</f>
        <v>3.1922526954319824E-2</v>
      </c>
    </row>
    <row r="9818" spans="1:4" ht="16.5" hidden="1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313">
        <f>参数调整!$K$40*怪物掉落配置方案!$D4688</f>
        <v>4.3450106132268657E-2</v>
      </c>
    </row>
    <row r="9819" spans="1:4" ht="16.5" hidden="1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313">
        <f>参数调整!$K$40*怪物掉落配置方案!$D4689</f>
        <v>4.8557710444959837E-2</v>
      </c>
    </row>
    <row r="9820" spans="1:4" ht="16.5" hidden="1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313">
        <f>参数调整!$K$40*怪物掉落配置方案!$D4690</f>
        <v>5.6751159029901917E-2</v>
      </c>
    </row>
    <row r="9821" spans="1:4" ht="16.5" hidden="1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313">
        <f>参数调整!$K$40*怪物掉落配置方案!$D4691</f>
        <v>6.5583058153930396E-2</v>
      </c>
    </row>
    <row r="9822" spans="1:4" ht="16.5" hidden="1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313">
        <f>参数调整!$K$40*怪物掉落配置方案!$D4692</f>
        <v>7.5053407817045281E-2</v>
      </c>
    </row>
    <row r="9823" spans="1:4" ht="16.5" hidden="1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313">
        <f>参数调整!$K$40*怪物掉落配置方案!$D4693</f>
        <v>8.516220801924658E-2</v>
      </c>
    </row>
    <row r="9824" spans="1:4" ht="16.5" hidden="1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313">
        <f>参数调整!$K$40*怪物掉落配置方案!$D4694</f>
        <v>9.5909458760534222E-2</v>
      </c>
    </row>
    <row r="9825" spans="1:4" ht="16.5" hidden="1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313">
        <f>参数调整!$K$40*怪物掉落配置方案!$D4695</f>
        <v>0.10729516004090833</v>
      </c>
    </row>
    <row r="9826" spans="1:4" ht="16.5" hidden="1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313">
        <f>参数调整!$K$40*怪物掉落配置方案!$D4696</f>
        <v>0.11931931186036876</v>
      </c>
    </row>
    <row r="9827" spans="1:4" ht="16.5" hidden="1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313">
        <f>参数调整!$K$40*怪物掉落配置方案!$D4697</f>
        <v>0.13198191421891561</v>
      </c>
    </row>
    <row r="9828" spans="1:4" ht="16.5" hidden="1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313">
        <f>参数调整!$K$40*怪物掉落配置方案!$D4698</f>
        <v>0.14528296711654892</v>
      </c>
    </row>
    <row r="9829" spans="1:4" ht="16.5" hidden="1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313">
        <f>参数调整!$K$40*怪物掉落配置方案!$D4699</f>
        <v>0.15922247055326857</v>
      </c>
    </row>
    <row r="9830" spans="1:4" ht="16.5" hidden="1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313">
        <f>参数调整!$K$40*怪物掉落配置方案!$D4700</f>
        <v>0.17380042452907463</v>
      </c>
    </row>
    <row r="9831" spans="1:4" ht="16.5" hidden="1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313">
        <f>参数调整!$K$40*怪物掉落配置方案!$D4701</f>
        <v>1.2971278139781273E-2</v>
      </c>
    </row>
    <row r="9832" spans="1:4" ht="16.5" hidden="1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313">
        <f>参数调整!$K$40*怪物掉落配置方案!$D4702</f>
        <v>1.6416773895660673E-2</v>
      </c>
    </row>
    <row r="9833" spans="1:4" ht="16.5" hidden="1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313">
        <f>参数调整!$K$40*怪物掉落配置方案!$D4703</f>
        <v>2.0267622093408235E-2</v>
      </c>
    </row>
    <row r="9834" spans="1:4" ht="16.5" hidden="1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313">
        <f>参数调整!$K$40*怪物掉落配置方案!$D4704</f>
        <v>2.4523822733023969E-2</v>
      </c>
    </row>
    <row r="9835" spans="1:4" ht="16.5" hidden="1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313">
        <f>参数调整!$K$40*怪物掉落配置方案!$D4705</f>
        <v>2.918537581450785E-2</v>
      </c>
    </row>
    <row r="9836" spans="1:4" ht="16.5" hidden="1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313">
        <f>参数调整!$K$40*怪物掉落配置方案!$D4706</f>
        <v>3.4252281337859923E-2</v>
      </c>
    </row>
    <row r="9837" spans="1:4" ht="16.5" hidden="1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313">
        <f>参数调整!$K$40*怪物掉落配置方案!$D4707</f>
        <v>3.9724539303080127E-2</v>
      </c>
    </row>
    <row r="9838" spans="1:4" ht="16.5" hidden="1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313">
        <f>参数调整!$K$40*怪物掉落配置方案!$D4708</f>
        <v>4.5602149710168516E-2</v>
      </c>
    </row>
    <row r="9839" spans="1:4" ht="16.5" hidden="1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313">
        <f>参数调整!$K$40*怪物掉落配置方案!$D4709</f>
        <v>5.1885112559125091E-2</v>
      </c>
    </row>
    <row r="9840" spans="1:4" ht="16.5" hidden="1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313">
        <f>参数调整!$K$40*怪物掉落配置方案!$D4710</f>
        <v>6.5667095582642693E-2</v>
      </c>
    </row>
    <row r="9841" spans="1:4" ht="16.5" hidden="1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313">
        <f>参数调整!$K$40*怪物掉落配置方案!$D4711</f>
        <v>8.1070488373632926E-2</v>
      </c>
    </row>
    <row r="9842" spans="1:4" ht="16.5" hidden="1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313">
        <f>参数调整!$K$40*怪物掉落配置方案!$D4712</f>
        <v>9.8095290932095874E-2</v>
      </c>
    </row>
    <row r="9843" spans="1:4" ht="16.5" hidden="1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313">
        <f>参数调整!$K$40*怪物掉落配置方案!$D4713</f>
        <v>0.12667263808380147</v>
      </c>
    </row>
    <row r="9844" spans="1:4" ht="16.5" hidden="1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313">
        <f>参数调整!$K$40*怪物掉落配置方案!$D4714</f>
        <v>0.18240859884067406</v>
      </c>
    </row>
    <row r="9845" spans="1:4" ht="16.5" hidden="1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313">
        <f>参数调整!$K$40*怪物掉落配置方案!$D4715</f>
        <v>0.24827837064425082</v>
      </c>
    </row>
    <row r="9846" spans="1:4" ht="16.5" hidden="1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313">
        <f>参数调整!$K$40*怪物掉落配置方案!$D4716</f>
        <v>0.27746374645875876</v>
      </c>
    </row>
    <row r="9847" spans="1:4" ht="16.5" hidden="1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313">
        <f>参数调整!$K$40*怪物掉落配置方案!$D4717</f>
        <v>0.32428195349453171</v>
      </c>
    </row>
    <row r="9848" spans="1:4" ht="16.5" hidden="1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313">
        <f>参数调整!$K$40*怪物掉落配置方案!$D4718</f>
        <v>0.3747483325071182</v>
      </c>
    </row>
    <row r="9849" spans="1:4" ht="16.5" hidden="1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313">
        <f>参数调整!$K$40*怪物掉落配置方案!$D4719</f>
        <v>0.42886288349651813</v>
      </c>
    </row>
    <row r="9850" spans="1:4" ht="16.5" hidden="1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313">
        <f>参数调整!$K$40*怪物掉落配置方案!$D4720</f>
        <v>0.48662560646273173</v>
      </c>
    </row>
    <row r="9851" spans="1:4" ht="16.5" hidden="1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313">
        <f>参数调整!$K$40*怪物掉落配置方案!$D4721</f>
        <v>0.54803650140575855</v>
      </c>
    </row>
    <row r="9852" spans="1:4" ht="16.5" hidden="1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313">
        <f>参数调整!$K$40*怪物掉落配置方案!$D4722</f>
        <v>0.61309556832559908</v>
      </c>
    </row>
    <row r="9853" spans="1:4" ht="16.5" hidden="1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313">
        <f>参数调整!$K$40*怪物掉落配置方案!$D4723</f>
        <v>0.68180280722225284</v>
      </c>
    </row>
    <row r="9854" spans="1:4" ht="16.5" hidden="1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313">
        <f>参数调整!$K$40*怪物掉落配置方案!$D4724</f>
        <v>0.75415821809572026</v>
      </c>
    </row>
    <row r="9855" spans="1:4" ht="16.5" hidden="1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313">
        <f>参数调整!$K$40*怪物掉落配置方案!$D4725</f>
        <v>0.83016180094600123</v>
      </c>
    </row>
    <row r="9856" spans="1:4" ht="16.5" hidden="1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313">
        <f>参数调整!$K$40*怪物掉落配置方案!$D4726</f>
        <v>0.90981355577309564</v>
      </c>
    </row>
    <row r="9857" spans="1:4" ht="16.5" hidden="1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313">
        <f>参数调整!$K$40*怪物掉落配置方案!$D4727</f>
        <v>0.99311348257700338</v>
      </c>
    </row>
    <row r="9858" spans="1:4" ht="16.5" hidden="1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313">
        <f>参数调整!$K$40*怪物掉落配置方案!$D4728</f>
        <v>1.6246235338464058E-5</v>
      </c>
    </row>
    <row r="9859" spans="1:4" ht="16.5" hidden="1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313">
        <f>参数调整!$K$40*怪物掉落配置方案!$D4729</f>
        <v>2.0561641600243578E-5</v>
      </c>
    </row>
    <row r="9860" spans="1:4" ht="16.5" hidden="1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313">
        <f>参数调整!$K$40*怪物掉落配置方案!$D4730</f>
        <v>2.5384742716350091E-5</v>
      </c>
    </row>
    <row r="9861" spans="1:4" ht="16.5" hidden="1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313">
        <f>参数调整!$K$40*怪物掉落配置方案!$D4731</f>
        <v>3.0715538686783609E-5</v>
      </c>
    </row>
    <row r="9862" spans="1:4" ht="16.5" hidden="1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313">
        <f>参数调整!$K$40*怪物掉落配置方案!$D4732</f>
        <v>3.6554029511544124E-5</v>
      </c>
    </row>
    <row r="9863" spans="1:4" ht="16.5" hidden="1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313">
        <f>参数调整!$K$40*怪物掉落配置方案!$D4733</f>
        <v>4.2900215190631657E-5</v>
      </c>
    </row>
    <row r="9864" spans="1:4" ht="16.5" hidden="1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313">
        <f>参数调整!$K$40*怪物掉落配置方案!$D4734</f>
        <v>4.9754095724046167E-5</v>
      </c>
    </row>
    <row r="9865" spans="1:4" ht="16.5" hidden="1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313">
        <f>参数调整!$K$40*怪物掉落配置方案!$D4735</f>
        <v>5.7115671111787702E-5</v>
      </c>
    </row>
    <row r="9866" spans="1:4" ht="16.5" hidden="1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313">
        <f>参数调整!$K$40*怪物掉落配置方案!$D4736</f>
        <v>6.4984941353856234E-5</v>
      </c>
    </row>
    <row r="9867" spans="1:4" ht="16.5" hidden="1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313">
        <f>参数调整!$K$40*怪物掉落配置方案!$D4737</f>
        <v>8.2246566400974311E-5</v>
      </c>
    </row>
    <row r="9868" spans="1:4" ht="16.5" hidden="1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313">
        <f>参数调整!$K$40*怪物掉落配置方案!$D4738</f>
        <v>1.0153897086540036E-4</v>
      </c>
    </row>
    <row r="9869" spans="1:4" ht="16.5" hidden="1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313">
        <f>参数调整!$K$40*怪物掉落配置方案!$D4739</f>
        <v>1.2286215474713444E-4</v>
      </c>
    </row>
    <row r="9870" spans="1:4" ht="16.5" hidden="1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313">
        <f>参数调整!$K$40*怪物掉落配置方案!$D4740</f>
        <v>1.5865464197718806E-4</v>
      </c>
    </row>
    <row r="9871" spans="1:4" ht="16.5" hidden="1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313">
        <f>参数调整!$K$40*怪物掉落配置方案!$D4741</f>
        <v>2.2846268444715078E-4</v>
      </c>
    </row>
    <row r="9872" spans="1:4" ht="16.5" hidden="1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313">
        <f>参数调整!$K$40*怪物掉落配置方案!$D4742</f>
        <v>3.109630982752885E-4</v>
      </c>
    </row>
    <row r="9873" spans="1:4" ht="16.5" hidden="1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313">
        <f>参数调整!$K$40*怪物掉落配置方案!$D4743</f>
        <v>3.4751712778683275E-4</v>
      </c>
    </row>
    <row r="9874" spans="1:4" ht="16.5" hidden="1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313">
        <f>参数调整!$K$40*怪物掉落配置方案!$D4744</f>
        <v>4.0615588346160146E-4</v>
      </c>
    </row>
    <row r="9875" spans="1:4" ht="16.5" hidden="1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313">
        <f>参数调整!$K$40*怪物掉落配置方案!$D4745</f>
        <v>4.6936389282531312E-4</v>
      </c>
    </row>
    <row r="9876" spans="1:4" ht="16.5" hidden="1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313">
        <f>参数调整!$K$40*怪物掉落配置方案!$D4746</f>
        <v>5.3714115587796785E-4</v>
      </c>
    </row>
    <row r="9877" spans="1:4" ht="16.5" hidden="1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313">
        <f>参数调整!$K$40*怪物掉落配置方案!$D4747</f>
        <v>6.0948767261956576E-4</v>
      </c>
    </row>
    <row r="9878" spans="1:4" ht="16.5" hidden="1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313">
        <f>参数调整!$K$40*怪物掉落配置方案!$D4748</f>
        <v>6.864034430501064E-4</v>
      </c>
    </row>
    <row r="9879" spans="1:4" ht="16.5" hidden="1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313">
        <f>参数调整!$K$40*怪物掉落配置方案!$D4749</f>
        <v>7.6788846716959022E-4</v>
      </c>
    </row>
    <row r="9880" spans="1:4" ht="16.5" hidden="1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313">
        <f>参数调整!$K$40*怪物掉落配置方案!$D4750</f>
        <v>8.5394274497801689E-4</v>
      </c>
    </row>
    <row r="9881" spans="1:4" ht="16.5" hidden="1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313">
        <f>参数调整!$K$40*怪物掉落配置方案!$D4751</f>
        <v>9.4456627647538662E-4</v>
      </c>
    </row>
    <row r="9882" spans="1:4" ht="16.5" hidden="1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313">
        <f>参数调整!$K$40*怪物掉落配置方案!$D4752</f>
        <v>1.0397590616616997E-3</v>
      </c>
    </row>
    <row r="9883" spans="1:4" ht="16.5" hidden="1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313">
        <f>参数调整!$K$40*怪物掉落配置方案!$D4753</f>
        <v>1.1395211005369554E-3</v>
      </c>
    </row>
    <row r="9884" spans="1:4" ht="16.5" hidden="1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313">
        <f>参数调整!$K$40*怪物掉落配置方案!$D4754</f>
        <v>1.2438523931011544E-3</v>
      </c>
    </row>
    <row r="9885" spans="1:4" ht="16.5" hidden="1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313">
        <f>参数调整!$K$40*怪物掉落配置方案!$D4755</f>
        <v>2.9560536442579778E-3</v>
      </c>
    </row>
    <row r="9886" spans="1:4" ht="16.5" hidden="1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313">
        <f>参数调整!$K$40*怪物掉落配置方案!$D4756</f>
        <v>3.7412553935140028E-3</v>
      </c>
    </row>
    <row r="9887" spans="1:4" ht="16.5" hidden="1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313">
        <f>参数调整!$K$40*怪物掉落配置方案!$D4757</f>
        <v>4.6188338191530892E-3</v>
      </c>
    </row>
    <row r="9888" spans="1:4" ht="16.5" hidden="1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313">
        <f>参数调整!$K$40*怪物掉落配置方案!$D4758</f>
        <v>5.5887889211752393E-3</v>
      </c>
    </row>
    <row r="9889" spans="1:4" ht="16.5" hidden="1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313">
        <f>参数调整!$K$40*怪物掉落配置方案!$D4759</f>
        <v>6.6511206995804482E-3</v>
      </c>
    </row>
    <row r="9890" spans="1:4" ht="16.5" hidden="1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313">
        <f>参数调整!$K$40*怪物掉落配置方案!$D4760</f>
        <v>7.8058291543687229E-3</v>
      </c>
    </row>
    <row r="9891" spans="1:4" ht="16.5" hidden="1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313">
        <f>参数调整!$K$40*怪物掉落配置方案!$D4761</f>
        <v>9.0529142855400539E-3</v>
      </c>
    </row>
    <row r="9892" spans="1:4" ht="16.5" hidden="1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313">
        <f>参数调整!$K$40*怪物掉落配置方案!$D4762</f>
        <v>1.0392376093094452E-2</v>
      </c>
    </row>
    <row r="9893" spans="1:4" ht="16.5" hidden="1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313">
        <f>参数调整!$K$40*怪物掉落配置方案!$D4763</f>
        <v>1.1824214577031911E-2</v>
      </c>
    </row>
    <row r="9894" spans="1:4" ht="16.5" hidden="1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313">
        <f>参数调整!$K$40*怪物掉落配置方案!$D4764</f>
        <v>1.4965021574056011E-2</v>
      </c>
    </row>
    <row r="9895" spans="1:4" ht="16.5" hidden="1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313">
        <f>参数调整!$K$40*怪物掉落配置方案!$D4765</f>
        <v>1.8475335276612357E-2</v>
      </c>
    </row>
    <row r="9896" spans="1:4" ht="16.5" hidden="1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313">
        <f>参数调整!$K$40*怪物掉落配置方案!$D4766</f>
        <v>2.2355155684700957E-2</v>
      </c>
    </row>
    <row r="9897" spans="1:4" ht="16.5" hidden="1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313">
        <f>参数调整!$K$40*怪物掉落配置方案!$D4767</f>
        <v>2.8867711369706808E-2</v>
      </c>
    </row>
    <row r="9898" spans="1:4" ht="16.5" hidden="1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313">
        <f>参数调整!$K$40*怪物掉落配置方案!$D4768</f>
        <v>4.1569504372377802E-2</v>
      </c>
    </row>
    <row r="9899" spans="1:4" ht="16.5" hidden="1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313">
        <f>参数调整!$K$40*怪物掉落配置方案!$D4769</f>
        <v>5.6580714284625341E-2</v>
      </c>
    </row>
    <row r="9900" spans="1:4" ht="16.5" hidden="1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313">
        <f>参数调整!$K$40*怪物掉落配置方案!$D4770</f>
        <v>6.3231834984205801E-2</v>
      </c>
    </row>
    <row r="9901" spans="1:4" ht="16.5" hidden="1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313">
        <f>参数调整!$K$40*怪物掉落配置方案!$D4771</f>
        <v>7.3901341106449428E-2</v>
      </c>
    </row>
    <row r="9902" spans="1:4" ht="16.5" hidden="1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313">
        <f>参数调整!$K$40*怪物掉落配置方案!$D4772</f>
        <v>8.5402237316140606E-2</v>
      </c>
    </row>
    <row r="9903" spans="1:4" ht="16.5" hidden="1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313">
        <f>参数调整!$K$40*怪物掉落配置方案!$D4773</f>
        <v>9.7734523613279362E-2</v>
      </c>
    </row>
    <row r="9904" spans="1:4" ht="16.5" hidden="1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313">
        <f>参数调整!$K$40*怪物掉落配置方案!$D4774</f>
        <v>0.11089819999786571</v>
      </c>
    </row>
    <row r="9905" spans="1:4" ht="16.5" hidden="1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313">
        <f>参数调整!$K$40*怪物掉落配置方案!$D4775</f>
        <v>0.12489326646989955</v>
      </c>
    </row>
    <row r="9906" spans="1:4" ht="16.5" hidden="1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313">
        <f>参数调整!$K$40*怪物掉落配置方案!$D4776</f>
        <v>0.13971972302938096</v>
      </c>
    </row>
    <row r="9907" spans="1:4" ht="16.5" hidden="1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313">
        <f>参数调整!$K$40*怪物掉落配置方案!$D4777</f>
        <v>0.15537756967630992</v>
      </c>
    </row>
    <row r="9908" spans="1:4" ht="16.5" hidden="1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313">
        <f>参数调整!$K$40*怪物掉落配置方案!$D4778</f>
        <v>0.17186680641068641</v>
      </c>
    </row>
    <row r="9909" spans="1:4" ht="16.5" hidden="1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313">
        <f>参数调整!$K$40*怪物掉落配置方案!$D4779</f>
        <v>0.18918743323251055</v>
      </c>
    </row>
    <row r="9910" spans="1:4" ht="16.5" hidden="1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313">
        <f>参数调整!$K$40*怪物掉落配置方案!$D4780</f>
        <v>0.20733945014178221</v>
      </c>
    </row>
    <row r="9911" spans="1:4" ht="16.5" hidden="1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313">
        <f>参数调整!$K$40*怪物掉落配置方案!$D4781</f>
        <v>0.22632285713850142</v>
      </c>
    </row>
    <row r="9912" spans="1:4" ht="16.5" hidden="1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313">
        <f>参数调整!$K$40*怪物掉落配置方案!$D4782</f>
        <v>2.9560536442579778E-3</v>
      </c>
    </row>
    <row r="9913" spans="1:4" ht="16.5" hidden="1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313">
        <f>参数调整!$K$40*怪物掉落配置方案!$D4783</f>
        <v>3.7412553935140028E-3</v>
      </c>
    </row>
    <row r="9914" spans="1:4" ht="16.5" hidden="1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313">
        <f>参数调整!$K$40*怪物掉落配置方案!$D4784</f>
        <v>4.6188338191530892E-3</v>
      </c>
    </row>
    <row r="9915" spans="1:4" ht="16.5" hidden="1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313">
        <f>参数调整!$K$40*怪物掉落配置方案!$D4785</f>
        <v>5.5887889211752393E-3</v>
      </c>
    </row>
    <row r="9916" spans="1:4" ht="16.5" hidden="1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313">
        <f>参数调整!$K$40*怪物掉落配置方案!$D4786</f>
        <v>6.6511206995804482E-3</v>
      </c>
    </row>
    <row r="9917" spans="1:4" ht="16.5" hidden="1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313">
        <f>参数调整!$K$40*怪物掉落配置方案!$D4787</f>
        <v>7.8058291543687229E-3</v>
      </c>
    </row>
    <row r="9918" spans="1:4" ht="16.5" hidden="1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313">
        <f>参数调整!$K$40*怪物掉落配置方案!$D4788</f>
        <v>9.0529142855400539E-3</v>
      </c>
    </row>
    <row r="9919" spans="1:4" ht="16.5" hidden="1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313">
        <f>参数调整!$K$40*怪物掉落配置方案!$D4789</f>
        <v>1.0392376093094452E-2</v>
      </c>
    </row>
    <row r="9920" spans="1:4" ht="16.5" hidden="1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313">
        <f>参数调整!$K$40*怪物掉落配置方案!$D4790</f>
        <v>1.1824214577031911E-2</v>
      </c>
    </row>
    <row r="9921" spans="1:4" ht="16.5" hidden="1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313">
        <f>参数调整!$K$40*怪物掉落配置方案!$D4791</f>
        <v>1.4965021574056011E-2</v>
      </c>
    </row>
    <row r="9922" spans="1:4" ht="16.5" hidden="1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313">
        <f>参数调整!$K$40*怪物掉落配置方案!$D4792</f>
        <v>1.8475335276612357E-2</v>
      </c>
    </row>
    <row r="9923" spans="1:4" ht="16.5" hidden="1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313">
        <f>参数调整!$K$40*怪物掉落配置方案!$D4793</f>
        <v>2.2355155684700957E-2</v>
      </c>
    </row>
    <row r="9924" spans="1:4" ht="16.5" hidden="1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313">
        <f>参数调整!$K$40*怪物掉落配置方案!$D4794</f>
        <v>2.8867711369706808E-2</v>
      </c>
    </row>
    <row r="9925" spans="1:4" ht="16.5" hidden="1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313">
        <f>参数调整!$K$40*怪物掉落配置方案!$D4795</f>
        <v>4.1569504372377802E-2</v>
      </c>
    </row>
    <row r="9926" spans="1:4" ht="16.5" hidden="1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313">
        <f>参数调整!$K$40*怪物掉落配置方案!$D4796</f>
        <v>5.6580714284625341E-2</v>
      </c>
    </row>
    <row r="9927" spans="1:4" ht="16.5" hidden="1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313">
        <f>参数调整!$K$40*怪物掉落配置方案!$D4797</f>
        <v>6.3231834984205801E-2</v>
      </c>
    </row>
    <row r="9928" spans="1:4" ht="16.5" hidden="1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313">
        <f>参数调整!$K$40*怪物掉落配置方案!$D4798</f>
        <v>7.3901341106449428E-2</v>
      </c>
    </row>
    <row r="9929" spans="1:4" ht="16.5" hidden="1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313">
        <f>参数调整!$K$40*怪物掉落配置方案!$D4799</f>
        <v>8.5402237316140606E-2</v>
      </c>
    </row>
    <row r="9930" spans="1:4" ht="16.5" hidden="1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313">
        <f>参数调整!$K$40*怪物掉落配置方案!$D4800</f>
        <v>9.7734523613279362E-2</v>
      </c>
    </row>
    <row r="9931" spans="1:4" ht="16.5" hidden="1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313">
        <f>参数调整!$K$40*怪物掉落配置方案!$D4801</f>
        <v>0.11089819999786571</v>
      </c>
    </row>
    <row r="9932" spans="1:4" ht="16.5" hidden="1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313">
        <f>参数调整!$K$40*怪物掉落配置方案!$D4802</f>
        <v>0.12489326646989955</v>
      </c>
    </row>
    <row r="9933" spans="1:4" ht="16.5" hidden="1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313">
        <f>参数调整!$K$40*怪物掉落配置方案!$D4803</f>
        <v>0.13971972302938096</v>
      </c>
    </row>
    <row r="9934" spans="1:4" ht="16.5" hidden="1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313">
        <f>参数调整!$K$40*怪物掉落配置方案!$D4804</f>
        <v>0.15537756967630992</v>
      </c>
    </row>
    <row r="9935" spans="1:4" ht="16.5" hidden="1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313">
        <f>参数调整!$K$40*怪物掉落配置方案!$D4805</f>
        <v>0.17186680641068641</v>
      </c>
    </row>
    <row r="9936" spans="1:4" ht="16.5" hidden="1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313">
        <f>参数调整!$K$40*怪物掉落配置方案!$D4806</f>
        <v>0.18918743323251055</v>
      </c>
    </row>
    <row r="9937" spans="1:4" ht="16.5" hidden="1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313">
        <f>参数调整!$K$40*怪物掉落配置方案!$D4807</f>
        <v>0.20733945014178221</v>
      </c>
    </row>
    <row r="9938" spans="1:4" ht="16.5" hidden="1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313">
        <f>参数调整!$K$40*怪物掉落配置方案!$D4808</f>
        <v>0.22632285713850142</v>
      </c>
    </row>
    <row r="9939" spans="1:4" ht="16.5" hidden="1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313">
        <f>参数调整!$K$40*怪物掉落配置方案!$D4809</f>
        <v>7.5775553459693529E-2</v>
      </c>
    </row>
    <row r="9940" spans="1:4" ht="16.5" hidden="1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313">
        <f>参数调整!$K$40*怪物掉落配置方案!$D4810</f>
        <v>9.590343484742464E-2</v>
      </c>
    </row>
    <row r="9941" spans="1:4" ht="16.5" hidden="1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313">
        <f>参数调整!$K$40*怪物掉落配置方案!$D4811</f>
        <v>0.11839930228077114</v>
      </c>
    </row>
    <row r="9942" spans="1:4" ht="16.5" hidden="1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313">
        <f>参数调整!$K$40*怪物掉落配置方案!$D4812</f>
        <v>0.14326315575973309</v>
      </c>
    </row>
    <row r="9943" spans="1:4" ht="16.5" hidden="1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313">
        <f>参数调整!$K$40*怪物掉落配置方案!$D4813</f>
        <v>0.17049499528431042</v>
      </c>
    </row>
    <row r="9944" spans="1:4" ht="16.5" hidden="1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313">
        <f>参数调整!$K$40*怪物掉落配置方案!$D4814</f>
        <v>0.20009482085450322</v>
      </c>
    </row>
    <row r="9945" spans="1:4" ht="16.5" hidden="1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313">
        <f>参数调整!$K$40*怪物掉落配置方案!$D4815</f>
        <v>0.23206263247031139</v>
      </c>
    </row>
    <row r="9946" spans="1:4" ht="16.5" hidden="1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313">
        <f>参数调整!$K$40*怪物掉落配置方案!$D4816</f>
        <v>0.26639843013173509</v>
      </c>
    </row>
    <row r="9947" spans="1:4" ht="16.5" hidden="1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313">
        <f>参数调整!$K$40*怪物掉落配置方案!$D4817</f>
        <v>0.30310221383877417</v>
      </c>
    </row>
    <row r="9948" spans="1:4" ht="16.5" hidden="1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313">
        <f>参数调整!$K$40*怪物掉落配置方案!$D4818</f>
        <v>0.38361373938969856</v>
      </c>
    </row>
    <row r="9949" spans="1:4" ht="16.5" hidden="1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313">
        <f>参数调整!$K$40*怪物掉落配置方案!$D4819</f>
        <v>0.47359720912308451</v>
      </c>
    </row>
    <row r="9950" spans="1:4" ht="16.5" hidden="1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313">
        <f>参数调整!$K$40*怪物掉落配置方案!$D4820</f>
        <v>0.57305262303893234</v>
      </c>
    </row>
    <row r="9951" spans="1:4" ht="16.5" hidden="1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313">
        <f>参数调整!$K$40*怪物掉落配置方案!$D4821</f>
        <v>0.73999563925481959</v>
      </c>
    </row>
    <row r="9952" spans="1:4" ht="16.5" hidden="1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313">
        <f>参数调整!$K$40*怪物掉落配置方案!$D4822</f>
        <v>1.0655937205269401</v>
      </c>
    </row>
    <row r="9953" spans="1:4" ht="16.5" hidden="1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313">
        <f>参数调整!$K$40*怪物掉落配置方案!$D4823</f>
        <v>1.4503914529394462</v>
      </c>
    </row>
    <row r="9954" spans="1:4" ht="16.5" hidden="1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313">
        <f>参数调整!$K$40*怪物掉落配置方案!$D4824</f>
        <v>1.620886448223757</v>
      </c>
    </row>
    <row r="9955" spans="1:4" ht="16.5" hidden="1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313">
        <f>参数调整!$K$40*怪物掉落配置方案!$D4825</f>
        <v>1.894388836492338</v>
      </c>
    </row>
    <row r="9956" spans="1:4" ht="16.5" hidden="1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313">
        <f>参数调整!$K$40*怪物掉落配置方案!$D4826</f>
        <v>2.1892030991714577</v>
      </c>
    </row>
    <row r="9957" spans="1:4" ht="16.5" hidden="1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313">
        <f>参数调整!$K$40*怪物掉落配置方案!$D4827</f>
        <v>2.505329236261117</v>
      </c>
    </row>
    <row r="9958" spans="1:4" ht="16.5" hidden="1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313">
        <f>参数调整!$K$40*怪物掉落配置方案!$D4828</f>
        <v>2.8427672477613153</v>
      </c>
    </row>
    <row r="9959" spans="1:4" ht="16.5" hidden="1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313">
        <f>参数调整!$K$40*怪物掉落配置方案!$D4829</f>
        <v>3.2015171336720516</v>
      </c>
    </row>
    <row r="9960" spans="1:4" ht="16.5" hidden="1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313">
        <f>参数调整!$K$40*怪物掉落配置方案!$D4830</f>
        <v>3.5815788939933277</v>
      </c>
    </row>
    <row r="9961" spans="1:4" ht="16.5" hidden="1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313">
        <f>参数调整!$K$40*怪物掉落配置方案!$D4831</f>
        <v>3.9829525287251411</v>
      </c>
    </row>
    <row r="9962" spans="1:4" ht="16.5" hidden="1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313">
        <f>参数调整!$K$40*怪物掉落配置方案!$D4832</f>
        <v>4.4056380378674938</v>
      </c>
    </row>
    <row r="9963" spans="1:4" ht="16.5" hidden="1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313">
        <f>参数调整!$K$40*怪物掉落配置方案!$D4833</f>
        <v>4.8496354214203858</v>
      </c>
    </row>
    <row r="9964" spans="1:4" ht="16.5" hidden="1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313">
        <f>参数调整!$K$40*怪物掉落配置方案!$D4834</f>
        <v>5.3149446793838173</v>
      </c>
    </row>
    <row r="9965" spans="1:4" ht="16.5" hidden="1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313">
        <f>参数调整!$K$40*怪物掉落配置方案!$D4835</f>
        <v>5.8015658117577864</v>
      </c>
    </row>
    <row r="9966" spans="1:4" ht="16.5" hidden="1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313">
        <f>参数调整!$K$40*怪物掉落配置方案!$D4836</f>
        <v>4.4677147180776158E-4</v>
      </c>
    </row>
    <row r="9967" spans="1:4" ht="16.5" hidden="1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313">
        <f>参数调整!$K$40*怪物掉落配置方案!$D4837</f>
        <v>5.6544514400669842E-4</v>
      </c>
    </row>
    <row r="9968" spans="1:4" ht="16.5" hidden="1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313">
        <f>参数调整!$K$40*怪物掉落配置方案!$D4838</f>
        <v>6.9808042469962747E-4</v>
      </c>
    </row>
    <row r="9969" spans="1:4" ht="16.5" hidden="1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313">
        <f>参数调整!$K$40*怪物掉落配置方案!$D4839</f>
        <v>8.4467731388654941E-4</v>
      </c>
    </row>
    <row r="9970" spans="1:4" ht="16.5" hidden="1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313">
        <f>参数调整!$K$40*怪物掉落配置方案!$D4840</f>
        <v>1.0052358115674631E-3</v>
      </c>
    </row>
    <row r="9971" spans="1:4" ht="16.5" hidden="1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313">
        <f>参数调整!$K$40*怪物掉落配置方案!$D4841</f>
        <v>1.1797559177423704E-3</v>
      </c>
    </row>
    <row r="9972" spans="1:4" ht="16.5" hidden="1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313">
        <f>参数调整!$K$40*怪物掉落配置方案!$D4842</f>
        <v>1.3682376324112696E-3</v>
      </c>
    </row>
    <row r="9973" spans="1:4" ht="16.5" hidden="1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313">
        <f>参数调整!$K$40*怪物掉落配置方案!$D4843</f>
        <v>1.5706809555741618E-3</v>
      </c>
    </row>
    <row r="9974" spans="1:4" ht="16.5" hidden="1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313">
        <f>参数调整!$K$40*怪物掉落配置方案!$D4844</f>
        <v>1.7870858872310463E-3</v>
      </c>
    </row>
    <row r="9975" spans="1:4" ht="16.5" hidden="1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313">
        <f>参数调整!$K$40*怪物掉落配置方案!$D4845</f>
        <v>2.2617805760267928E-3</v>
      </c>
    </row>
    <row r="9976" spans="1:4" ht="16.5" hidden="1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313">
        <f>参数调整!$K$40*怪物掉落配置方案!$D4846</f>
        <v>2.7923216987985095E-3</v>
      </c>
    </row>
    <row r="9977" spans="1:4" ht="16.5" hidden="1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313">
        <f>参数调整!$K$40*怪物掉落配置方案!$D4847</f>
        <v>3.3787092555461963E-3</v>
      </c>
    </row>
    <row r="9978" spans="1:4" ht="16.5" hidden="1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313">
        <f>参数调整!$K$40*怪物掉落配置方案!$D4848</f>
        <v>4.363002654372671E-3</v>
      </c>
    </row>
    <row r="9979" spans="1:4" ht="16.5" hidden="1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313">
        <f>参数调整!$K$40*怪物掉落配置方案!$D4849</f>
        <v>6.2827238222966462E-3</v>
      </c>
    </row>
    <row r="9980" spans="1:4" ht="16.5" hidden="1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313">
        <f>参数调整!$K$40*怪物掉落配置方案!$D4850</f>
        <v>8.5514852025704337E-3</v>
      </c>
    </row>
    <row r="9981" spans="1:4" ht="16.5" hidden="1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313">
        <f>参数调整!$K$40*怪物掉落配置方案!$D4851</f>
        <v>9.5567210141379016E-3</v>
      </c>
    </row>
    <row r="9982" spans="1:4" ht="16.5" hidden="1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313">
        <f>参数调整!$K$40*怪物掉落配置方案!$D4852</f>
        <v>1.1169286795194038E-2</v>
      </c>
    </row>
    <row r="9983" spans="1:4" ht="16.5" hidden="1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313">
        <f>参数调整!$K$40*怪物掉落配置方案!$D4853</f>
        <v>1.290750705269611E-2</v>
      </c>
    </row>
    <row r="9984" spans="1:4" ht="16.5" hidden="1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313">
        <f>参数调整!$K$40*怪物掉落配置方案!$D4854</f>
        <v>1.4771381786644116E-2</v>
      </c>
    </row>
    <row r="9985" spans="1:4" ht="16.5" hidden="1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313">
        <f>参数调整!$K$40*怪物掉落配置方案!$D4855</f>
        <v>1.6760910997038057E-2</v>
      </c>
    </row>
    <row r="9986" spans="1:4" ht="16.5" hidden="1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313">
        <f>参数调整!$K$40*怪物掉落配置方案!$D4856</f>
        <v>1.8876094683877926E-2</v>
      </c>
    </row>
    <row r="9987" spans="1:4" ht="16.5" hidden="1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313">
        <f>参数调整!$K$40*怪物掉落配置方案!$D4857</f>
        <v>2.111693284716373E-2</v>
      </c>
    </row>
    <row r="9988" spans="1:4" ht="16.5" hidden="1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313">
        <f>参数调整!$K$40*怪物掉落配置方案!$D4858</f>
        <v>2.3483425486895464E-2</v>
      </c>
    </row>
    <row r="9989" spans="1:4" ht="16.5" hidden="1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313">
        <f>参数调整!$K$40*怪物掉落配置方案!$D4859</f>
        <v>2.5975572603073128E-2</v>
      </c>
    </row>
    <row r="9990" spans="1:4" ht="16.5" hidden="1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313">
        <f>参数调整!$K$40*怪物掉落配置方案!$D4860</f>
        <v>2.8593374195696741E-2</v>
      </c>
    </row>
    <row r="9991" spans="1:4" ht="16.5" hidden="1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313">
        <f>参数调整!$K$40*怪物掉落配置方案!$D4861</f>
        <v>3.1336830264766274E-2</v>
      </c>
    </row>
    <row r="9992" spans="1:4" ht="16.5" hidden="1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313">
        <f>参数调整!$K$40*怪物掉落配置方案!$D4862</f>
        <v>3.4205940810281749E-2</v>
      </c>
    </row>
    <row r="9993" spans="1:4" ht="16.5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313">
        <f>参数调整!$K$40*怪物掉落配置方案!$D4863</f>
        <v>8335</v>
      </c>
    </row>
    <row r="9994" spans="1:4" ht="16.5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313">
        <f>参数调整!$K$40*怪物掉落配置方案!$D4864</f>
        <v>13310</v>
      </c>
    </row>
    <row r="9995" spans="1:4" ht="16.5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313">
        <f>参数调整!$K$40*怪物掉落配置方案!$D4865</f>
        <v>21665</v>
      </c>
    </row>
    <row r="9996" spans="1:4" ht="16.5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313">
        <f>参数调整!$K$40*怪物掉落配置方案!$D4866</f>
        <v>27085</v>
      </c>
    </row>
    <row r="9997" spans="1:4" ht="16.5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313">
        <f>参数调整!$K$40*怪物掉落配置方案!$D4867</f>
        <v>27220</v>
      </c>
    </row>
    <row r="9998" spans="1:4" ht="16.5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313">
        <f>参数调整!$K$40*怪物掉落配置方案!$D4868</f>
        <v>27870</v>
      </c>
    </row>
    <row r="9999" spans="1:4" ht="16.5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313">
        <f>参数调整!$K$40*怪物掉落配置方案!$D4869</f>
        <v>31455</v>
      </c>
    </row>
    <row r="10000" spans="1:4" ht="16.5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313">
        <f>参数调整!$K$40*怪物掉落配置方案!$D4870</f>
        <v>50405</v>
      </c>
    </row>
    <row r="10001" spans="1:4" ht="16.5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313">
        <f>参数调整!$K$40*怪物掉落配置方案!$D4871</f>
        <v>86675</v>
      </c>
    </row>
    <row r="10002" spans="1:4" ht="16.5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313">
        <f>参数调整!$K$40*怪物掉落配置方案!$D4872</f>
        <v>101985</v>
      </c>
    </row>
    <row r="10003" spans="1:4" ht="16.5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313">
        <f>参数调整!$K$40*怪物掉落配置方案!$D4873</f>
        <v>157500</v>
      </c>
    </row>
    <row r="10004" spans="1:4" ht="16.5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313">
        <f>参数调整!$K$40*怪物掉落配置方案!$D4874</f>
        <v>162780</v>
      </c>
    </row>
    <row r="10005" spans="1:4" ht="16.5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313">
        <f>参数调整!$K$40*怪物掉落配置方案!$D4875</f>
        <v>649070</v>
      </c>
    </row>
    <row r="10006" spans="1:4" ht="16.5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313">
        <f>参数调整!$K$40*怪物掉落配置方案!$D4876</f>
        <v>2222085</v>
      </c>
    </row>
    <row r="10007" spans="1:4" ht="16.5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313">
        <f>参数调整!$K$40*怪物掉落配置方案!$D4877</f>
        <v>26841945</v>
      </c>
    </row>
    <row r="10008" spans="1:4" ht="16.5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313">
        <f>参数调整!$K$40*怪物掉落配置方案!$D4878</f>
        <v>24407335</v>
      </c>
    </row>
    <row r="10009" spans="1:4" ht="16.5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313">
        <f>参数调整!$K$40*怪物掉落配置方案!$D4879</f>
        <v>29166665</v>
      </c>
    </row>
    <row r="10010" spans="1:4" ht="16.5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313">
        <f>参数调整!$K$40*怪物掉落配置方案!$D4880</f>
        <v>5833335</v>
      </c>
    </row>
    <row r="10011" spans="1:4" ht="16.5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313">
        <f>参数调整!$K$40*怪物掉落配置方案!$D4881</f>
        <v>5833335</v>
      </c>
    </row>
    <row r="10012" spans="1:4" ht="16.5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313">
        <f>参数调整!$K$40*怪物掉落配置方案!$D4882</f>
        <v>5833335</v>
      </c>
    </row>
    <row r="10013" spans="1:4" ht="16.5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313">
        <f>参数调整!$K$40*怪物掉落配置方案!$D4883</f>
        <v>5833335</v>
      </c>
    </row>
    <row r="10014" spans="1:4" ht="16.5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313">
        <f>参数调整!$K$40*怪物掉落配置方案!$D4884</f>
        <v>5833335</v>
      </c>
    </row>
    <row r="10015" spans="1:4" ht="16.5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313">
        <f>参数调整!$K$40*怪物掉落配置方案!$D4885</f>
        <v>2916665</v>
      </c>
    </row>
    <row r="10016" spans="1:4" ht="16.5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313">
        <f>参数调整!$K$40*怪物掉落配置方案!$D4886</f>
        <v>2916665</v>
      </c>
    </row>
    <row r="10017" spans="1:4" ht="16.5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313">
        <f>参数调整!$K$40*怪物掉落配置方案!$D4887</f>
        <v>2916665</v>
      </c>
    </row>
    <row r="10018" spans="1:4" ht="16.5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313">
        <f>参数调整!$K$40*怪物掉落配置方案!$D4888</f>
        <v>2916665</v>
      </c>
    </row>
    <row r="10019" spans="1:4" ht="16.5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313">
        <f>参数调整!$K$40*怪物掉落配置方案!$D4889</f>
        <v>2916665</v>
      </c>
    </row>
    <row r="10020" spans="1:4" ht="16.5" hidden="1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313">
        <f>参数调整!$K$40*怪物掉落配置方案!$D4890</f>
        <v>2.594255627956254E-3</v>
      </c>
    </row>
    <row r="10021" spans="1:4" ht="16.5" hidden="1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313">
        <f>参数调整!$K$40*怪物掉落配置方案!$D4891</f>
        <v>3.2833547791321347E-3</v>
      </c>
    </row>
    <row r="10022" spans="1:4" ht="16.5" hidden="1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313">
        <f>参数调整!$K$40*怪物掉落配置方案!$D4892</f>
        <v>4.0535244186816468E-3</v>
      </c>
    </row>
    <row r="10023" spans="1:4" ht="16.5" hidden="1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313">
        <f>参数调整!$K$40*怪物掉落配置方案!$D4893</f>
        <v>4.9047645466047934E-3</v>
      </c>
    </row>
    <row r="10024" spans="1:4" ht="16.5" hidden="1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313">
        <f>参数调整!$K$40*怪物掉落配置方案!$D4894</f>
        <v>5.8370751629015704E-3</v>
      </c>
    </row>
    <row r="10025" spans="1:4" ht="16.5" hidden="1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313">
        <f>参数调整!$K$40*怪物掉落配置方案!$D4895</f>
        <v>6.850456267571985E-3</v>
      </c>
    </row>
    <row r="10026" spans="1:4" ht="16.5" hidden="1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313">
        <f>参数调整!$K$40*怪物掉落配置方案!$D4896</f>
        <v>7.9449078606160274E-3</v>
      </c>
    </row>
    <row r="10027" spans="1:4" ht="16.5" hidden="1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313">
        <f>参数调整!$K$40*怪物掉落配置方案!$D4897</f>
        <v>9.1204299420337056E-3</v>
      </c>
    </row>
    <row r="10028" spans="1:4" ht="16.5" hidden="1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313">
        <f>参数调整!$K$40*怪物掉落配置方案!$D4898</f>
        <v>1.0377022511825018E-2</v>
      </c>
    </row>
    <row r="10029" spans="1:4" ht="16.5" hidden="1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313">
        <f>参数调整!$K$40*怪物掉落配置方案!$D4899</f>
        <v>1.3133419116528537E-2</v>
      </c>
    </row>
    <row r="10030" spans="1:4" ht="16.5" hidden="1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313">
        <f>参数调整!$K$40*怪物掉落配置方案!$D4900</f>
        <v>1.6214097674726587E-2</v>
      </c>
    </row>
    <row r="10031" spans="1:4" ht="16.5" hidden="1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313">
        <f>参数调整!$K$40*怪物掉落配置方案!$D4901</f>
        <v>1.9619058186419173E-2</v>
      </c>
    </row>
    <row r="10032" spans="1:4" ht="16.5" hidden="1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313">
        <f>参数调整!$K$40*怪物掉落配置方案!$D4902</f>
        <v>2.5334527616760295E-2</v>
      </c>
    </row>
    <row r="10033" spans="1:4" ht="16.5" hidden="1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313">
        <f>参数调整!$K$40*怪物掉落配置方案!$D4903</f>
        <v>3.6481719768134815E-2</v>
      </c>
    </row>
    <row r="10034" spans="1:4" ht="16.5" hidden="1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313">
        <f>参数调整!$K$40*怪物掉落配置方案!$D4904</f>
        <v>4.9655674128850164E-2</v>
      </c>
    </row>
    <row r="10035" spans="1:4" ht="16.5" hidden="1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313">
        <f>参数调整!$K$40*怪物掉落配置方案!$D4905</f>
        <v>5.5492749291751749E-2</v>
      </c>
    </row>
    <row r="10036" spans="1:4" ht="16.5" hidden="1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313">
        <f>参数调整!$K$40*怪物掉落配置方案!$D4906</f>
        <v>6.4856390698906349E-2</v>
      </c>
    </row>
    <row r="10037" spans="1:4" ht="16.5" hidden="1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313">
        <f>参数调整!$K$40*怪物掉落配置方案!$D4907</f>
        <v>7.4949666501423637E-2</v>
      </c>
    </row>
    <row r="10038" spans="1:4" ht="16.5" hidden="1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313">
        <f>参数调整!$K$40*怪物掉落配置方案!$D4908</f>
        <v>8.5772576699303646E-2</v>
      </c>
    </row>
    <row r="10039" spans="1:4" ht="16.5" hidden="1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313">
        <f>参数调整!$K$40*怪物掉落配置方案!$D4909</f>
        <v>9.7325121292546363E-2</v>
      </c>
    </row>
    <row r="10040" spans="1:4" ht="16.5" hidden="1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313">
        <f>参数调整!$K$40*怪物掉落配置方案!$D4910</f>
        <v>0.10960730028115172</v>
      </c>
    </row>
    <row r="10041" spans="1:4" ht="16.5" hidden="1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313">
        <f>参数调整!$K$40*怪物掉落配置方案!$D4911</f>
        <v>0.12261911366511982</v>
      </c>
    </row>
    <row r="10042" spans="1:4" ht="16.5" hidden="1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313">
        <f>参数调整!$K$40*怪物掉落配置方案!$D4912</f>
        <v>0.13636056144445058</v>
      </c>
    </row>
    <row r="10043" spans="1:4" ht="16.5" hidden="1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313">
        <f>参数调整!$K$40*怪物掉落配置方案!$D4913</f>
        <v>0.15083164361914406</v>
      </c>
    </row>
    <row r="10044" spans="1:4" ht="16.5" hidden="1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313">
        <f>参数调整!$K$40*怪物掉落配置方案!$D4914</f>
        <v>0.16603236018920026</v>
      </c>
    </row>
    <row r="10045" spans="1:4" ht="16.5" hidden="1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313">
        <f>参数调整!$K$40*怪物掉落配置方案!$D4915</f>
        <v>0.18196271115461909</v>
      </c>
    </row>
    <row r="10046" spans="1:4" ht="16.5" hidden="1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313">
        <f>参数调整!$K$40*怪物掉落配置方案!$D4916</f>
        <v>0.19862269651540071</v>
      </c>
    </row>
    <row r="10047" spans="1:4" ht="16.5" hidden="1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313">
        <f>参数调整!$K$40*怪物掉落配置方案!$D4917</f>
        <v>0</v>
      </c>
    </row>
    <row r="10048" spans="1:4" ht="16.5" hidden="1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313">
        <f>参数调整!$K$40*怪物掉落配置方案!$D4918</f>
        <v>0</v>
      </c>
    </row>
    <row r="10049" spans="1:4" ht="16.5" hidden="1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313">
        <f>参数调整!$K$40*怪物掉落配置方案!$D4919</f>
        <v>0</v>
      </c>
    </row>
    <row r="10050" spans="1:4" ht="16.5" hidden="1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313">
        <f>参数调整!$K$40*怪物掉落配置方案!$D4920</f>
        <v>0</v>
      </c>
    </row>
    <row r="10051" spans="1:4" ht="16.5" hidden="1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313">
        <f>参数调整!$K$40*怪物掉落配置方案!$D4921</f>
        <v>0</v>
      </c>
    </row>
    <row r="10052" spans="1:4" ht="16.5" hidden="1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313">
        <f>参数调整!$K$40*怪物掉落配置方案!$D4922</f>
        <v>0</v>
      </c>
    </row>
    <row r="10053" spans="1:4" ht="16.5" hidden="1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313">
        <f>参数调整!$K$40*怪物掉落配置方案!$D4923</f>
        <v>0</v>
      </c>
    </row>
    <row r="10054" spans="1:4" ht="16.5" hidden="1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313">
        <f>参数调整!$K$40*怪物掉落配置方案!$D4924</f>
        <v>0</v>
      </c>
    </row>
    <row r="10055" spans="1:4" ht="16.5" hidden="1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313">
        <f>参数调整!$K$40*怪物掉落配置方案!$D4925</f>
        <v>0</v>
      </c>
    </row>
    <row r="10056" spans="1:4" ht="16.5" hidden="1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313">
        <f>参数调整!$K$40*怪物掉落配置方案!$D4926</f>
        <v>0</v>
      </c>
    </row>
    <row r="10057" spans="1:4" ht="16.5" hidden="1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313">
        <f>参数调整!$K$40*怪物掉落配置方案!$D4927</f>
        <v>0</v>
      </c>
    </row>
    <row r="10058" spans="1:4" ht="16.5" hidden="1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313">
        <f>参数调整!$K$40*怪物掉落配置方案!$D4928</f>
        <v>0</v>
      </c>
    </row>
    <row r="10059" spans="1:4" ht="16.5" hidden="1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313">
        <f>参数调整!$K$40*怪物掉落配置方案!$D4929</f>
        <v>0</v>
      </c>
    </row>
    <row r="10060" spans="1:4" ht="16.5" hidden="1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313">
        <f>参数调整!$K$40*怪物掉落配置方案!$D4930</f>
        <v>0</v>
      </c>
    </row>
    <row r="10061" spans="1:4" ht="16.5" hidden="1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313">
        <f>参数调整!$K$40*怪物掉落配置方案!$D4931</f>
        <v>0</v>
      </c>
    </row>
    <row r="10062" spans="1:4" ht="16.5" hidden="1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313">
        <f>参数调整!$K$40*怪物掉落配置方案!$D4932</f>
        <v>0</v>
      </c>
    </row>
    <row r="10063" spans="1:4" ht="16.5" hidden="1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313">
        <f>参数调整!$K$40*怪物掉落配置方案!$D4933</f>
        <v>0</v>
      </c>
    </row>
    <row r="10064" spans="1:4" ht="16.5" hidden="1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313">
        <f>参数调整!$K$40*怪物掉落配置方案!$D4934</f>
        <v>0</v>
      </c>
    </row>
    <row r="10065" spans="1:4" ht="16.5" hidden="1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313">
        <f>参数调整!$K$40*怪物掉落配置方案!$D4935</f>
        <v>0</v>
      </c>
    </row>
    <row r="10066" spans="1:4" ht="16.5" hidden="1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313">
        <f>参数调整!$K$40*怪物掉落配置方案!$D4936</f>
        <v>0</v>
      </c>
    </row>
    <row r="10067" spans="1:4" ht="16.5" hidden="1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313">
        <f>参数调整!$K$40*怪物掉落配置方案!$D4937</f>
        <v>0</v>
      </c>
    </row>
    <row r="10068" spans="1:4" ht="16.5" hidden="1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313">
        <f>参数调整!$K$40*怪物掉落配置方案!$D4938</f>
        <v>0</v>
      </c>
    </row>
    <row r="10069" spans="1:4" ht="16.5" hidden="1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313">
        <f>参数调整!$K$40*怪物掉落配置方案!$D4939</f>
        <v>0</v>
      </c>
    </row>
    <row r="10070" spans="1:4" ht="16.5" hidden="1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313">
        <f>参数调整!$K$40*怪物掉落配置方案!$D4940</f>
        <v>0</v>
      </c>
    </row>
    <row r="10071" spans="1:4" ht="16.5" hidden="1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313">
        <f>参数调整!$K$40*怪物掉落配置方案!$D4941</f>
        <v>0</v>
      </c>
    </row>
    <row r="10072" spans="1:4" ht="16.5" hidden="1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313">
        <f>参数调整!$K$40*怪物掉落配置方案!$D4942</f>
        <v>0</v>
      </c>
    </row>
    <row r="10073" spans="1:4" ht="16.5" hidden="1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313">
        <f>参数调整!$K$40*怪物掉落配置方案!$D4943</f>
        <v>0</v>
      </c>
    </row>
    <row r="10074" spans="1:4" ht="16.5" hidden="1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313">
        <f>参数调整!$K$40*怪物掉落配置方案!$D4944</f>
        <v>1.2308146987200356E-3</v>
      </c>
    </row>
    <row r="10075" spans="1:4" ht="16.5" hidden="1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313">
        <f>参数调整!$K$40*怪物掉落配置方案!$D4945</f>
        <v>1.5577498530675456E-3</v>
      </c>
    </row>
    <row r="10076" spans="1:4" ht="16.5" hidden="1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313">
        <f>参数调整!$K$40*怪物掉落配置方案!$D4946</f>
        <v>1.9231479667500555E-3</v>
      </c>
    </row>
    <row r="10077" spans="1:4" ht="16.5" hidden="1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313">
        <f>参数调整!$K$40*怪物掉落配置方案!$D4947</f>
        <v>2.3270090397675674E-3</v>
      </c>
    </row>
    <row r="10078" spans="1:4" ht="16.5" hidden="1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313">
        <f>参数调整!$K$40*怪物掉落配置方案!$D4948</f>
        <v>2.76933307212008E-3</v>
      </c>
    </row>
    <row r="10079" spans="1:4" ht="16.5" hidden="1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313">
        <f>参数调整!$K$40*怪物掉落配置方案!$D4949</f>
        <v>3.2501200638075942E-3</v>
      </c>
    </row>
    <row r="10080" spans="1:4" ht="16.5" hidden="1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313">
        <f>参数调整!$K$40*怪物掉落配置方案!$D4950</f>
        <v>3.7693700148301078E-3</v>
      </c>
    </row>
    <row r="10081" spans="1:4" ht="16.5" hidden="1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313">
        <f>参数调整!$K$40*怪物掉落配置方案!$D4951</f>
        <v>4.3270829251876248E-3</v>
      </c>
    </row>
    <row r="10082" spans="1:4" ht="16.5" hidden="1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313">
        <f>参数调整!$K$40*怪物掉落配置方案!$D4952</f>
        <v>4.9232587948801441E-3</v>
      </c>
    </row>
    <row r="10083" spans="1:4" ht="16.5" hidden="1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313">
        <f>参数调整!$K$40*怪物掉落配置方案!$D4953</f>
        <v>6.2309994122701799E-3</v>
      </c>
    </row>
    <row r="10084" spans="1:4" ht="16.5" hidden="1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313">
        <f>参数调整!$K$40*怪物掉落配置方案!$D4954</f>
        <v>7.692591867000222E-3</v>
      </c>
    </row>
    <row r="10085" spans="1:4" ht="16.5" hidden="1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313">
        <f>参数调整!$K$40*怪物掉落配置方案!$D4955</f>
        <v>9.3080361590702695E-3</v>
      </c>
    </row>
    <row r="10086" spans="1:4" ht="16.5" hidden="1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313">
        <f>参数调整!$K$40*怪物掉落配置方案!$D4956</f>
        <v>1.2019674792187846E-2</v>
      </c>
    </row>
    <row r="10087" spans="1:4" ht="16.5" hidden="1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313">
        <f>参数调整!$K$40*怪物掉落配置方案!$D4957</f>
        <v>1.7308331700750496E-2</v>
      </c>
    </row>
    <row r="10088" spans="1:4" ht="16.5" hidden="1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313">
        <f>参数调整!$K$40*怪物掉落配置方案!$D4958</f>
        <v>2.3558562592688178E-2</v>
      </c>
    </row>
    <row r="10089" spans="1:4" ht="16.5" hidden="1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313">
        <f>参数调整!$K$40*怪物掉落配置方案!$D4959</f>
        <v>2.6327895664808261E-2</v>
      </c>
    </row>
    <row r="10090" spans="1:4" ht="16.5" hidden="1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313">
        <f>参数调整!$K$40*怪物掉落配置方案!$D4960</f>
        <v>3.0770367468000888E-2</v>
      </c>
    </row>
    <row r="10091" spans="1:4" ht="16.5" hidden="1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313">
        <f>参数调整!$K$40*怪物掉落配置方案!$D4961</f>
        <v>3.5559005905208524E-2</v>
      </c>
    </row>
    <row r="10092" spans="1:4" ht="16.5" hidden="1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313">
        <f>参数调整!$K$40*怪物掉落配置方案!$D4962</f>
        <v>4.0693810976431169E-2</v>
      </c>
    </row>
    <row r="10093" spans="1:4" ht="16.5" hidden="1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313">
        <f>参数调整!$K$40*怪物掉落配置方案!$D4963</f>
        <v>4.6174782681668844E-2</v>
      </c>
    </row>
    <row r="10094" spans="1:4" ht="16.5" hidden="1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313">
        <f>参数调整!$K$40*怪物掉落配置方案!$D4964</f>
        <v>5.2001921020921507E-2</v>
      </c>
    </row>
    <row r="10095" spans="1:4" ht="16.5" hidden="1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313">
        <f>参数调整!$K$40*怪物掉落配置方案!$D4965</f>
        <v>5.8175225994189186E-2</v>
      </c>
    </row>
    <row r="10096" spans="1:4" ht="16.5" hidden="1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313">
        <f>参数调整!$K$40*怪物掉落配置方案!$D4966</f>
        <v>6.4694697601471854E-2</v>
      </c>
    </row>
    <row r="10097" spans="1:4" ht="16.5" hidden="1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313">
        <f>参数调整!$K$40*怪物掉落配置方案!$D4967</f>
        <v>7.1560335842769551E-2</v>
      </c>
    </row>
    <row r="10098" spans="1:4" ht="16.5" hidden="1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313">
        <f>参数调整!$K$40*怪物掉落配置方案!$D4968</f>
        <v>7.8772140718082279E-2</v>
      </c>
    </row>
    <row r="10099" spans="1:4" ht="16.5" hidden="1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313">
        <f>参数调整!$K$40*怪物掉落配置方案!$D4969</f>
        <v>8.6330112227410008E-2</v>
      </c>
    </row>
    <row r="10100" spans="1:4" ht="16.5" hidden="1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313">
        <f>参数调整!$K$40*怪物掉落配置方案!$D4970</f>
        <v>9.4234250370752726E-2</v>
      </c>
    </row>
    <row r="10101" spans="1:4" ht="16.5" hidden="1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313">
        <f>参数调整!$K$40*怪物掉落配置方案!$D4971</f>
        <v>3.2500735241919945E-2</v>
      </c>
    </row>
    <row r="10102" spans="1:4" ht="16.5" hidden="1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313">
        <f>参数调整!$K$40*怪物掉落配置方案!$D4972</f>
        <v>4.1133743040554935E-2</v>
      </c>
    </row>
    <row r="10103" spans="1:4" ht="16.5" hidden="1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313">
        <f>参数调整!$K$40*怪物掉落配置方案!$D4973</f>
        <v>5.0782398815499917E-2</v>
      </c>
    </row>
    <row r="10104" spans="1:4" ht="16.5" hidden="1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313">
        <f>参数调整!$K$40*怪物掉落配置方案!$D4974</f>
        <v>6.1446702566754906E-2</v>
      </c>
    </row>
    <row r="10105" spans="1:4" ht="16.5" hidden="1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313">
        <f>参数调整!$K$40*怪物掉落配置方案!$D4975</f>
        <v>7.3126654294319859E-2</v>
      </c>
    </row>
    <row r="10106" spans="1:4" ht="16.5" hidden="1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313">
        <f>参数调整!$K$40*怪物掉落配置方案!$D4976</f>
        <v>8.5822253998194875E-2</v>
      </c>
    </row>
    <row r="10107" spans="1:4" ht="16.5" hidden="1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313">
        <f>参数调整!$K$40*怪物掉落配置方案!$D4977</f>
        <v>9.9533501678379821E-2</v>
      </c>
    </row>
    <row r="10108" spans="1:4" ht="16.5" hidden="1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313">
        <f>参数调整!$K$40*怪物掉落配置方案!$D4978</f>
        <v>0.11426039733487481</v>
      </c>
    </row>
    <row r="10109" spans="1:4" ht="16.5" hidden="1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313">
        <f>参数调整!$K$40*怪物掉落配置方案!$D4979</f>
        <v>0.13000294096767981</v>
      </c>
    </row>
    <row r="10110" spans="1:4" ht="16.5" hidden="1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313">
        <f>参数调整!$K$40*怪物掉落配置方案!$D4980</f>
        <v>0.16453497216221974</v>
      </c>
    </row>
    <row r="10111" spans="1:4" ht="16.5" hidden="1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313">
        <f>参数调整!$K$40*怪物掉落配置方案!$D4981</f>
        <v>0.20312959526199961</v>
      </c>
    </row>
    <row r="10112" spans="1:4" ht="16.5" hidden="1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313">
        <f>参数调整!$K$40*怪物掉落配置方案!$D4982</f>
        <v>0.24578681026701962</v>
      </c>
    </row>
    <row r="10113" spans="1:4" ht="16.5" hidden="1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313">
        <f>参数调整!$K$40*怪物掉落配置方案!$D4983</f>
        <v>0.31738999259687439</v>
      </c>
    </row>
    <row r="10114" spans="1:4" ht="16.5" hidden="1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313">
        <f>参数调整!$K$40*怪物掉落配置方案!$D4984</f>
        <v>0.45704158933949912</v>
      </c>
    </row>
    <row r="10115" spans="1:4" ht="16.5" hidden="1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313">
        <f>参数调整!$K$40*怪物掉落配置方案!$D4985</f>
        <v>0.62208438548987388</v>
      </c>
    </row>
    <row r="10116" spans="1:4" ht="16.5" hidden="1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313">
        <f>参数调整!$K$40*怪物掉落配置方案!$D4986</f>
        <v>0.69521103978419385</v>
      </c>
    </row>
    <row r="10117" spans="1:4" ht="16.5" hidden="1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313">
        <f>参数调整!$K$40*怪物掉落配置方案!$D4987</f>
        <v>0.81251838104799845</v>
      </c>
    </row>
    <row r="10118" spans="1:4" ht="16.5" hidden="1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313">
        <f>参数调整!$K$40*怪物掉落配置方案!$D4988</f>
        <v>0.9389665540985932</v>
      </c>
    </row>
    <row r="10119" spans="1:4" ht="16.5" hidden="1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313">
        <f>参数调整!$K$40*怪物掉落配置方案!$D4989</f>
        <v>1.0745555589359781</v>
      </c>
    </row>
    <row r="10120" spans="1:4" ht="16.5" hidden="1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313">
        <f>参数调整!$K$40*怪物掉落配置方案!$D4990</f>
        <v>1.219285395560153</v>
      </c>
    </row>
    <row r="10121" spans="1:4" ht="16.5" hidden="1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313">
        <f>参数调整!$K$40*怪物掉落配置方案!$D4991</f>
        <v>1.3731560639711176</v>
      </c>
    </row>
    <row r="10122" spans="1:4" ht="16.5" hidden="1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313">
        <f>参数调整!$K$40*怪物掉落配置方案!$D4992</f>
        <v>1.5361675641688723</v>
      </c>
    </row>
    <row r="10123" spans="1:4" ht="16.5" hidden="1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313">
        <f>参数调整!$K$40*怪物掉落配置方案!$D4993</f>
        <v>1.7083198961534172</v>
      </c>
    </row>
    <row r="10124" spans="1:4" ht="16.5" hidden="1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313">
        <f>参数调整!$K$40*怪物掉落配置方案!$D4994</f>
        <v>1.8896130599247516</v>
      </c>
    </row>
    <row r="10125" spans="1:4" ht="16.5" hidden="1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313">
        <f>参数调整!$K$40*怪物掉落配置方案!$D4995</f>
        <v>2.0800470554828765</v>
      </c>
    </row>
    <row r="10126" spans="1:4" ht="16.5" hidden="1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313">
        <f>参数调整!$K$40*怪物掉落配置方案!$D4996</f>
        <v>2.279621882827791</v>
      </c>
    </row>
    <row r="10127" spans="1:4" ht="16.5" hidden="1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313">
        <f>参数调整!$K$40*怪物掉落配置方案!$D4997</f>
        <v>2.488337541959496</v>
      </c>
    </row>
    <row r="10128" spans="1:4" ht="16.5" hidden="1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313">
        <f>参数调整!$K$40*怪物掉落配置方案!$D4998</f>
        <v>1.6246235338464058E-5</v>
      </c>
    </row>
    <row r="10129" spans="1:4" ht="16.5" hidden="1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313">
        <f>参数调整!$K$40*怪物掉落配置方案!$D4999</f>
        <v>2.0561641600243578E-5</v>
      </c>
    </row>
    <row r="10130" spans="1:4" ht="16.5" hidden="1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313">
        <f>参数调整!$K$40*怪物掉落配置方案!$D5000</f>
        <v>2.5384742716350091E-5</v>
      </c>
    </row>
    <row r="10131" spans="1:4" ht="16.5" hidden="1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313">
        <f>参数调整!$K$40*怪物掉落配置方案!$D5001</f>
        <v>3.0715538686783609E-5</v>
      </c>
    </row>
    <row r="10132" spans="1:4" ht="16.5" hidden="1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313">
        <f>参数调整!$K$40*怪物掉落配置方案!$D5002</f>
        <v>3.6554029511544124E-5</v>
      </c>
    </row>
    <row r="10133" spans="1:4" ht="16.5" hidden="1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313">
        <f>参数调整!$K$40*怪物掉落配置方案!$D5003</f>
        <v>4.2900215190631657E-5</v>
      </c>
    </row>
    <row r="10134" spans="1:4" ht="16.5" hidden="1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313">
        <f>参数调整!$K$40*怪物掉落配置方案!$D5004</f>
        <v>4.9754095724046167E-5</v>
      </c>
    </row>
    <row r="10135" spans="1:4" ht="16.5" hidden="1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313">
        <f>参数调整!$K$40*怪物掉落配置方案!$D5005</f>
        <v>5.7115671111787702E-5</v>
      </c>
    </row>
    <row r="10136" spans="1:4" ht="16.5" hidden="1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313">
        <f>参数调整!$K$40*怪物掉落配置方案!$D5006</f>
        <v>6.4984941353856234E-5</v>
      </c>
    </row>
    <row r="10137" spans="1:4" ht="16.5" hidden="1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313">
        <f>参数调整!$K$40*怪物掉落配置方案!$D5007</f>
        <v>8.2246566400974311E-5</v>
      </c>
    </row>
    <row r="10138" spans="1:4" ht="16.5" hidden="1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313">
        <f>参数调整!$K$40*怪物掉落配置方案!$D5008</f>
        <v>1.0153897086540036E-4</v>
      </c>
    </row>
    <row r="10139" spans="1:4" ht="16.5" hidden="1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313">
        <f>参数调整!$K$40*怪物掉落配置方案!$D5009</f>
        <v>1.2286215474713444E-4</v>
      </c>
    </row>
    <row r="10140" spans="1:4" ht="16.5" hidden="1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313">
        <f>参数调整!$K$40*怪物掉落配置方案!$D5010</f>
        <v>1.5865464197718806E-4</v>
      </c>
    </row>
    <row r="10141" spans="1:4" ht="16.5" hidden="1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313">
        <f>参数调整!$K$40*怪物掉落配置方案!$D5011</f>
        <v>2.2846268444715078E-4</v>
      </c>
    </row>
    <row r="10142" spans="1:4" ht="16.5" hidden="1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313">
        <f>参数调整!$K$40*怪物掉落配置方案!$D5012</f>
        <v>3.109630982752885E-4</v>
      </c>
    </row>
    <row r="10143" spans="1:4" ht="16.5" hidden="1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313">
        <f>参数调整!$K$40*怪物掉落配置方案!$D5013</f>
        <v>3.4751712778683275E-4</v>
      </c>
    </row>
    <row r="10144" spans="1:4" ht="16.5" hidden="1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313">
        <f>参数调整!$K$40*怪物掉落配置方案!$D5014</f>
        <v>4.0615588346160146E-4</v>
      </c>
    </row>
    <row r="10145" spans="1:4" ht="16.5" hidden="1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313">
        <f>参数调整!$K$40*怪物掉落配置方案!$D5015</f>
        <v>4.6936389282531312E-4</v>
      </c>
    </row>
    <row r="10146" spans="1:4" ht="16.5" hidden="1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313">
        <f>参数调整!$K$40*怪物掉落配置方案!$D5016</f>
        <v>5.3714115587796785E-4</v>
      </c>
    </row>
    <row r="10147" spans="1:4" ht="16.5" hidden="1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313">
        <f>参数调整!$K$40*怪物掉落配置方案!$D5017</f>
        <v>6.0948767261956576E-4</v>
      </c>
    </row>
    <row r="10148" spans="1:4" ht="16.5" hidden="1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313">
        <f>参数调整!$K$40*怪物掉落配置方案!$D5018</f>
        <v>6.864034430501064E-4</v>
      </c>
    </row>
    <row r="10149" spans="1:4" ht="16.5" hidden="1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313">
        <f>参数调整!$K$40*怪物掉落配置方案!$D5019</f>
        <v>7.6788846716959022E-4</v>
      </c>
    </row>
    <row r="10150" spans="1:4" ht="16.5" hidden="1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313">
        <f>参数调整!$K$40*怪物掉落配置方案!$D5020</f>
        <v>8.5394274497801689E-4</v>
      </c>
    </row>
    <row r="10151" spans="1:4" ht="16.5" hidden="1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313">
        <f>参数调整!$K$40*怪物掉落配置方案!$D5021</f>
        <v>9.4456627647538662E-4</v>
      </c>
    </row>
    <row r="10152" spans="1:4" ht="16.5" hidden="1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313">
        <f>参数调整!$K$40*怪物掉落配置方案!$D5022</f>
        <v>1.0397590616616997E-3</v>
      </c>
    </row>
    <row r="10153" spans="1:4" ht="16.5" hidden="1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313">
        <f>参数调整!$K$40*怪物掉落配置方案!$D5023</f>
        <v>1.1395211005369554E-3</v>
      </c>
    </row>
    <row r="10154" spans="1:4" ht="16.5" hidden="1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313">
        <f>参数调整!$K$40*怪物掉落配置方案!$D5024</f>
        <v>1.2438523931011544E-3</v>
      </c>
    </row>
    <row r="10155" spans="1:4" ht="16.5" hidden="1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313">
        <f>参数调整!$K$40*怪物掉落配置方案!$D5025</f>
        <v>4.4677147180776158E-3</v>
      </c>
    </row>
    <row r="10156" spans="1:4" ht="16.5" hidden="1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313">
        <f>参数调整!$K$40*怪物掉落配置方案!$D5026</f>
        <v>5.6544514400669833E-3</v>
      </c>
    </row>
    <row r="10157" spans="1:4" ht="16.5" hidden="1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313">
        <f>参数调整!$K$40*怪物掉落配置方案!$D5027</f>
        <v>6.9808042469962734E-3</v>
      </c>
    </row>
    <row r="10158" spans="1:4" ht="16.5" hidden="1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313">
        <f>参数调整!$K$40*怪物掉落配置方案!$D5028</f>
        <v>8.4467731388654915E-3</v>
      </c>
    </row>
    <row r="10159" spans="1:4" ht="16.5" hidden="1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313">
        <f>参数调整!$K$40*怪物掉落配置方案!$D5029</f>
        <v>1.0052358115674634E-2</v>
      </c>
    </row>
    <row r="10160" spans="1:4" ht="16.5" hidden="1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313">
        <f>参数调整!$K$40*怪物掉落配置方案!$D5030</f>
        <v>1.1797559177423703E-2</v>
      </c>
    </row>
    <row r="10161" spans="1:4" ht="16.5" hidden="1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313">
        <f>参数调整!$K$40*怪物掉落配置方案!$D5031</f>
        <v>1.3682376324112695E-2</v>
      </c>
    </row>
    <row r="10162" spans="1:4" ht="16.5" hidden="1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313">
        <f>参数调整!$K$40*怪物掉落配置方案!$D5032</f>
        <v>1.5706809555741622E-2</v>
      </c>
    </row>
    <row r="10163" spans="1:4" ht="16.5" hidden="1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313">
        <f>参数调整!$K$40*怪物掉落配置方案!$D5033</f>
        <v>1.7870858872310463E-2</v>
      </c>
    </row>
    <row r="10164" spans="1:4" ht="16.5" hidden="1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313">
        <f>参数调整!$K$40*怪物掉落配置方案!$D5034</f>
        <v>2.2617805760267933E-2</v>
      </c>
    </row>
    <row r="10165" spans="1:4" ht="16.5" hidden="1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313">
        <f>参数调整!$K$40*怪物掉落配置方案!$D5035</f>
        <v>2.7923216987985094E-2</v>
      </c>
    </row>
    <row r="10166" spans="1:4" ht="16.5" hidden="1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313">
        <f>参数调整!$K$40*怪物掉落配置方案!$D5036</f>
        <v>3.3787092555461973E-2</v>
      </c>
    </row>
    <row r="10167" spans="1:4" ht="16.5" hidden="1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313">
        <f>参数调整!$K$40*怪物掉落配置方案!$D5037</f>
        <v>4.3630026543726719E-2</v>
      </c>
    </row>
    <row r="10168" spans="1:4" ht="16.5" hidden="1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313">
        <f>参数调整!$K$40*怪物掉落配置方案!$D5038</f>
        <v>6.2827238222966458E-2</v>
      </c>
    </row>
    <row r="10169" spans="1:4" ht="16.5" hidden="1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313">
        <f>参数调整!$K$40*怪物掉落配置方案!$D5039</f>
        <v>8.5514852025704358E-2</v>
      </c>
    </row>
    <row r="10170" spans="1:4" ht="16.5" hidden="1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313">
        <f>参数调整!$K$40*怪物掉落配置方案!$D5040</f>
        <v>9.5567210141379005E-2</v>
      </c>
    </row>
    <row r="10171" spans="1:4" ht="16.5" hidden="1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313">
        <f>参数调整!$K$40*怪物掉落配置方案!$D5041</f>
        <v>0.11169286795194037</v>
      </c>
    </row>
    <row r="10172" spans="1:4" ht="16.5" hidden="1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313">
        <f>参数调整!$K$40*怪物掉落配置方案!$D5042</f>
        <v>0.12907507052696107</v>
      </c>
    </row>
    <row r="10173" spans="1:4" ht="16.5" hidden="1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313">
        <f>参数调整!$K$40*怪物掉落配置方案!$D5043</f>
        <v>0.14771381786644114</v>
      </c>
    </row>
    <row r="10174" spans="1:4" ht="16.5" hidden="1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313">
        <f>参数调整!$K$40*怪物掉落配置方案!$D5044</f>
        <v>0.16760910997038053</v>
      </c>
    </row>
    <row r="10175" spans="1:4" ht="16.5" hidden="1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313">
        <f>参数调整!$K$40*怪物掉落配置方案!$D5045</f>
        <v>0.18876094683877925</v>
      </c>
    </row>
    <row r="10176" spans="1:4" ht="16.5" hidden="1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313">
        <f>参数调整!$K$40*怪物掉落配置方案!$D5046</f>
        <v>0.2111693284716373</v>
      </c>
    </row>
    <row r="10177" spans="1:4" ht="16.5" hidden="1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313">
        <f>参数调整!$K$40*怪物掉落配置方案!$D5047</f>
        <v>0.23483425486895459</v>
      </c>
    </row>
    <row r="10178" spans="1:4" ht="16.5" hidden="1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313">
        <f>参数调整!$K$40*怪物掉落配置方案!$D5048</f>
        <v>0.25975572603073133</v>
      </c>
    </row>
    <row r="10179" spans="1:4" ht="16.5" hidden="1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313">
        <f>参数调整!$K$40*怪物掉落配置方案!$D5049</f>
        <v>0.28593374195696741</v>
      </c>
    </row>
    <row r="10180" spans="1:4" ht="16.5" hidden="1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313">
        <f>参数调整!$K$40*怪物掉落配置方案!$D5050</f>
        <v>0.31336830264766274</v>
      </c>
    </row>
    <row r="10181" spans="1:4" ht="16.5" hidden="1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313">
        <f>参数调整!$K$40*怪物掉落配置方案!$D5051</f>
        <v>0.34205940810281743</v>
      </c>
    </row>
    <row r="10182" spans="1:4" ht="16.5" hidden="1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313">
        <f>参数调整!$K$40*怪物掉落配置方案!$D5052</f>
        <v>1.6246235338464058E-4</v>
      </c>
    </row>
    <row r="10183" spans="1:4" ht="16.5" hidden="1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313">
        <f>参数调整!$K$40*怪物掉落配置方案!$D5053</f>
        <v>2.0561641600243578E-4</v>
      </c>
    </row>
    <row r="10184" spans="1:4" ht="16.5" hidden="1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313">
        <f>参数调整!$K$40*怪物掉落配置方案!$D5054</f>
        <v>2.5384742716350088E-4</v>
      </c>
    </row>
    <row r="10185" spans="1:4" ht="16.5" hidden="1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313">
        <f>参数调整!$K$40*怪物掉落配置方案!$D5055</f>
        <v>3.0715538686783609E-4</v>
      </c>
    </row>
    <row r="10186" spans="1:4" ht="16.5" hidden="1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313">
        <f>参数调整!$K$40*怪物掉落配置方案!$D5056</f>
        <v>3.6554029511544123E-4</v>
      </c>
    </row>
    <row r="10187" spans="1:4" ht="16.5" hidden="1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313">
        <f>参数调整!$K$40*怪物掉落配置方案!$D5057</f>
        <v>4.2900215190631652E-4</v>
      </c>
    </row>
    <row r="10188" spans="1:4" ht="16.5" hidden="1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313">
        <f>参数调整!$K$40*怪物掉落配置方案!$D5058</f>
        <v>4.9754095724046168E-4</v>
      </c>
    </row>
    <row r="10189" spans="1:4" ht="16.5" hidden="1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313">
        <f>参数调整!$K$40*怪物掉落配置方案!$D5059</f>
        <v>5.71156711117877E-4</v>
      </c>
    </row>
    <row r="10190" spans="1:4" ht="16.5" hidden="1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313">
        <f>参数调整!$K$40*怪物掉落配置方案!$D5060</f>
        <v>6.4984941353856242E-4</v>
      </c>
    </row>
    <row r="10191" spans="1:4" ht="16.5" hidden="1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313">
        <f>参数调整!$K$40*怪物掉落配置方案!$D5061</f>
        <v>8.2246566400974289E-4</v>
      </c>
    </row>
    <row r="10192" spans="1:4" ht="16.5" hidden="1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313">
        <f>参数调整!$K$40*怪物掉落配置方案!$D5062</f>
        <v>1.0153897086540033E-3</v>
      </c>
    </row>
    <row r="10193" spans="1:4" ht="16.5" hidden="1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313">
        <f>参数调整!$K$40*怪物掉落配置方案!$D5063</f>
        <v>1.2286215474713444E-3</v>
      </c>
    </row>
    <row r="10194" spans="1:4" ht="16.5" hidden="1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313">
        <f>参数调整!$K$40*怪物掉落配置方案!$D5064</f>
        <v>1.5865464197718805E-3</v>
      </c>
    </row>
    <row r="10195" spans="1:4" ht="16.5" hidden="1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313">
        <f>参数调整!$K$40*怪物掉落配置方案!$D5065</f>
        <v>2.2846268444715071E-3</v>
      </c>
    </row>
    <row r="10196" spans="1:4" ht="16.5" hidden="1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313">
        <f>参数调整!$K$40*怪物掉落配置方案!$D5066</f>
        <v>3.1096309827528855E-3</v>
      </c>
    </row>
    <row r="10197" spans="1:4" ht="16.5" hidden="1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313">
        <f>参数调整!$K$40*怪物掉落配置方案!$D5067</f>
        <v>3.4751712778683273E-3</v>
      </c>
    </row>
    <row r="10198" spans="1:4" ht="16.5" hidden="1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313">
        <f>参数调整!$K$40*怪物掉落配置方案!$D5068</f>
        <v>4.0615588346160133E-3</v>
      </c>
    </row>
    <row r="10199" spans="1:4" ht="16.5" hidden="1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313">
        <f>参数调整!$K$40*怪物掉落配置方案!$D5069</f>
        <v>4.6936389282531306E-3</v>
      </c>
    </row>
    <row r="10200" spans="1:4" ht="16.5" hidden="1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313">
        <f>参数调整!$K$40*怪物掉落配置方案!$D5070</f>
        <v>5.3714115587796783E-3</v>
      </c>
    </row>
    <row r="10201" spans="1:4" ht="16.5" hidden="1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313">
        <f>参数调整!$K$40*怪物掉落配置方案!$D5071</f>
        <v>6.0948767261956574E-3</v>
      </c>
    </row>
    <row r="10202" spans="1:4" ht="16.5" hidden="1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313">
        <f>参数调整!$K$40*怪物掉落配置方案!$D5072</f>
        <v>6.8640344305010642E-3</v>
      </c>
    </row>
    <row r="10203" spans="1:4" ht="16.5" hidden="1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313">
        <f>参数调整!$K$40*怪物掉落配置方案!$D5073</f>
        <v>7.6788846716959024E-3</v>
      </c>
    </row>
    <row r="10204" spans="1:4" ht="16.5" hidden="1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313">
        <f>参数调整!$K$40*怪物掉落配置方案!$D5074</f>
        <v>8.5394274497801684E-3</v>
      </c>
    </row>
    <row r="10205" spans="1:4" ht="16.5" hidden="1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313">
        <f>参数调整!$K$40*怪物掉落配置方案!$D5075</f>
        <v>9.4456627647538666E-3</v>
      </c>
    </row>
    <row r="10206" spans="1:4" ht="16.5" hidden="1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313">
        <f>参数调整!$K$40*怪物掉落配置方案!$D5076</f>
        <v>1.0397590616616997E-2</v>
      </c>
    </row>
    <row r="10207" spans="1:4" ht="16.5" hidden="1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313">
        <f>参数调整!$K$40*怪物掉落配置方案!$D5077</f>
        <v>1.1395211005369554E-2</v>
      </c>
    </row>
    <row r="10208" spans="1:4" ht="16.5" hidden="1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313">
        <f>参数调整!$K$40*怪物掉落配置方案!$D5078</f>
        <v>1.2438523931011544E-2</v>
      </c>
    </row>
    <row r="10209" spans="1:4" ht="16.5" hidden="1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313">
        <f>参数调整!$K$40*怪物掉落配置方案!$D5079</f>
        <v>2.2700463611960771E-2</v>
      </c>
    </row>
    <row r="10210" spans="1:4" ht="16.5" hidden="1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313">
        <f>参数调整!$K$40*怪物掉落配置方案!$D5080</f>
        <v>2.8730274258887849E-2</v>
      </c>
    </row>
    <row r="10211" spans="1:4" ht="16.5" hidden="1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313">
        <f>参数调整!$K$40*怪物掉落配置方案!$D5081</f>
        <v>3.5469474393688701E-2</v>
      </c>
    </row>
    <row r="10212" spans="1:4" ht="16.5" hidden="1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313">
        <f>参数调整!$K$40*怪物掉落配置方案!$D5082</f>
        <v>4.2918064016363333E-2</v>
      </c>
    </row>
    <row r="10213" spans="1:4" ht="16.5" hidden="1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313">
        <f>参数调整!$K$40*怪物掉落配置方案!$D5083</f>
        <v>5.1076043126911719E-2</v>
      </c>
    </row>
    <row r="10214" spans="1:4" ht="16.5" hidden="1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313">
        <f>参数调整!$K$40*怪物掉落配置方案!$D5084</f>
        <v>5.9943411725333906E-2</v>
      </c>
    </row>
    <row r="10215" spans="1:4" ht="16.5" hidden="1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313">
        <f>参数调整!$K$40*怪物掉落配置方案!$D5085</f>
        <v>6.9520169811629839E-2</v>
      </c>
    </row>
    <row r="10216" spans="1:4" ht="16.5" hidden="1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313">
        <f>参数调整!$K$40*怪物掉落配置方案!$D5086</f>
        <v>7.9806317385799574E-2</v>
      </c>
    </row>
    <row r="10217" spans="1:4" ht="16.5" hidden="1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313">
        <f>参数调整!$K$40*怪物掉落配置方案!$D5087</f>
        <v>9.0801854447843097E-2</v>
      </c>
    </row>
    <row r="10218" spans="1:4" ht="16.5" hidden="1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313">
        <f>参数调整!$K$40*怪物掉落配置方案!$D5088</f>
        <v>0.11492109703555142</v>
      </c>
    </row>
    <row r="10219" spans="1:4" ht="16.5" hidden="1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313">
        <f>参数调整!$K$40*怪物掉落配置方案!$D5089</f>
        <v>0.1418778975747548</v>
      </c>
    </row>
    <row r="10220" spans="1:4" ht="16.5" hidden="1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313">
        <f>参数调整!$K$40*怪物掉落配置方案!$D5090</f>
        <v>0.17167225606545333</v>
      </c>
    </row>
    <row r="10221" spans="1:4" ht="16.5" hidden="1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313">
        <f>参数调整!$K$40*怪物掉落配置方案!$D5091</f>
        <v>0.22168421496055438</v>
      </c>
    </row>
    <row r="10222" spans="1:4" ht="16.5" hidden="1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313">
        <f>参数调整!$K$40*怪物掉落配置方案!$D5092</f>
        <v>0.31922526954319824</v>
      </c>
    </row>
    <row r="10223" spans="1:4" ht="16.5" hidden="1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313">
        <f>参数调整!$K$40*怪物掉落配置方案!$D5093</f>
        <v>0.43450106132268651</v>
      </c>
    </row>
    <row r="10224" spans="1:4" ht="16.5" hidden="1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313">
        <f>参数调整!$K$40*怪物掉落配置方案!$D5094</f>
        <v>0.48557710444959834</v>
      </c>
    </row>
    <row r="10225" spans="1:4" ht="16.5" hidden="1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313">
        <f>参数调整!$K$40*怪物掉落配置方案!$D5095</f>
        <v>0.56751159029901921</v>
      </c>
    </row>
    <row r="10226" spans="1:4" ht="16.5" hidden="1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313">
        <f>参数调整!$K$40*怪物掉落配置方案!$D5096</f>
        <v>0.65583058153930396</v>
      </c>
    </row>
    <row r="10227" spans="1:4" ht="16.5" hidden="1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313">
        <f>参数调整!$K$40*怪物掉落配置方案!$D5097</f>
        <v>0.75053407817045281</v>
      </c>
    </row>
    <row r="10228" spans="1:4" ht="16.5" hidden="1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313">
        <f>参数调整!$K$40*怪物掉落配置方案!$D5098</f>
        <v>0.85162208019246588</v>
      </c>
    </row>
    <row r="10229" spans="1:4" ht="16.5" hidden="1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313">
        <f>参数调整!$K$40*怪物掉落配置方案!$D5099</f>
        <v>0.95909458760534239</v>
      </c>
    </row>
    <row r="10230" spans="1:4" ht="16.5" hidden="1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313">
        <f>参数调整!$K$40*怪物掉落配置方案!$D5100</f>
        <v>1.0729516004090831</v>
      </c>
    </row>
    <row r="10231" spans="1:4" ht="16.5" hidden="1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313">
        <f>参数调整!$K$40*怪物掉落配置方案!$D5101</f>
        <v>1.1931931186036879</v>
      </c>
    </row>
    <row r="10232" spans="1:4" ht="16.5" hidden="1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313">
        <f>参数调整!$K$40*怪物掉落配置方案!$D5102</f>
        <v>1.3198191421891561</v>
      </c>
    </row>
    <row r="10233" spans="1:4" ht="16.5" hidden="1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313">
        <f>参数调整!$K$40*怪物掉落配置方案!$D5103</f>
        <v>1.4528296711654896</v>
      </c>
    </row>
    <row r="10234" spans="1:4" ht="16.5" hidden="1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313">
        <f>参数调整!$K$40*怪物掉落配置方案!$D5104</f>
        <v>1.5922247055326857</v>
      </c>
    </row>
    <row r="10235" spans="1:4" ht="16.5" hidden="1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313">
        <f>参数调整!$K$40*怪物掉落配置方案!$D5105</f>
        <v>1.7380042452907465</v>
      </c>
    </row>
    <row r="10236" spans="1:4" ht="16.5" hidden="1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313">
        <f>参数调整!$K$40*怪物掉落配置方案!$D5106</f>
        <v>2.9560536442579778E-3</v>
      </c>
    </row>
    <row r="10237" spans="1:4" ht="16.5" hidden="1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313">
        <f>参数调整!$K$40*怪物掉落配置方案!$D5107</f>
        <v>3.7412553935140028E-3</v>
      </c>
    </row>
    <row r="10238" spans="1:4" ht="16.5" hidden="1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313">
        <f>参数调整!$K$40*怪物掉落配置方案!$D5108</f>
        <v>4.6188338191530892E-3</v>
      </c>
    </row>
    <row r="10239" spans="1:4" ht="16.5" hidden="1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313">
        <f>参数调整!$K$40*怪物掉落配置方案!$D5109</f>
        <v>5.5887889211752393E-3</v>
      </c>
    </row>
    <row r="10240" spans="1:4" ht="16.5" hidden="1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313">
        <f>参数调整!$K$40*怪物掉落配置方案!$D5110</f>
        <v>6.6511206995804482E-3</v>
      </c>
    </row>
    <row r="10241" spans="1:4" ht="16.5" hidden="1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313">
        <f>参数调整!$K$40*怪物掉落配置方案!$D5111</f>
        <v>7.8058291543687229E-3</v>
      </c>
    </row>
    <row r="10242" spans="1:4" ht="16.5" hidden="1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313">
        <f>参数调整!$K$40*怪物掉落配置方案!$D5112</f>
        <v>9.0529142855400539E-3</v>
      </c>
    </row>
    <row r="10243" spans="1:4" ht="16.5" hidden="1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313">
        <f>参数调整!$K$40*怪物掉落配置方案!$D5113</f>
        <v>1.0392376093094452E-2</v>
      </c>
    </row>
    <row r="10244" spans="1:4" ht="16.5" hidden="1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313">
        <f>参数调整!$K$40*怪物掉落配置方案!$D5114</f>
        <v>1.1824214577031911E-2</v>
      </c>
    </row>
    <row r="10245" spans="1:4" ht="16.5" hidden="1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313">
        <f>参数调整!$K$40*怪物掉落配置方案!$D5115</f>
        <v>1.4965021574056011E-2</v>
      </c>
    </row>
    <row r="10246" spans="1:4" ht="16.5" hidden="1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313">
        <f>参数调整!$K$40*怪物掉落配置方案!$D5116</f>
        <v>1.8475335276612357E-2</v>
      </c>
    </row>
    <row r="10247" spans="1:4" ht="16.5" hidden="1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313">
        <f>参数调整!$K$40*怪物掉落配置方案!$D5117</f>
        <v>2.2355155684700957E-2</v>
      </c>
    </row>
    <row r="10248" spans="1:4" ht="16.5" hidden="1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313">
        <f>参数调整!$K$40*怪物掉落配置方案!$D5118</f>
        <v>2.8867711369706808E-2</v>
      </c>
    </row>
    <row r="10249" spans="1:4" ht="16.5" hidden="1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313">
        <f>参数调整!$K$40*怪物掉落配置方案!$D5119</f>
        <v>4.1569504372377802E-2</v>
      </c>
    </row>
    <row r="10250" spans="1:4" ht="16.5" hidden="1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313">
        <f>参数调整!$K$40*怪物掉落配置方案!$D5120</f>
        <v>5.6580714284625341E-2</v>
      </c>
    </row>
    <row r="10251" spans="1:4" ht="16.5" hidden="1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313">
        <f>参数调整!$K$40*怪物掉落配置方案!$D5121</f>
        <v>6.3231834984205801E-2</v>
      </c>
    </row>
    <row r="10252" spans="1:4" ht="16.5" hidden="1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313">
        <f>参数调整!$K$40*怪物掉落配置方案!$D5122</f>
        <v>7.3901341106449428E-2</v>
      </c>
    </row>
    <row r="10253" spans="1:4" ht="16.5" hidden="1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313">
        <f>参数调整!$K$40*怪物掉落配置方案!$D5123</f>
        <v>8.5402237316140606E-2</v>
      </c>
    </row>
    <row r="10254" spans="1:4" ht="16.5" hidden="1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313">
        <f>参数调整!$K$40*怪物掉落配置方案!$D5124</f>
        <v>9.7734523613279362E-2</v>
      </c>
    </row>
    <row r="10255" spans="1:4" ht="16.5" hidden="1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313">
        <f>参数调整!$K$40*怪物掉落配置方案!$D5125</f>
        <v>0.11089819999786571</v>
      </c>
    </row>
    <row r="10256" spans="1:4" ht="16.5" hidden="1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313">
        <f>参数调整!$K$40*怪物掉落配置方案!$D5126</f>
        <v>0.12489326646989955</v>
      </c>
    </row>
    <row r="10257" spans="1:4" ht="16.5" hidden="1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313">
        <f>参数调整!$K$40*怪物掉落配置方案!$D5127</f>
        <v>0.13971972302938096</v>
      </c>
    </row>
    <row r="10258" spans="1:4" ht="16.5" hidden="1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313">
        <f>参数调整!$K$40*怪物掉落配置方案!$D5128</f>
        <v>0.15537756967630992</v>
      </c>
    </row>
    <row r="10259" spans="1:4" ht="16.5" hidden="1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313">
        <f>参数调整!$K$40*怪物掉落配置方案!$D5129</f>
        <v>0.17186680641068641</v>
      </c>
    </row>
    <row r="10260" spans="1:4" ht="16.5" hidden="1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313">
        <f>参数调整!$K$40*怪物掉落配置方案!$D5130</f>
        <v>0.18918743323251055</v>
      </c>
    </row>
    <row r="10261" spans="1:4" ht="16.5" hidden="1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313">
        <f>参数调整!$K$40*怪物掉落配置方案!$D5131</f>
        <v>0.20733945014178221</v>
      </c>
    </row>
    <row r="10262" spans="1:4" ht="16.5" hidden="1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313">
        <f>参数调整!$K$40*怪物掉落配置方案!$D5132</f>
        <v>0.22632285713850142</v>
      </c>
    </row>
    <row r="10263" spans="1:4" ht="16.5" hidden="1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313">
        <f>参数调整!$K$41*怪物掉落配置方案!$D4107</f>
        <v>2.3754905838327912E-3</v>
      </c>
    </row>
    <row r="10264" spans="1:4" ht="16.5" hidden="1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313">
        <f>参数调整!$K$41*怪物掉落配置方案!$D4108</f>
        <v>3.0064802701633767E-3</v>
      </c>
    </row>
    <row r="10265" spans="1:4" ht="16.5" hidden="1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313">
        <f>参数调整!$K$41*怪物掉落配置方案!$D4109</f>
        <v>3.7117040372387361E-3</v>
      </c>
    </row>
    <row r="10266" spans="1:4" ht="16.5" hidden="1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313">
        <f>参数调整!$K$41*怪物掉落配置方案!$D4110</f>
        <v>4.4911618850588704E-3</v>
      </c>
    </row>
    <row r="10267" spans="1:4" ht="16.5" hidden="1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313">
        <f>参数调整!$K$41*怪物掉落配置方案!$D4111</f>
        <v>5.3448538136237778E-3</v>
      </c>
    </row>
    <row r="10268" spans="1:4" ht="16.5" hidden="1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313">
        <f>参数调整!$K$41*怪物掉落配置方案!$D4112</f>
        <v>6.2727798229334627E-3</v>
      </c>
    </row>
    <row r="10269" spans="1:4" ht="16.5" hidden="1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313">
        <f>参数调整!$K$41*怪物掉落配置方案!$D4113</f>
        <v>7.2749399129879207E-3</v>
      </c>
    </row>
    <row r="10270" spans="1:4" ht="16.5" hidden="1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313">
        <f>参数调整!$K$41*怪物掉落配置方案!$D4114</f>
        <v>8.3513340837871545E-3</v>
      </c>
    </row>
    <row r="10271" spans="1:4" ht="16.5" hidden="1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313">
        <f>参数调整!$K$41*怪物掉落配置方案!$D4115</f>
        <v>9.5019623353311648E-3</v>
      </c>
    </row>
    <row r="10272" spans="1:4" ht="16.5" hidden="1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313">
        <f>参数调整!$K$41*怪物掉落配置方案!$D4116</f>
        <v>1.2025921080653503E-2</v>
      </c>
    </row>
    <row r="10273" spans="1:4" ht="16.5" hidden="1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313">
        <f>参数调整!$K$41*怪物掉落配置方案!$D4117</f>
        <v>1.4846816148954941E-2</v>
      </c>
    </row>
    <row r="10274" spans="1:4" ht="16.5" hidden="1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313">
        <f>参数调整!$K$41*怪物掉落配置方案!$D4118</f>
        <v>1.7964647540235482E-2</v>
      </c>
    </row>
    <row r="10275" spans="1:4" ht="16.5" hidden="1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313">
        <f>参数调整!$K$41*怪物掉落配置方案!$D4119</f>
        <v>2.3198150232742094E-2</v>
      </c>
    </row>
    <row r="10276" spans="1:4" ht="16.5" hidden="1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313">
        <f>参数调整!$K$41*怪物掉落配置方案!$D4120</f>
        <v>3.3405336335148611E-2</v>
      </c>
    </row>
    <row r="10277" spans="1:4" ht="16.5" hidden="1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313">
        <f>参数调整!$K$41*怪物掉落配置方案!$D4121</f>
        <v>4.5468374456174507E-2</v>
      </c>
    </row>
    <row r="10278" spans="1:4" ht="16.5" hidden="1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313">
        <f>参数调整!$K$41*怪物掉落配置方案!$D4122</f>
        <v>5.0813228269798297E-2</v>
      </c>
    </row>
    <row r="10279" spans="1:4" ht="16.5" hidden="1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313">
        <f>参数调整!$K$41*怪物掉落配置方案!$D4123</f>
        <v>5.9387264595819764E-2</v>
      </c>
    </row>
    <row r="10280" spans="1:4" ht="16.5" hidden="1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313">
        <f>参数调整!$K$41*怪物掉落配置方案!$D4124</f>
        <v>6.8629407648544208E-2</v>
      </c>
    </row>
    <row r="10281" spans="1:4" ht="16.5" hidden="1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313">
        <f>参数调整!$K$41*怪物掉落配置方案!$D4125</f>
        <v>7.8539657427971629E-2</v>
      </c>
    </row>
    <row r="10282" spans="1:4" ht="16.5" hidden="1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313">
        <f>参数调整!$K$41*怪物掉落配置方案!$D4126</f>
        <v>8.9118013934102042E-2</v>
      </c>
    </row>
    <row r="10283" spans="1:4" ht="16.5" hidden="1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313">
        <f>参数调整!$K$41*怪物掉落配置方案!$D4127</f>
        <v>0.1003644771669354</v>
      </c>
    </row>
    <row r="10284" spans="1:4" ht="16.5" hidden="1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313">
        <f>参数调整!$K$41*怪物掉落配置方案!$D4128</f>
        <v>0.11227904712647174</v>
      </c>
    </row>
    <row r="10285" spans="1:4" ht="16.5" hidden="1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313">
        <f>参数调整!$K$41*怪物掉落配置方案!$D4129</f>
        <v>0.12486172381271105</v>
      </c>
    </row>
    <row r="10286" spans="1:4" ht="16.5" hidden="1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313">
        <f>参数调整!$K$41*怪物掉落配置方案!$D4130</f>
        <v>0.13811250722565332</v>
      </c>
    </row>
    <row r="10287" spans="1:4" ht="16.5" hidden="1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313">
        <f>参数调整!$K$41*怪物掉落配置方案!$D4131</f>
        <v>0.15203139736529864</v>
      </c>
    </row>
    <row r="10288" spans="1:4" ht="16.5" hidden="1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313">
        <f>参数调整!$K$41*怪物掉落配置方案!$D4132</f>
        <v>0.16661839423164684</v>
      </c>
    </row>
    <row r="10289" spans="1:4" ht="16.5" hidden="1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313">
        <f>参数调整!$K$41*怪物掉落配置方案!$D4133</f>
        <v>0.18187349782469805</v>
      </c>
    </row>
    <row r="10290" spans="1:4" ht="16.5" hidden="1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313">
        <f>参数调整!$K$41*怪物掉落配置方案!$D4134</f>
        <v>3.1131067535475052E-2</v>
      </c>
    </row>
    <row r="10291" spans="1:4" ht="16.5" hidden="1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313">
        <f>参数调整!$K$41*怪物掉落配置方案!$D4135</f>
        <v>3.9400257349585618E-2</v>
      </c>
    </row>
    <row r="10292" spans="1:4" ht="16.5" hidden="1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313">
        <f>参数调整!$K$41*怪物掉落配置方案!$D4136</f>
        <v>4.8642293024179759E-2</v>
      </c>
    </row>
    <row r="10293" spans="1:4" ht="16.5" hidden="1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313">
        <f>参数调整!$K$41*怪物掉落配置方案!$D4137</f>
        <v>5.885717455925752E-2</v>
      </c>
    </row>
    <row r="10294" spans="1:4" ht="16.5" hidden="1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313">
        <f>参数调整!$K$41*怪物掉落配置方案!$D4138</f>
        <v>7.0044901954818828E-2</v>
      </c>
    </row>
    <row r="10295" spans="1:4" ht="16.5" hidden="1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313">
        <f>参数调整!$K$41*怪物掉落配置方案!$D4139</f>
        <v>8.2205475210863813E-2</v>
      </c>
    </row>
    <row r="10296" spans="1:4" ht="16.5" hidden="1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313">
        <f>参数调整!$K$41*怪物掉落配置方案!$D4140</f>
        <v>9.5338894327392315E-2</v>
      </c>
    </row>
    <row r="10297" spans="1:4" ht="16.5" hidden="1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313">
        <f>参数调整!$K$41*怪物掉落配置方案!$D4141</f>
        <v>0.10944515930440445</v>
      </c>
    </row>
    <row r="10298" spans="1:4" ht="16.5" hidden="1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313">
        <f>参数调整!$K$41*怪物掉落配置方案!$D4142</f>
        <v>0.12452427014190021</v>
      </c>
    </row>
    <row r="10299" spans="1:4" ht="16.5" hidden="1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313">
        <f>参数调整!$K$41*怪物掉落配置方案!$D4143</f>
        <v>0.15760102939834245</v>
      </c>
    </row>
    <row r="10300" spans="1:4" ht="16.5" hidden="1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313">
        <f>参数调整!$K$41*怪物掉落配置方案!$D4144</f>
        <v>0.19456917209671901</v>
      </c>
    </row>
    <row r="10301" spans="1:4" ht="16.5" hidden="1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313">
        <f>参数调整!$K$41*怪物掉落配置方案!$D4145</f>
        <v>0.23542869823703008</v>
      </c>
    </row>
    <row r="10302" spans="1:4" ht="16.5" hidden="1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313">
        <f>参数调整!$K$41*怪物掉落配置方案!$D4146</f>
        <v>0.30401433140112349</v>
      </c>
    </row>
    <row r="10303" spans="1:4" ht="16.5" hidden="1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313">
        <f>参数调整!$K$41*怪物掉落配置方案!$D4147</f>
        <v>0.43778063721761779</v>
      </c>
    </row>
    <row r="10304" spans="1:4" ht="16.5" hidden="1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313">
        <f>参数调整!$K$41*怪物掉落配置方案!$D4148</f>
        <v>0.59586808954620196</v>
      </c>
    </row>
    <row r="10305" spans="1:4" ht="16.5" hidden="1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313">
        <f>参数调整!$K$41*怪物掉落配置方案!$D4149</f>
        <v>0.66591299150102101</v>
      </c>
    </row>
    <row r="10306" spans="1:4" ht="16.5" hidden="1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313">
        <f>参数调整!$K$41*怪物掉落配置方案!$D4150</f>
        <v>0.77827668838687603</v>
      </c>
    </row>
    <row r="10307" spans="1:4" ht="16.5" hidden="1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313">
        <f>参数调整!$K$41*怪物掉落配置方案!$D4151</f>
        <v>0.89939599801708359</v>
      </c>
    </row>
    <row r="10308" spans="1:4" ht="16.5" hidden="1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313">
        <f>参数调整!$K$41*怪物掉落配置方案!$D4152</f>
        <v>1.0292709203916437</v>
      </c>
    </row>
    <row r="10309" spans="1:4" ht="16.5" hidden="1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313">
        <f>参数调整!$K$41*怪物掉落配置方案!$D4153</f>
        <v>1.1679014555105562</v>
      </c>
    </row>
    <row r="10310" spans="1:4" ht="16.5" hidden="1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313">
        <f>参数调整!$K$41*怪物掉落配置方案!$D4154</f>
        <v>1.3152876033738206</v>
      </c>
    </row>
    <row r="10311" spans="1:4" ht="16.5" hidden="1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313">
        <f>参数调整!$K$41*怪物掉落配置方案!$D4155</f>
        <v>1.471429363981438</v>
      </c>
    </row>
    <row r="10312" spans="1:4" ht="16.5" hidden="1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313">
        <f>参数调整!$K$41*怪物掉落配置方案!$D4156</f>
        <v>1.6363267373334069</v>
      </c>
    </row>
    <row r="10313" spans="1:4" ht="16.5" hidden="1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313">
        <f>参数调整!$K$41*怪物掉落配置方案!$D4157</f>
        <v>1.8099797234297288</v>
      </c>
    </row>
    <row r="10314" spans="1:4" ht="16.5" hidden="1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313">
        <f>参数调整!$K$41*怪物掉落配置方案!$D4158</f>
        <v>1.9923883222704031</v>
      </c>
    </row>
    <row r="10315" spans="1:4" ht="16.5" hidden="1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313">
        <f>参数调整!$K$41*怪物掉落配置方案!$D4159</f>
        <v>2.1835525338554294</v>
      </c>
    </row>
    <row r="10316" spans="1:4" ht="16.5" hidden="1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313">
        <f>参数调整!$K$41*怪物掉落配置方案!$D4160</f>
        <v>2.3834723581848083</v>
      </c>
    </row>
    <row r="10317" spans="1:4" ht="16.5" hidden="1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313">
        <f>参数调整!$K$41*怪物掉落配置方案!$D4161</f>
        <v>402</v>
      </c>
    </row>
    <row r="10318" spans="1:4" ht="16.5" hidden="1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313">
        <f>参数调整!$K$41*怪物掉落配置方案!$D4162</f>
        <v>510</v>
      </c>
    </row>
    <row r="10319" spans="1:4" ht="16.5" hidden="1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313">
        <f>参数调整!$K$41*怪物掉落配置方案!$D4163</f>
        <v>630</v>
      </c>
    </row>
    <row r="10320" spans="1:4" ht="16.5" hidden="1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313">
        <f>参数调整!$K$41*怪物掉落配置方案!$D4164</f>
        <v>762</v>
      </c>
    </row>
    <row r="10321" spans="1:4" ht="16.5" hidden="1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313">
        <f>参数调整!$K$41*怪物掉落配置方案!$D4165</f>
        <v>906</v>
      </c>
    </row>
    <row r="10322" spans="1:4" ht="16.5" hidden="1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313">
        <f>参数调整!$K$41*怪物掉落配置方案!$D4166</f>
        <v>1062</v>
      </c>
    </row>
    <row r="10323" spans="1:4" ht="16.5" hidden="1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313">
        <f>参数调整!$K$41*怪物掉落配置方案!$D4167</f>
        <v>1236</v>
      </c>
    </row>
    <row r="10324" spans="1:4" ht="16.5" hidden="1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313">
        <f>参数调整!$K$41*怪物掉落配置方案!$D4168</f>
        <v>1416</v>
      </c>
    </row>
    <row r="10325" spans="1:4" ht="16.5" hidden="1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313">
        <f>参数调整!$K$41*怪物掉落配置方案!$D4169</f>
        <v>1608</v>
      </c>
    </row>
    <row r="10326" spans="1:4" ht="16.5" hidden="1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313">
        <f>参数调整!$K$41*怪物掉落配置方案!$D4170</f>
        <v>2040</v>
      </c>
    </row>
    <row r="10327" spans="1:4" ht="16.5" hidden="1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313">
        <f>参数调整!$K$41*怪物掉落配置方案!$D4171</f>
        <v>2514</v>
      </c>
    </row>
    <row r="10328" spans="1:4" ht="16.5" hidden="1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313">
        <f>参数调整!$K$41*怪物掉落配置方案!$D4172</f>
        <v>3048</v>
      </c>
    </row>
    <row r="10329" spans="1:4" ht="16.5" hidden="1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313">
        <f>参数调整!$K$41*怪物掉落配置方案!$D4173</f>
        <v>3930</v>
      </c>
    </row>
    <row r="10330" spans="1:4" ht="16.5" hidden="1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313">
        <f>参数调整!$K$41*怪物掉落配置方案!$D4174</f>
        <v>5664</v>
      </c>
    </row>
    <row r="10331" spans="1:4" ht="16.5" hidden="1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313">
        <f>参数调整!$K$41*怪物掉落配置方案!$D4175</f>
        <v>7710</v>
      </c>
    </row>
    <row r="10332" spans="1:4" ht="16.5" hidden="1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313">
        <f>参数调整!$K$41*怪物掉落配置方案!$D4176</f>
        <v>8616</v>
      </c>
    </row>
    <row r="10333" spans="1:4" ht="16.5" hidden="1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313">
        <f>参数调整!$K$41*怪物掉落配置方案!$D4177</f>
        <v>10068</v>
      </c>
    </row>
    <row r="10334" spans="1:4" ht="16.5" hidden="1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313">
        <f>参数调整!$K$41*怪物掉落配置方案!$D4178</f>
        <v>11634</v>
      </c>
    </row>
    <row r="10335" spans="1:4" ht="16.5" hidden="1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313">
        <f>参数调整!$K$41*怪物掉落配置方案!$D4179</f>
        <v>13314</v>
      </c>
    </row>
    <row r="10336" spans="1:4" ht="16.5" hidden="1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313">
        <f>参数调整!$K$41*怪物掉落配置方案!$D4180</f>
        <v>15108</v>
      </c>
    </row>
    <row r="10337" spans="1:4" ht="16.5" hidden="1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313">
        <f>参数调整!$K$41*怪物掉落配置方案!$D4181</f>
        <v>17016</v>
      </c>
    </row>
    <row r="10338" spans="1:4" ht="16.5" hidden="1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313">
        <f>参数调整!$K$41*怪物掉落配置方案!$D4182</f>
        <v>19032</v>
      </c>
    </row>
    <row r="10339" spans="1:4" ht="16.5" hidden="1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313">
        <f>参数调整!$K$41*怪物掉落配置方案!$D4183</f>
        <v>21168</v>
      </c>
    </row>
    <row r="10340" spans="1:4" ht="16.5" hidden="1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313">
        <f>参数调整!$K$41*怪物掉落配置方案!$D4184</f>
        <v>23412</v>
      </c>
    </row>
    <row r="10341" spans="1:4" ht="16.5" hidden="1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313">
        <f>参数调整!$K$41*怪物掉落配置方案!$D4185</f>
        <v>25770</v>
      </c>
    </row>
    <row r="10342" spans="1:4" ht="16.5" hidden="1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313">
        <f>参数调整!$K$41*怪物掉落配置方案!$D4186</f>
        <v>28242</v>
      </c>
    </row>
    <row r="10343" spans="1:4" ht="16.5" hidden="1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313">
        <f>参数调整!$K$41*怪物掉落配置方案!$D4187</f>
        <v>30828</v>
      </c>
    </row>
    <row r="10344" spans="1:4" ht="16.5" hidden="1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313">
        <f>参数调整!$K$41*怪物掉落配置方案!$D4188</f>
        <v>4.8738706015392179E-5</v>
      </c>
    </row>
    <row r="10345" spans="1:4" ht="16.5" hidden="1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313">
        <f>参数调整!$K$41*怪物掉落配置方案!$D4189</f>
        <v>6.1684924800730733E-5</v>
      </c>
    </row>
    <row r="10346" spans="1:4" ht="16.5" hidden="1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313">
        <f>参数调整!$K$41*怪物掉落配置方案!$D4190</f>
        <v>7.615422814905026E-5</v>
      </c>
    </row>
    <row r="10347" spans="1:4" ht="16.5" hidden="1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313">
        <f>参数调整!$K$41*怪物掉落配置方案!$D4191</f>
        <v>9.2146616060350827E-5</v>
      </c>
    </row>
    <row r="10348" spans="1:4" ht="16.5" hidden="1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313">
        <f>参数调整!$K$41*怪物掉落配置方案!$D4192</f>
        <v>1.0966208853463238E-4</v>
      </c>
    </row>
    <row r="10349" spans="1:4" ht="16.5" hidden="1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313">
        <f>参数调整!$K$41*怪物掉落配置方案!$D4193</f>
        <v>1.2870064557189494E-4</v>
      </c>
    </row>
    <row r="10350" spans="1:4" ht="16.5" hidden="1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313">
        <f>参数调整!$K$41*怪物掉落配置方案!$D4194</f>
        <v>1.4926228717213849E-4</v>
      </c>
    </row>
    <row r="10351" spans="1:4" ht="16.5" hidden="1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313">
        <f>参数调整!$K$41*怪物掉落配置方案!$D4195</f>
        <v>1.7134701333536309E-4</v>
      </c>
    </row>
    <row r="10352" spans="1:4" ht="16.5" hidden="1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313">
        <f>参数调整!$K$41*怪物掉落配置方案!$D4196</f>
        <v>1.9495482406156874E-4</v>
      </c>
    </row>
    <row r="10353" spans="1:4" ht="16.5" hidden="1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313">
        <f>参数调整!$K$41*怪物掉落配置方案!$D4197</f>
        <v>2.4673969920292283E-4</v>
      </c>
    </row>
    <row r="10354" spans="1:4" ht="16.5" hidden="1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313">
        <f>参数调整!$K$41*怪物掉落配置方案!$D4198</f>
        <v>3.0461691259620104E-4</v>
      </c>
    </row>
    <row r="10355" spans="1:4" ht="16.5" hidden="1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313">
        <f>参数调整!$K$41*怪物掉落配置方案!$D4199</f>
        <v>3.6858646424140331E-4</v>
      </c>
    </row>
    <row r="10356" spans="1:4" ht="16.5" hidden="1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313">
        <f>参数调整!$K$41*怪物掉落配置方案!$D4200</f>
        <v>4.7596392593156421E-4</v>
      </c>
    </row>
    <row r="10357" spans="1:4" ht="16.5" hidden="1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313">
        <f>参数调整!$K$41*怪物掉落配置方案!$D4201</f>
        <v>6.8538805334145223E-4</v>
      </c>
    </row>
    <row r="10358" spans="1:4" ht="16.5" hidden="1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313">
        <f>参数调整!$K$41*怪物掉落配置方案!$D4202</f>
        <v>9.3288929482586566E-4</v>
      </c>
    </row>
    <row r="10359" spans="1:4" ht="16.5" hidden="1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313">
        <f>参数调整!$K$41*怪物掉落配置方案!$D4203</f>
        <v>1.0425513833604984E-3</v>
      </c>
    </row>
    <row r="10360" spans="1:4" ht="16.5" hidden="1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313">
        <f>参数调整!$K$41*怪物掉落配置方案!$D4204</f>
        <v>1.2184676503848042E-3</v>
      </c>
    </row>
    <row r="10361" spans="1:4" ht="16.5" hidden="1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313">
        <f>参数调整!$K$41*怪物掉落配置方案!$D4205</f>
        <v>1.408091678475939E-3</v>
      </c>
    </row>
    <row r="10362" spans="1:4" ht="16.5" hidden="1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313">
        <f>参数调整!$K$41*怪物掉落配置方案!$D4206</f>
        <v>1.6114234676339037E-3</v>
      </c>
    </row>
    <row r="10363" spans="1:4" ht="16.5" hidden="1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313">
        <f>参数调整!$K$41*怪物掉落配置方案!$D4207</f>
        <v>1.8284630178586974E-3</v>
      </c>
    </row>
    <row r="10364" spans="1:4" ht="16.5" hidden="1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313">
        <f>参数调整!$K$41*怪物掉落配置方案!$D4208</f>
        <v>2.0592103291503191E-3</v>
      </c>
    </row>
    <row r="10365" spans="1:4" ht="16.5" hidden="1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313">
        <f>参数调整!$K$41*怪物掉落配置方案!$D4209</f>
        <v>2.3036654015087706E-3</v>
      </c>
    </row>
    <row r="10366" spans="1:4" ht="16.5" hidden="1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313">
        <f>参数调整!$K$41*怪物掉落配置方案!$D4210</f>
        <v>2.5618282349340504E-3</v>
      </c>
    </row>
    <row r="10367" spans="1:4" ht="16.5" hidden="1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313">
        <f>参数调整!$K$41*怪物掉落配置方案!$D4211</f>
        <v>2.8336988294261596E-3</v>
      </c>
    </row>
    <row r="10368" spans="1:4" ht="16.5" hidden="1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313">
        <f>参数调整!$K$41*怪物掉落配置方案!$D4212</f>
        <v>3.1192771849850994E-3</v>
      </c>
    </row>
    <row r="10369" spans="1:4" ht="16.5" hidden="1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313">
        <f>参数调整!$K$41*怪物掉落配置方案!$D4213</f>
        <v>3.418563301610866E-3</v>
      </c>
    </row>
    <row r="10370" spans="1:4" ht="16.5" hidden="1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313">
        <f>参数调整!$K$41*怪物掉落配置方案!$D4214</f>
        <v>3.7315571793034635E-3</v>
      </c>
    </row>
    <row r="10371" spans="1:4" ht="16.5" hidden="1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313">
        <f>参数调整!$K$41*怪物掉落配置方案!$D4215</f>
        <v>0</v>
      </c>
    </row>
    <row r="10372" spans="1:4" ht="16.5" hidden="1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313">
        <f>参数调整!$K$41*怪物掉落配置方案!$D4216</f>
        <v>0</v>
      </c>
    </row>
    <row r="10373" spans="1:4" ht="16.5" hidden="1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313">
        <f>参数调整!$K$41*怪物掉落配置方案!$D4217</f>
        <v>0</v>
      </c>
    </row>
    <row r="10374" spans="1:4" ht="16.5" hidden="1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313">
        <f>参数调整!$K$41*怪物掉落配置方案!$D4218</f>
        <v>0</v>
      </c>
    </row>
    <row r="10375" spans="1:4" ht="16.5" hidden="1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313">
        <f>参数调整!$K$41*怪物掉落配置方案!$D4219</f>
        <v>0</v>
      </c>
    </row>
    <row r="10376" spans="1:4" ht="16.5" hidden="1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313">
        <f>参数调整!$K$41*怪物掉落配置方案!$D4220</f>
        <v>0</v>
      </c>
    </row>
    <row r="10377" spans="1:4" ht="16.5" hidden="1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313">
        <f>参数调整!$K$41*怪物掉落配置方案!$D4221</f>
        <v>0</v>
      </c>
    </row>
    <row r="10378" spans="1:4" ht="16.5" hidden="1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313">
        <f>参数调整!$K$41*怪物掉落配置方案!$D4222</f>
        <v>0</v>
      </c>
    </row>
    <row r="10379" spans="1:4" ht="16.5" hidden="1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313">
        <f>参数调整!$K$41*怪物掉落配置方案!$D4223</f>
        <v>0</v>
      </c>
    </row>
    <row r="10380" spans="1:4" ht="16.5" hidden="1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313">
        <f>参数调整!$K$41*怪物掉落配置方案!$D4224</f>
        <v>0</v>
      </c>
    </row>
    <row r="10381" spans="1:4" ht="16.5" hidden="1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313">
        <f>参数调整!$K$41*怪物掉落配置方案!$D4225</f>
        <v>0</v>
      </c>
    </row>
    <row r="10382" spans="1:4" ht="16.5" hidden="1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313">
        <f>参数调整!$K$41*怪物掉落配置方案!$D4226</f>
        <v>0</v>
      </c>
    </row>
    <row r="10383" spans="1:4" ht="16.5" hidden="1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313">
        <f>参数调整!$K$41*怪物掉落配置方案!$D4227</f>
        <v>0</v>
      </c>
    </row>
    <row r="10384" spans="1:4" ht="16.5" hidden="1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313">
        <f>参数调整!$K$41*怪物掉落配置方案!$D4228</f>
        <v>0</v>
      </c>
    </row>
    <row r="10385" spans="1:4" ht="16.5" hidden="1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313">
        <f>参数调整!$K$41*怪物掉落配置方案!$D4229</f>
        <v>0</v>
      </c>
    </row>
    <row r="10386" spans="1:4" ht="16.5" hidden="1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313">
        <f>参数调整!$K$41*怪物掉落配置方案!$D4230</f>
        <v>0</v>
      </c>
    </row>
    <row r="10387" spans="1:4" ht="16.5" hidden="1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313">
        <f>参数调整!$K$41*怪物掉落配置方案!$D4231</f>
        <v>0</v>
      </c>
    </row>
    <row r="10388" spans="1:4" ht="16.5" hidden="1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313">
        <f>参数调整!$K$41*怪物掉落配置方案!$D4232</f>
        <v>0</v>
      </c>
    </row>
    <row r="10389" spans="1:4" ht="16.5" hidden="1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313">
        <f>参数调整!$K$41*怪物掉落配置方案!$D4233</f>
        <v>0</v>
      </c>
    </row>
    <row r="10390" spans="1:4" ht="16.5" hidden="1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313">
        <f>参数调整!$K$41*怪物掉落配置方案!$D4234</f>
        <v>0</v>
      </c>
    </row>
    <row r="10391" spans="1:4" ht="16.5" hidden="1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313">
        <f>参数调整!$K$41*怪物掉落配置方案!$D4235</f>
        <v>0</v>
      </c>
    </row>
    <row r="10392" spans="1:4" ht="16.5" hidden="1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313">
        <f>参数调整!$K$41*怪物掉落配置方案!$D4236</f>
        <v>0</v>
      </c>
    </row>
    <row r="10393" spans="1:4" ht="16.5" hidden="1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313">
        <f>参数调整!$K$41*怪物掉落配置方案!$D4237</f>
        <v>0</v>
      </c>
    </row>
    <row r="10394" spans="1:4" ht="16.5" hidden="1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313">
        <f>参数调整!$K$41*怪物掉落配置方案!$D4238</f>
        <v>0</v>
      </c>
    </row>
    <row r="10395" spans="1:4" ht="16.5" hidden="1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313">
        <f>参数调整!$K$41*怪物掉落配置方案!$D4239</f>
        <v>0</v>
      </c>
    </row>
    <row r="10396" spans="1:4" ht="16.5" hidden="1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313">
        <f>参数调整!$K$41*怪物掉落配置方案!$D4240</f>
        <v>0</v>
      </c>
    </row>
    <row r="10397" spans="1:4" ht="16.5" hidden="1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313">
        <f>参数调整!$K$41*怪物掉落配置方案!$D4241</f>
        <v>0</v>
      </c>
    </row>
    <row r="10398" spans="1:4" ht="16.5" hidden="1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313">
        <f>参数调整!$K$41*怪物掉落配置方案!$D4242</f>
        <v>0</v>
      </c>
    </row>
    <row r="10399" spans="1:4" ht="16.5" hidden="1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313">
        <f>参数调整!$K$41*怪物掉落配置方案!$D4243</f>
        <v>0</v>
      </c>
    </row>
    <row r="10400" spans="1:4" ht="16.5" hidden="1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313">
        <f>参数调整!$K$41*怪物掉落配置方案!$D4244</f>
        <v>0</v>
      </c>
    </row>
    <row r="10401" spans="1:4" ht="16.5" hidden="1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313">
        <f>参数调整!$K$41*怪物掉落配置方案!$D4245</f>
        <v>0</v>
      </c>
    </row>
    <row r="10402" spans="1:4" ht="16.5" hidden="1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313">
        <f>参数调整!$K$41*怪物掉落配置方案!$D4246</f>
        <v>0</v>
      </c>
    </row>
    <row r="10403" spans="1:4" ht="16.5" hidden="1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313">
        <f>参数调整!$K$41*怪物掉落配置方案!$D4247</f>
        <v>0</v>
      </c>
    </row>
    <row r="10404" spans="1:4" ht="16.5" hidden="1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313">
        <f>参数调整!$K$41*怪物掉落配置方案!$D4248</f>
        <v>0</v>
      </c>
    </row>
    <row r="10405" spans="1:4" ht="16.5" hidden="1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313">
        <f>参数调整!$K$41*怪物掉落配置方案!$D4249</f>
        <v>0</v>
      </c>
    </row>
    <row r="10406" spans="1:4" ht="16.5" hidden="1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313">
        <f>参数调整!$K$41*怪物掉落配置方案!$D4250</f>
        <v>0</v>
      </c>
    </row>
    <row r="10407" spans="1:4" ht="16.5" hidden="1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313">
        <f>参数调整!$K$41*怪物掉落配置方案!$D4251</f>
        <v>0</v>
      </c>
    </row>
    <row r="10408" spans="1:4" ht="16.5" hidden="1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313">
        <f>参数调整!$K$41*怪物掉落配置方案!$D4252</f>
        <v>0</v>
      </c>
    </row>
    <row r="10409" spans="1:4" ht="16.5" hidden="1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313">
        <f>参数调整!$K$41*怪物掉落配置方案!$D4253</f>
        <v>0</v>
      </c>
    </row>
    <row r="10410" spans="1:4" ht="16.5" hidden="1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313">
        <f>参数调整!$K$41*怪物掉落配置方案!$D4254</f>
        <v>0</v>
      </c>
    </row>
    <row r="10411" spans="1:4" ht="16.5" hidden="1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313">
        <f>参数调整!$K$41*怪物掉落配置方案!$D4255</f>
        <v>0</v>
      </c>
    </row>
    <row r="10412" spans="1:4" ht="16.5" hidden="1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313">
        <f>参数调整!$K$41*怪物掉落配置方案!$D4256</f>
        <v>0</v>
      </c>
    </row>
    <row r="10413" spans="1:4" ht="16.5" hidden="1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313">
        <f>参数调整!$K$41*怪物掉落配置方案!$D4257</f>
        <v>0</v>
      </c>
    </row>
    <row r="10414" spans="1:4" ht="16.5" hidden="1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313">
        <f>参数调整!$K$41*怪物掉落配置方案!$D4258</f>
        <v>0</v>
      </c>
    </row>
    <row r="10415" spans="1:4" ht="16.5" hidden="1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313">
        <f>参数调整!$K$41*怪物掉落配置方案!$D4259</f>
        <v>0</v>
      </c>
    </row>
    <row r="10416" spans="1:4" ht="16.5" hidden="1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313">
        <f>参数调整!$K$41*怪物掉落配置方案!$D4260</f>
        <v>0</v>
      </c>
    </row>
    <row r="10417" spans="1:4" ht="16.5" hidden="1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313">
        <f>参数调整!$K$41*怪物掉落配置方案!$D4261</f>
        <v>0</v>
      </c>
    </row>
    <row r="10418" spans="1:4" ht="16.5" hidden="1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313">
        <f>参数调整!$K$41*怪物掉落配置方案!$D4262</f>
        <v>0</v>
      </c>
    </row>
    <row r="10419" spans="1:4" ht="16.5" hidden="1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313">
        <f>参数调整!$K$41*怪物掉落配置方案!$D4263</f>
        <v>0</v>
      </c>
    </row>
    <row r="10420" spans="1:4" ht="16.5" hidden="1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313">
        <f>参数调整!$K$41*怪物掉落配置方案!$D4264</f>
        <v>0</v>
      </c>
    </row>
    <row r="10421" spans="1:4" ht="16.5" hidden="1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313">
        <f>参数调整!$K$41*怪物掉落配置方案!$D4265</f>
        <v>0</v>
      </c>
    </row>
    <row r="10422" spans="1:4" ht="16.5" hidden="1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313">
        <f>参数调整!$K$41*怪物掉落配置方案!$D4266</f>
        <v>0</v>
      </c>
    </row>
    <row r="10423" spans="1:4" ht="16.5" hidden="1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313">
        <f>参数调整!$K$41*怪物掉落配置方案!$D4267</f>
        <v>0</v>
      </c>
    </row>
    <row r="10424" spans="1:4" ht="16.5" hidden="1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313">
        <f>参数调整!$K$41*怪物掉落配置方案!$D4268</f>
        <v>0</v>
      </c>
    </row>
    <row r="10425" spans="1:4" ht="16.5" hidden="1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313">
        <f>参数调整!$K$41*怪物掉落配置方案!$D4269</f>
        <v>0</v>
      </c>
    </row>
    <row r="10426" spans="1:4" ht="16.5" hidden="1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313">
        <f>参数调整!$K$41*怪物掉落配置方案!$D4270</f>
        <v>0</v>
      </c>
    </row>
    <row r="10427" spans="1:4" ht="16.5" hidden="1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313">
        <f>参数调整!$K$41*怪物掉落配置方案!$D4271</f>
        <v>0</v>
      </c>
    </row>
    <row r="10428" spans="1:4" ht="16.5" hidden="1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313">
        <f>参数调整!$K$41*怪物掉落配置方案!$D4272</f>
        <v>0</v>
      </c>
    </row>
    <row r="10429" spans="1:4" ht="16.5" hidden="1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313">
        <f>参数调整!$K$41*怪物掉落配置方案!$D4273</f>
        <v>0</v>
      </c>
    </row>
    <row r="10430" spans="1:4" ht="16.5" hidden="1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313">
        <f>参数调整!$K$41*怪物掉落配置方案!$D4274</f>
        <v>0</v>
      </c>
    </row>
    <row r="10431" spans="1:4" ht="16.5" hidden="1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313">
        <f>参数调整!$K$41*怪物掉落配置方案!$D4275</f>
        <v>0</v>
      </c>
    </row>
    <row r="10432" spans="1:4" ht="16.5" hidden="1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313">
        <f>参数调整!$K$41*怪物掉落配置方案!$D4276</f>
        <v>0</v>
      </c>
    </row>
    <row r="10433" spans="1:4" ht="16.5" hidden="1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313">
        <f>参数调整!$K$41*怪物掉落配置方案!$D4277</f>
        <v>0</v>
      </c>
    </row>
    <row r="10434" spans="1:4" ht="16.5" hidden="1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313">
        <f>参数调整!$K$41*怪物掉落配置方案!$D4278</f>
        <v>0</v>
      </c>
    </row>
    <row r="10435" spans="1:4" ht="16.5" hidden="1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313">
        <f>参数调整!$K$41*怪物掉落配置方案!$D4279</f>
        <v>0</v>
      </c>
    </row>
    <row r="10436" spans="1:4" ht="16.5" hidden="1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313">
        <f>参数调整!$K$41*怪物掉落配置方案!$D4280</f>
        <v>0</v>
      </c>
    </row>
    <row r="10437" spans="1:4" ht="16.5" hidden="1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313">
        <f>参数调整!$K$41*怪物掉落配置方案!$D4281</f>
        <v>0</v>
      </c>
    </row>
    <row r="10438" spans="1:4" ht="16.5" hidden="1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313">
        <f>参数调整!$K$41*怪物掉落配置方案!$D4282</f>
        <v>0</v>
      </c>
    </row>
    <row r="10439" spans="1:4" ht="16.5" hidden="1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313">
        <f>参数调整!$K$41*怪物掉落配置方案!$D4283</f>
        <v>0</v>
      </c>
    </row>
    <row r="10440" spans="1:4" ht="16.5" hidden="1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313">
        <f>参数调整!$K$41*怪物掉落配置方案!$D4284</f>
        <v>0</v>
      </c>
    </row>
    <row r="10441" spans="1:4" ht="16.5" hidden="1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313">
        <f>参数调整!$K$41*怪物掉落配置方案!$D4285</f>
        <v>0</v>
      </c>
    </row>
    <row r="10442" spans="1:4" ht="16.5" hidden="1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313">
        <f>参数调整!$K$41*怪物掉落配置方案!$D4286</f>
        <v>0</v>
      </c>
    </row>
    <row r="10443" spans="1:4" ht="16.5" hidden="1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313">
        <f>参数调整!$K$41*怪物掉落配置方案!$D4287</f>
        <v>0</v>
      </c>
    </row>
    <row r="10444" spans="1:4" ht="16.5" hidden="1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313">
        <f>参数调整!$K$41*怪物掉落配置方案!$D4288</f>
        <v>0</v>
      </c>
    </row>
    <row r="10445" spans="1:4" ht="16.5" hidden="1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313">
        <f>参数调整!$K$41*怪物掉落配置方案!$D4289</f>
        <v>0</v>
      </c>
    </row>
    <row r="10446" spans="1:4" ht="16.5" hidden="1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313">
        <f>参数调整!$K$41*怪物掉落配置方案!$D4290</f>
        <v>0</v>
      </c>
    </row>
    <row r="10447" spans="1:4" ht="16.5" hidden="1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313">
        <f>参数调整!$K$41*怪物掉落配置方案!$D4291</f>
        <v>0</v>
      </c>
    </row>
    <row r="10448" spans="1:4" ht="16.5" hidden="1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313">
        <f>参数调整!$K$41*怪物掉落配置方案!$D4292</f>
        <v>0</v>
      </c>
    </row>
    <row r="10449" spans="1:4" ht="16.5" hidden="1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313">
        <f>参数调整!$K$41*怪物掉落配置方案!$D4293</f>
        <v>0</v>
      </c>
    </row>
    <row r="10450" spans="1:4" ht="16.5" hidden="1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313">
        <f>参数调整!$K$41*怪物掉落配置方案!$D4294</f>
        <v>0</v>
      </c>
    </row>
    <row r="10451" spans="1:4" ht="16.5" hidden="1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313">
        <f>参数调整!$K$41*怪物掉落配置方案!$D4295</f>
        <v>0</v>
      </c>
    </row>
    <row r="10452" spans="1:4" ht="16.5" hidden="1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313">
        <f>参数调整!$K$41*怪物掉落配置方案!$D4296</f>
        <v>0</v>
      </c>
    </row>
    <row r="10453" spans="1:4" ht="16.5" hidden="1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313">
        <f>参数调整!$K$41*怪物掉落配置方案!$D4297</f>
        <v>0</v>
      </c>
    </row>
    <row r="10454" spans="1:4" ht="16.5" hidden="1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313">
        <f>参数调整!$K$41*怪物掉落配置方案!$D4298</f>
        <v>0</v>
      </c>
    </row>
    <row r="10455" spans="1:4" ht="16.5" hidden="1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313">
        <f>参数调整!$K$41*怪物掉落配置方案!$D4299</f>
        <v>0</v>
      </c>
    </row>
    <row r="10456" spans="1:4" ht="16.5" hidden="1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313">
        <f>参数调整!$K$41*怪物掉落配置方案!$D4300</f>
        <v>0</v>
      </c>
    </row>
    <row r="10457" spans="1:4" ht="16.5" hidden="1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313">
        <f>参数调整!$K$41*怪物掉落配置方案!$D4301</f>
        <v>0</v>
      </c>
    </row>
    <row r="10458" spans="1:4" ht="16.5" hidden="1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313">
        <f>参数调整!$K$41*怪物掉落配置方案!$D4302</f>
        <v>0</v>
      </c>
    </row>
    <row r="10459" spans="1:4" ht="16.5" hidden="1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313">
        <f>参数调整!$K$41*怪物掉落配置方案!$D4303</f>
        <v>0</v>
      </c>
    </row>
    <row r="10460" spans="1:4" ht="16.5" hidden="1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313">
        <f>参数调整!$K$41*怪物掉落配置方案!$D4304</f>
        <v>0</v>
      </c>
    </row>
    <row r="10461" spans="1:4" ht="16.5" hidden="1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313">
        <f>参数调整!$K$41*怪物掉落配置方案!$D4305</f>
        <v>0</v>
      </c>
    </row>
    <row r="10462" spans="1:4" ht="16.5" hidden="1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313">
        <f>参数调整!$K$41*怪物掉落配置方案!$D4306</f>
        <v>0</v>
      </c>
    </row>
    <row r="10463" spans="1:4" ht="16.5" hidden="1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313">
        <f>参数调整!$K$41*怪物掉落配置方案!$D4307</f>
        <v>0</v>
      </c>
    </row>
    <row r="10464" spans="1:4" ht="16.5" hidden="1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313">
        <f>参数调整!$K$41*怪物掉落配置方案!$D4308</f>
        <v>0</v>
      </c>
    </row>
    <row r="10465" spans="1:4" ht="16.5" hidden="1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313">
        <f>参数调整!$K$41*怪物掉落配置方案!$D4309</f>
        <v>0</v>
      </c>
    </row>
    <row r="10466" spans="1:4" ht="16.5" hidden="1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313">
        <f>参数调整!$K$41*怪物掉落配置方案!$D4310</f>
        <v>0</v>
      </c>
    </row>
    <row r="10467" spans="1:4" ht="16.5" hidden="1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313">
        <f>参数调整!$K$41*怪物掉落配置方案!$D4311</f>
        <v>0</v>
      </c>
    </row>
    <row r="10468" spans="1:4" ht="16.5" hidden="1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313">
        <f>参数调整!$K$41*怪物掉落配置方案!$D4312</f>
        <v>0</v>
      </c>
    </row>
    <row r="10469" spans="1:4" ht="16.5" hidden="1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313">
        <f>参数调整!$K$41*怪物掉落配置方案!$D4313</f>
        <v>0</v>
      </c>
    </row>
    <row r="10470" spans="1:4" ht="16.5" hidden="1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313">
        <f>参数调整!$K$41*怪物掉落配置方案!$D4314</f>
        <v>0</v>
      </c>
    </row>
    <row r="10471" spans="1:4" ht="16.5" hidden="1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313">
        <f>参数调整!$K$41*怪物掉落配置方案!$D4315</f>
        <v>0</v>
      </c>
    </row>
    <row r="10472" spans="1:4" ht="16.5" hidden="1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313">
        <f>参数调整!$K$41*怪物掉落配置方案!$D4316</f>
        <v>0</v>
      </c>
    </row>
    <row r="10473" spans="1:4" ht="16.5" hidden="1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313">
        <f>参数调整!$K$41*怪物掉落配置方案!$D4317</f>
        <v>0</v>
      </c>
    </row>
    <row r="10474" spans="1:4" ht="16.5" hidden="1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313">
        <f>参数调整!$K$41*怪物掉落配置方案!$D4318</f>
        <v>0</v>
      </c>
    </row>
    <row r="10475" spans="1:4" ht="16.5" hidden="1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313">
        <f>参数调整!$K$41*怪物掉落配置方案!$D4319</f>
        <v>0</v>
      </c>
    </row>
    <row r="10476" spans="1:4" ht="16.5" hidden="1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313">
        <f>参数调整!$K$41*怪物掉落配置方案!$D4320</f>
        <v>0</v>
      </c>
    </row>
    <row r="10477" spans="1:4" ht="16.5" hidden="1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313">
        <f>参数调整!$K$41*怪物掉落配置方案!$D4321</f>
        <v>0</v>
      </c>
    </row>
    <row r="10478" spans="1:4" ht="16.5" hidden="1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313">
        <f>参数调整!$K$41*怪物掉落配置方案!$D4322</f>
        <v>0</v>
      </c>
    </row>
    <row r="10479" spans="1:4" ht="16.5" hidden="1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313">
        <f>参数调整!$K$41*怪物掉落配置方案!$D4323</f>
        <v>0</v>
      </c>
    </row>
    <row r="10480" spans="1:4" ht="16.5" hidden="1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313">
        <f>参数调整!$K$41*怪物掉落配置方案!$D4324</f>
        <v>0</v>
      </c>
    </row>
    <row r="10481" spans="1:4" ht="16.5" hidden="1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313">
        <f>参数调整!$K$41*怪物掉落配置方案!$D4325</f>
        <v>0</v>
      </c>
    </row>
    <row r="10482" spans="1:4" ht="16.5" hidden="1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313">
        <f>参数调整!$K$41*怪物掉落配置方案!$D4326</f>
        <v>0</v>
      </c>
    </row>
    <row r="10483" spans="1:4" ht="16.5" hidden="1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313">
        <f>参数调整!$K$41*怪物掉落配置方案!$D4327</f>
        <v>0</v>
      </c>
    </row>
    <row r="10484" spans="1:4" ht="16.5" hidden="1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313">
        <f>参数调整!$K$41*怪物掉落配置方案!$D4328</f>
        <v>0</v>
      </c>
    </row>
    <row r="10485" spans="1:4" ht="16.5" hidden="1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313">
        <f>参数调整!$K$41*怪物掉落配置方案!$D4329</f>
        <v>0</v>
      </c>
    </row>
    <row r="10486" spans="1:4" ht="16.5" hidden="1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313">
        <f>参数调整!$K$41*怪物掉落配置方案!$D4330</f>
        <v>0</v>
      </c>
    </row>
    <row r="10487" spans="1:4" ht="16.5" hidden="1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313">
        <f>参数调整!$K$41*怪物掉落配置方案!$D4331</f>
        <v>0</v>
      </c>
    </row>
    <row r="10488" spans="1:4" ht="16.5" hidden="1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313">
        <f>参数调整!$K$41*怪物掉落配置方案!$D4332</f>
        <v>0</v>
      </c>
    </row>
    <row r="10489" spans="1:4" ht="16.5" hidden="1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313">
        <f>参数调整!$K$41*怪物掉落配置方案!$D4333</f>
        <v>0</v>
      </c>
    </row>
    <row r="10490" spans="1:4" ht="16.5" hidden="1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313">
        <f>参数调整!$K$41*怪物掉落配置方案!$D4334</f>
        <v>0</v>
      </c>
    </row>
    <row r="10491" spans="1:4" ht="16.5" hidden="1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313">
        <f>参数调整!$K$41*怪物掉落配置方案!$D4335</f>
        <v>0</v>
      </c>
    </row>
    <row r="10492" spans="1:4" ht="16.5" hidden="1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313">
        <f>参数调整!$K$41*怪物掉落配置方案!$D4336</f>
        <v>0</v>
      </c>
    </row>
    <row r="10493" spans="1:4" ht="16.5" hidden="1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313">
        <f>参数调整!$K$41*怪物掉落配置方案!$D4337</f>
        <v>0</v>
      </c>
    </row>
    <row r="10494" spans="1:4" ht="16.5" hidden="1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313">
        <f>参数调整!$K$41*怪物掉落配置方案!$D4338</f>
        <v>0</v>
      </c>
    </row>
    <row r="10495" spans="1:4" ht="16.5" hidden="1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313">
        <f>参数调整!$K$41*怪物掉落配置方案!$D4339</f>
        <v>0</v>
      </c>
    </row>
    <row r="10496" spans="1:4" ht="16.5" hidden="1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313">
        <f>参数调整!$K$41*怪物掉落配置方案!$D4340</f>
        <v>0</v>
      </c>
    </row>
    <row r="10497" spans="1:4" ht="16.5" hidden="1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313">
        <f>参数调整!$K$41*怪物掉落配置方案!$D4341</f>
        <v>0</v>
      </c>
    </row>
    <row r="10498" spans="1:4" ht="16.5" hidden="1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313">
        <f>参数调整!$K$41*怪物掉落配置方案!$D4342</f>
        <v>0</v>
      </c>
    </row>
    <row r="10499" spans="1:4" ht="16.5" hidden="1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313">
        <f>参数调整!$K$41*怪物掉落配置方案!$D4343</f>
        <v>0</v>
      </c>
    </row>
    <row r="10500" spans="1:4" ht="16.5" hidden="1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313">
        <f>参数调整!$K$41*怪物掉落配置方案!$D4344</f>
        <v>0</v>
      </c>
    </row>
    <row r="10501" spans="1:4" ht="16.5" hidden="1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313">
        <f>参数调整!$K$41*怪物掉落配置方案!$D4345</f>
        <v>0</v>
      </c>
    </row>
    <row r="10502" spans="1:4" ht="16.5" hidden="1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313">
        <f>参数调整!$K$41*怪物掉落配置方案!$D4346</f>
        <v>0</v>
      </c>
    </row>
    <row r="10503" spans="1:4" ht="16.5" hidden="1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313">
        <f>参数调整!$K$41*怪物掉落配置方案!$D4347</f>
        <v>0</v>
      </c>
    </row>
    <row r="10504" spans="1:4" ht="16.5" hidden="1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313">
        <f>参数调整!$K$41*怪物掉落配置方案!$D4348</f>
        <v>0</v>
      </c>
    </row>
    <row r="10505" spans="1:4" ht="16.5" hidden="1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313">
        <f>参数调整!$K$41*怪物掉落配置方案!$D4349</f>
        <v>0</v>
      </c>
    </row>
    <row r="10506" spans="1:4" ht="16.5" hidden="1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313">
        <f>参数调整!$K$41*怪物掉落配置方案!$D4350</f>
        <v>0</v>
      </c>
    </row>
    <row r="10507" spans="1:4" ht="16.5" hidden="1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313">
        <f>参数调整!$K$41*怪物掉落配置方案!$D4351</f>
        <v>0</v>
      </c>
    </row>
    <row r="10508" spans="1:4" ht="16.5" hidden="1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313">
        <f>参数调整!$K$41*怪物掉落配置方案!$D4352</f>
        <v>0</v>
      </c>
    </row>
    <row r="10509" spans="1:4" ht="16.5" hidden="1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313">
        <f>参数调整!$K$41*怪物掉落配置方案!$D4353</f>
        <v>0</v>
      </c>
    </row>
    <row r="10510" spans="1:4" ht="16.5" hidden="1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313">
        <f>参数调整!$K$41*怪物掉落配置方案!$D4354</f>
        <v>0</v>
      </c>
    </row>
    <row r="10511" spans="1:4" ht="16.5" hidden="1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313">
        <f>参数调整!$K$41*怪物掉落配置方案!$D4355</f>
        <v>0</v>
      </c>
    </row>
    <row r="10512" spans="1:4" ht="16.5" hidden="1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313">
        <f>参数调整!$K$41*怪物掉落配置方案!$D4356</f>
        <v>0</v>
      </c>
    </row>
    <row r="10513" spans="1:4" ht="16.5" hidden="1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313">
        <f>参数调整!$K$41*怪物掉落配置方案!$D4357</f>
        <v>0</v>
      </c>
    </row>
    <row r="10514" spans="1:4" ht="16.5" hidden="1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313">
        <f>参数调整!$K$41*怪物掉落配置方案!$D4358</f>
        <v>0</v>
      </c>
    </row>
    <row r="10515" spans="1:4" ht="16.5" hidden="1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313">
        <f>参数调整!$K$41*怪物掉落配置方案!$D4359</f>
        <v>0</v>
      </c>
    </row>
    <row r="10516" spans="1:4" ht="16.5" hidden="1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313">
        <f>参数调整!$K$41*怪物掉落配置方案!$D4360</f>
        <v>0</v>
      </c>
    </row>
    <row r="10517" spans="1:4" ht="16.5" hidden="1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313">
        <f>参数调整!$K$41*怪物掉落配置方案!$D4361</f>
        <v>0</v>
      </c>
    </row>
    <row r="10518" spans="1:4" ht="16.5" hidden="1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313">
        <f>参数调整!$K$41*怪物掉落配置方案!$D4362</f>
        <v>0</v>
      </c>
    </row>
    <row r="10519" spans="1:4" ht="16.5" hidden="1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313">
        <f>参数调整!$K$41*怪物掉落配置方案!$D4363</f>
        <v>0</v>
      </c>
    </row>
    <row r="10520" spans="1:4" ht="16.5" hidden="1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313">
        <f>参数调整!$K$41*怪物掉落配置方案!$D4364</f>
        <v>0</v>
      </c>
    </row>
    <row r="10521" spans="1:4" ht="16.5" hidden="1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313">
        <f>参数调整!$K$41*怪物掉落配置方案!$D4365</f>
        <v>0</v>
      </c>
    </row>
    <row r="10522" spans="1:4" ht="16.5" hidden="1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313">
        <f>参数调整!$K$41*怪物掉落配置方案!$D4366</f>
        <v>0</v>
      </c>
    </row>
    <row r="10523" spans="1:4" ht="16.5" hidden="1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313">
        <f>参数调整!$K$41*怪物掉落配置方案!$D4367</f>
        <v>0</v>
      </c>
    </row>
    <row r="10524" spans="1:4" ht="16.5" hidden="1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313">
        <f>参数调整!$K$41*怪物掉落配置方案!$D4368</f>
        <v>0</v>
      </c>
    </row>
    <row r="10525" spans="1:4" ht="16.5" hidden="1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313">
        <f>参数调整!$K$41*怪物掉落配置方案!$D4369</f>
        <v>0</v>
      </c>
    </row>
    <row r="10526" spans="1:4" ht="16.5" hidden="1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313">
        <f>参数调整!$K$41*怪物掉落配置方案!$D4370</f>
        <v>0</v>
      </c>
    </row>
    <row r="10527" spans="1:4" ht="16.5" hidden="1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313">
        <f>参数调整!$K$41*怪物掉落配置方案!$D4371</f>
        <v>0</v>
      </c>
    </row>
    <row r="10528" spans="1:4" ht="16.5" hidden="1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313">
        <f>参数调整!$K$41*怪物掉落配置方案!$D4372</f>
        <v>0</v>
      </c>
    </row>
    <row r="10529" spans="1:4" ht="16.5" hidden="1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313">
        <f>参数调整!$K$41*怪物掉落配置方案!$D4373</f>
        <v>0</v>
      </c>
    </row>
    <row r="10530" spans="1:4" ht="16.5" hidden="1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313">
        <f>参数调整!$K$41*怪物掉落配置方案!$D4374</f>
        <v>0</v>
      </c>
    </row>
    <row r="10531" spans="1:4" ht="16.5" hidden="1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313">
        <f>参数调整!$K$41*怪物掉落配置方案!$D4375</f>
        <v>0</v>
      </c>
    </row>
    <row r="10532" spans="1:4" ht="16.5" hidden="1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313">
        <f>参数调整!$K$41*怪物掉落配置方案!$D4376</f>
        <v>0</v>
      </c>
    </row>
    <row r="10533" spans="1:4" ht="16.5" hidden="1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313">
        <f>参数调整!$K$41*怪物掉落配置方案!$D4377</f>
        <v>0</v>
      </c>
    </row>
    <row r="10534" spans="1:4" ht="16.5" hidden="1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313">
        <f>参数调整!$K$41*怪物掉落配置方案!$D4378</f>
        <v>0</v>
      </c>
    </row>
    <row r="10535" spans="1:4" ht="16.5" hidden="1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313">
        <f>参数调整!$K$41*怪物掉落配置方案!$D4379</f>
        <v>0</v>
      </c>
    </row>
    <row r="10536" spans="1:4" ht="16.5" hidden="1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313">
        <f>参数调整!$K$41*怪物掉落配置方案!$D4380</f>
        <v>0</v>
      </c>
    </row>
    <row r="10537" spans="1:4" ht="16.5" hidden="1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313">
        <f>参数调整!$K$41*怪物掉落配置方案!$D4381</f>
        <v>0</v>
      </c>
    </row>
    <row r="10538" spans="1:4" ht="16.5" hidden="1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313">
        <f>参数调整!$K$41*怪物掉落配置方案!$D4382</f>
        <v>0</v>
      </c>
    </row>
    <row r="10539" spans="1:4" ht="16.5" hidden="1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313">
        <f>参数调整!$K$41*怪物掉落配置方案!$D4383</f>
        <v>0</v>
      </c>
    </row>
    <row r="10540" spans="1:4" ht="16.5" hidden="1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313">
        <f>参数调整!$K$41*怪物掉落配置方案!$D4384</f>
        <v>0</v>
      </c>
    </row>
    <row r="10541" spans="1:4" ht="16.5" hidden="1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313">
        <f>参数调整!$K$41*怪物掉落配置方案!$D4385</f>
        <v>0</v>
      </c>
    </row>
    <row r="10542" spans="1:4" ht="16.5" hidden="1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313">
        <f>参数调整!$K$41*怪物掉落配置方案!$D4386</f>
        <v>0</v>
      </c>
    </row>
    <row r="10543" spans="1:4" ht="16.5" hidden="1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313">
        <f>参数调整!$K$41*怪物掉落配置方案!$D4387</f>
        <v>0</v>
      </c>
    </row>
    <row r="10544" spans="1:4" ht="16.5" hidden="1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313">
        <f>参数调整!$K$41*怪物掉落配置方案!$D4388</f>
        <v>0</v>
      </c>
    </row>
    <row r="10545" spans="1:4" ht="16.5" hidden="1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313">
        <f>参数调整!$K$41*怪物掉落配置方案!$D4389</f>
        <v>0</v>
      </c>
    </row>
    <row r="10546" spans="1:4" ht="16.5" hidden="1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313">
        <f>参数调整!$K$41*怪物掉落配置方案!$D4390</f>
        <v>0</v>
      </c>
    </row>
    <row r="10547" spans="1:4" ht="16.5" hidden="1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313">
        <f>参数调整!$K$41*怪物掉落配置方案!$D4391</f>
        <v>0</v>
      </c>
    </row>
    <row r="10548" spans="1:4" ht="16.5" hidden="1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313">
        <f>参数调整!$K$41*怪物掉落配置方案!$D4392</f>
        <v>0</v>
      </c>
    </row>
    <row r="10549" spans="1:4" ht="16.5" hidden="1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313">
        <f>参数调整!$K$41*怪物掉落配置方案!$D4393</f>
        <v>0</v>
      </c>
    </row>
    <row r="10550" spans="1:4" ht="16.5" hidden="1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313">
        <f>参数调整!$K$41*怪物掉落配置方案!$D4394</f>
        <v>0</v>
      </c>
    </row>
    <row r="10551" spans="1:4" ht="16.5" hidden="1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313">
        <f>参数调整!$K$41*怪物掉落配置方案!$D4395</f>
        <v>0</v>
      </c>
    </row>
    <row r="10552" spans="1:4" ht="16.5" hidden="1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313">
        <f>参数调整!$K$41*怪物掉落配置方案!$D4396</f>
        <v>0</v>
      </c>
    </row>
    <row r="10553" spans="1:4" ht="16.5" hidden="1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313">
        <f>参数调整!$K$41*怪物掉落配置方案!$D4397</f>
        <v>0</v>
      </c>
    </row>
    <row r="10554" spans="1:4" ht="16.5" hidden="1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313">
        <f>参数调整!$K$41*怪物掉落配置方案!$D4398</f>
        <v>0</v>
      </c>
    </row>
    <row r="10555" spans="1:4" ht="16.5" hidden="1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313">
        <f>参数调整!$K$41*怪物掉落配置方案!$D4399</f>
        <v>0</v>
      </c>
    </row>
    <row r="10556" spans="1:4" ht="16.5" hidden="1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313">
        <f>参数调整!$K$41*怪物掉落配置方案!$D4400</f>
        <v>0</v>
      </c>
    </row>
    <row r="10557" spans="1:4" ht="16.5" hidden="1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313">
        <f>参数调整!$K$41*怪物掉落配置方案!$D4401</f>
        <v>0</v>
      </c>
    </row>
    <row r="10558" spans="1:4" ht="16.5" hidden="1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313">
        <f>参数调整!$K$41*怪物掉落配置方案!$D4402</f>
        <v>0</v>
      </c>
    </row>
    <row r="10559" spans="1:4" ht="16.5" hidden="1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313">
        <f>参数调整!$K$41*怪物掉落配置方案!$D4403</f>
        <v>0</v>
      </c>
    </row>
    <row r="10560" spans="1:4" ht="16.5" hidden="1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313">
        <f>参数调整!$K$41*怪物掉落配置方案!$D4404</f>
        <v>0</v>
      </c>
    </row>
    <row r="10561" spans="1:4" ht="16.5" hidden="1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313">
        <f>参数调整!$K$41*怪物掉落配置方案!$D4405</f>
        <v>0</v>
      </c>
    </row>
    <row r="10562" spans="1:4" ht="16.5" hidden="1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313">
        <f>参数调整!$K$41*怪物掉落配置方案!$D4406</f>
        <v>0</v>
      </c>
    </row>
    <row r="10563" spans="1:4" ht="16.5" hidden="1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313">
        <f>参数调整!$K$41*怪物掉落配置方案!$D4407</f>
        <v>0</v>
      </c>
    </row>
    <row r="10564" spans="1:4" ht="16.5" hidden="1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313">
        <f>参数调整!$K$41*怪物掉落配置方案!$D4408</f>
        <v>0</v>
      </c>
    </row>
    <row r="10565" spans="1:4" ht="16.5" hidden="1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313">
        <f>参数调整!$K$41*怪物掉落配置方案!$D4409</f>
        <v>0</v>
      </c>
    </row>
    <row r="10566" spans="1:4" ht="16.5" hidden="1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313">
        <f>参数调整!$K$41*怪物掉落配置方案!$D4410</f>
        <v>0</v>
      </c>
    </row>
    <row r="10567" spans="1:4" ht="16.5" hidden="1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313">
        <f>参数调整!$K$41*怪物掉落配置方案!$D4411</f>
        <v>0</v>
      </c>
    </row>
    <row r="10568" spans="1:4" ht="16.5" hidden="1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313">
        <f>参数调整!$K$41*怪物掉落配置方案!$D4412</f>
        <v>0</v>
      </c>
    </row>
    <row r="10569" spans="1:4" ht="16.5" hidden="1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313">
        <f>参数调整!$K$41*怪物掉落配置方案!$D4413</f>
        <v>0</v>
      </c>
    </row>
    <row r="10570" spans="1:4" ht="16.5" hidden="1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313">
        <f>参数调整!$K$41*怪物掉落配置方案!$D4414</f>
        <v>0</v>
      </c>
    </row>
    <row r="10571" spans="1:4" ht="16.5" hidden="1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313">
        <f>参数调整!$K$41*怪物掉落配置方案!$D4415</f>
        <v>0</v>
      </c>
    </row>
    <row r="10572" spans="1:4" ht="16.5" hidden="1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313">
        <f>参数调整!$K$41*怪物掉落配置方案!$D4416</f>
        <v>0</v>
      </c>
    </row>
    <row r="10573" spans="1:4" ht="16.5" hidden="1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313">
        <f>参数调整!$K$41*怪物掉落配置方案!$D4417</f>
        <v>0</v>
      </c>
    </row>
    <row r="10574" spans="1:4" ht="16.5" hidden="1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313">
        <f>参数调整!$K$41*怪物掉落配置方案!$D4418</f>
        <v>0</v>
      </c>
    </row>
    <row r="10575" spans="1:4" ht="16.5" hidden="1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313">
        <f>参数调整!$K$41*怪物掉落配置方案!$D4419</f>
        <v>0</v>
      </c>
    </row>
    <row r="10576" spans="1:4" ht="16.5" hidden="1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313">
        <f>参数调整!$K$41*怪物掉落配置方案!$D4420</f>
        <v>0</v>
      </c>
    </row>
    <row r="10577" spans="1:4" ht="16.5" hidden="1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313">
        <f>参数调整!$K$41*怪物掉落配置方案!$D4421</f>
        <v>0</v>
      </c>
    </row>
    <row r="10578" spans="1:4" ht="16.5" hidden="1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313">
        <f>参数调整!$K$41*怪物掉落配置方案!$D4422</f>
        <v>0</v>
      </c>
    </row>
    <row r="10579" spans="1:4" ht="16.5" hidden="1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313">
        <f>参数调整!$K$41*怪物掉落配置方案!$D4423</f>
        <v>0</v>
      </c>
    </row>
    <row r="10580" spans="1:4" ht="16.5" hidden="1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313">
        <f>参数调整!$K$41*怪物掉落配置方案!$D4424</f>
        <v>0</v>
      </c>
    </row>
    <row r="10581" spans="1:4" ht="16.5" hidden="1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313">
        <f>参数调整!$K$41*怪物掉落配置方案!$D4425</f>
        <v>0</v>
      </c>
    </row>
    <row r="10582" spans="1:4" ht="16.5" hidden="1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313">
        <f>参数调整!$K$41*怪物掉落配置方案!$D4426</f>
        <v>0</v>
      </c>
    </row>
    <row r="10583" spans="1:4" ht="16.5" hidden="1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313">
        <f>参数调整!$K$41*怪物掉落配置方案!$D4427</f>
        <v>0</v>
      </c>
    </row>
    <row r="10584" spans="1:4" ht="16.5" hidden="1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313">
        <f>参数调整!$K$41*怪物掉落配置方案!$D4428</f>
        <v>0</v>
      </c>
    </row>
    <row r="10585" spans="1:4" ht="16.5" hidden="1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313">
        <f>参数调整!$K$41*怪物掉落配置方案!$D4429</f>
        <v>0</v>
      </c>
    </row>
    <row r="10586" spans="1:4" ht="16.5" hidden="1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313">
        <f>参数调整!$K$41*怪物掉落配置方案!$D4430</f>
        <v>0</v>
      </c>
    </row>
    <row r="10587" spans="1:4" ht="16.5" hidden="1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313">
        <f>参数调整!$K$41*怪物掉落配置方案!$D4431</f>
        <v>0</v>
      </c>
    </row>
    <row r="10588" spans="1:4" ht="16.5" hidden="1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313">
        <f>参数调整!$K$41*怪物掉落配置方案!$D4432</f>
        <v>0</v>
      </c>
    </row>
    <row r="10589" spans="1:4" ht="16.5" hidden="1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313">
        <f>参数调整!$K$41*怪物掉落配置方案!$D4433</f>
        <v>0</v>
      </c>
    </row>
    <row r="10590" spans="1:4" ht="16.5" hidden="1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313">
        <f>参数调整!$K$41*怪物掉落配置方案!$D4434</f>
        <v>0</v>
      </c>
    </row>
    <row r="10591" spans="1:4" ht="16.5" hidden="1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313">
        <f>参数调整!$K$41*怪物掉落配置方案!$D4435</f>
        <v>0</v>
      </c>
    </row>
    <row r="10592" spans="1:4" ht="16.5" hidden="1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313">
        <f>参数调整!$K$41*怪物掉落配置方案!$D4436</f>
        <v>0</v>
      </c>
    </row>
    <row r="10593" spans="1:4" ht="16.5" hidden="1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313">
        <f>参数调整!$K$41*怪物掉落配置方案!$D4437</f>
        <v>0</v>
      </c>
    </row>
    <row r="10594" spans="1:4" ht="16.5" hidden="1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313">
        <f>参数调整!$K$41*怪物掉落配置方案!$D4438</f>
        <v>0</v>
      </c>
    </row>
    <row r="10595" spans="1:4" ht="16.5" hidden="1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313">
        <f>参数调整!$K$41*怪物掉落配置方案!$D4439</f>
        <v>0</v>
      </c>
    </row>
    <row r="10596" spans="1:4" ht="16.5" hidden="1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313">
        <f>参数调整!$K$41*怪物掉落配置方案!$D4440</f>
        <v>0</v>
      </c>
    </row>
    <row r="10597" spans="1:4" ht="16.5" hidden="1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313">
        <f>参数调整!$K$41*怪物掉落配置方案!$D4441</f>
        <v>0</v>
      </c>
    </row>
    <row r="10598" spans="1:4" ht="16.5" hidden="1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313">
        <f>参数调整!$K$41*怪物掉落配置方案!$D4442</f>
        <v>0</v>
      </c>
    </row>
    <row r="10599" spans="1:4" ht="16.5" hidden="1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313">
        <f>参数调整!$K$41*怪物掉落配置方案!$D4443</f>
        <v>0</v>
      </c>
    </row>
    <row r="10600" spans="1:4" ht="16.5" hidden="1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313">
        <f>参数调整!$K$41*怪物掉落配置方案!$D4444</f>
        <v>0</v>
      </c>
    </row>
    <row r="10601" spans="1:4" ht="16.5" hidden="1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313">
        <f>参数调整!$K$41*怪物掉落配置方案!$D4445</f>
        <v>0</v>
      </c>
    </row>
    <row r="10602" spans="1:4" ht="16.5" hidden="1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313">
        <f>参数调整!$K$41*怪物掉落配置方案!$D4446</f>
        <v>0</v>
      </c>
    </row>
    <row r="10603" spans="1:4" ht="16.5" hidden="1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313">
        <f>参数调整!$K$41*怪物掉落配置方案!$D4447</f>
        <v>0</v>
      </c>
    </row>
    <row r="10604" spans="1:4" ht="16.5" hidden="1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313">
        <f>参数调整!$K$41*怪物掉落配置方案!$D4448</f>
        <v>0</v>
      </c>
    </row>
    <row r="10605" spans="1:4" ht="16.5" hidden="1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313">
        <f>参数调整!$K$41*怪物掉落配置方案!$D4449</f>
        <v>0</v>
      </c>
    </row>
    <row r="10606" spans="1:4" ht="16.5" hidden="1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313">
        <f>参数调整!$K$41*怪物掉落配置方案!$D4450</f>
        <v>0</v>
      </c>
    </row>
    <row r="10607" spans="1:4" ht="16.5" hidden="1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313">
        <f>参数调整!$K$41*怪物掉落配置方案!$D4451</f>
        <v>0</v>
      </c>
    </row>
    <row r="10608" spans="1:4" ht="16.5" hidden="1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313">
        <f>参数调整!$K$41*怪物掉落配置方案!$D4452</f>
        <v>0</v>
      </c>
    </row>
    <row r="10609" spans="1:4" ht="16.5" hidden="1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313">
        <f>参数调整!$K$41*怪物掉落配置方案!$D4453</f>
        <v>0</v>
      </c>
    </row>
    <row r="10610" spans="1:4" ht="16.5" hidden="1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313">
        <f>参数调整!$K$41*怪物掉落配置方案!$D4454</f>
        <v>0</v>
      </c>
    </row>
    <row r="10611" spans="1:4" ht="16.5" hidden="1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313">
        <f>参数调整!$K$41*怪物掉落配置方案!$D4455</f>
        <v>0</v>
      </c>
    </row>
    <row r="10612" spans="1:4" ht="16.5" hidden="1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313">
        <f>参数调整!$K$41*怪物掉落配置方案!$D4456</f>
        <v>0</v>
      </c>
    </row>
    <row r="10613" spans="1:4" ht="16.5" hidden="1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313">
        <f>参数调整!$K$41*怪物掉落配置方案!$D4457</f>
        <v>0</v>
      </c>
    </row>
    <row r="10614" spans="1:4" ht="16.5" hidden="1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313">
        <f>参数调整!$K$41*怪物掉落配置方案!$D4458</f>
        <v>0</v>
      </c>
    </row>
    <row r="10615" spans="1:4" ht="16.5" hidden="1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313">
        <f>参数调整!$K$41*怪物掉落配置方案!$D4459</f>
        <v>0</v>
      </c>
    </row>
    <row r="10616" spans="1:4" ht="16.5" hidden="1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313">
        <f>参数调整!$K$41*怪物掉落配置方案!$D4460</f>
        <v>0</v>
      </c>
    </row>
    <row r="10617" spans="1:4" ht="16.5" hidden="1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313">
        <f>参数调整!$K$41*怪物掉落配置方案!$D4461</f>
        <v>0</v>
      </c>
    </row>
    <row r="10618" spans="1:4" ht="16.5" hidden="1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313">
        <f>参数调整!$K$41*怪物掉落配置方案!$D4462</f>
        <v>0</v>
      </c>
    </row>
    <row r="10619" spans="1:4" ht="16.5" hidden="1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313">
        <f>参数调整!$K$41*怪物掉落配置方案!$D4463</f>
        <v>0</v>
      </c>
    </row>
    <row r="10620" spans="1:4" ht="16.5" hidden="1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313">
        <f>参数调整!$K$41*怪物掉落配置方案!$D4464</f>
        <v>0</v>
      </c>
    </row>
    <row r="10621" spans="1:4" ht="16.5" hidden="1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313">
        <f>参数调整!$K$41*怪物掉落配置方案!$D4465</f>
        <v>0</v>
      </c>
    </row>
    <row r="10622" spans="1:4" ht="16.5" hidden="1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313">
        <f>参数调整!$K$41*怪物掉落配置方案!$D4466</f>
        <v>0</v>
      </c>
    </row>
    <row r="10623" spans="1:4" ht="16.5" hidden="1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313">
        <f>参数调整!$K$41*怪物掉落配置方案!$D4467</f>
        <v>0</v>
      </c>
    </row>
    <row r="10624" spans="1:4" ht="16.5" hidden="1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313">
        <f>参数调整!$K$41*怪物掉落配置方案!$D4468</f>
        <v>0</v>
      </c>
    </row>
    <row r="10625" spans="1:4" ht="16.5" hidden="1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313">
        <f>参数调整!$K$41*怪物掉落配置方案!$D4469</f>
        <v>0</v>
      </c>
    </row>
    <row r="10626" spans="1:4" ht="16.5" hidden="1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313">
        <f>参数调整!$K$41*怪物掉落配置方案!$D4470</f>
        <v>0</v>
      </c>
    </row>
    <row r="10627" spans="1:4" ht="16.5" hidden="1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313">
        <f>参数调整!$K$41*怪物掉落配置方案!$D4471</f>
        <v>0</v>
      </c>
    </row>
    <row r="10628" spans="1:4" ht="16.5" hidden="1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313">
        <f>参数调整!$K$41*怪物掉落配置方案!$D4472</f>
        <v>0</v>
      </c>
    </row>
    <row r="10629" spans="1:4" ht="16.5" hidden="1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313">
        <f>参数调整!$K$41*怪物掉落配置方案!$D4473</f>
        <v>0</v>
      </c>
    </row>
    <row r="10630" spans="1:4" ht="16.5" hidden="1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313">
        <f>参数调整!$K$41*怪物掉落配置方案!$D4474</f>
        <v>0</v>
      </c>
    </row>
    <row r="10631" spans="1:4" ht="16.5" hidden="1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313">
        <f>参数调整!$K$41*怪物掉落配置方案!$D4475</f>
        <v>0</v>
      </c>
    </row>
    <row r="10632" spans="1:4" ht="16.5" hidden="1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313">
        <f>参数调整!$K$41*怪物掉落配置方案!$D4476</f>
        <v>0</v>
      </c>
    </row>
    <row r="10633" spans="1:4" ht="16.5" hidden="1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313">
        <f>参数调整!$K$41*怪物掉落配置方案!$D4477</f>
        <v>0</v>
      </c>
    </row>
    <row r="10634" spans="1:4" ht="16.5" hidden="1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313">
        <f>参数调整!$K$41*怪物掉落配置方案!$D4478</f>
        <v>0</v>
      </c>
    </row>
    <row r="10635" spans="1:4" ht="16.5" hidden="1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313">
        <f>参数调整!$K$41*怪物掉落配置方案!$D4479</f>
        <v>0</v>
      </c>
    </row>
    <row r="10636" spans="1:4" ht="16.5" hidden="1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313">
        <f>参数调整!$K$41*怪物掉落配置方案!$D4480</f>
        <v>0</v>
      </c>
    </row>
    <row r="10637" spans="1:4" ht="16.5" hidden="1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313">
        <f>参数调整!$K$41*怪物掉落配置方案!$D4481</f>
        <v>0</v>
      </c>
    </row>
    <row r="10638" spans="1:4" ht="16.5" hidden="1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313">
        <f>参数调整!$K$41*怪物掉落配置方案!$D4482</f>
        <v>0</v>
      </c>
    </row>
    <row r="10639" spans="1:4" ht="16.5" hidden="1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313">
        <f>参数调整!$K$41*怪物掉落配置方案!$D4483</f>
        <v>0</v>
      </c>
    </row>
    <row r="10640" spans="1:4" ht="16.5" hidden="1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313">
        <f>参数调整!$K$41*怪物掉落配置方案!$D4484</f>
        <v>0</v>
      </c>
    </row>
    <row r="10641" spans="1:4" ht="16.5" hidden="1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313">
        <f>参数调整!$K$41*怪物掉落配置方案!$D4485</f>
        <v>1.3620278167176461E-2</v>
      </c>
    </row>
    <row r="10642" spans="1:4" ht="16.5" hidden="1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313">
        <f>参数调整!$K$41*怪物掉落配置方案!$D4486</f>
        <v>1.7238164555332711E-2</v>
      </c>
    </row>
    <row r="10643" spans="1:4" ht="16.5" hidden="1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313">
        <f>参数调整!$K$41*怪物掉落配置方案!$D4487</f>
        <v>2.128168463621322E-2</v>
      </c>
    </row>
    <row r="10644" spans="1:4" ht="16.5" hidden="1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313">
        <f>参数调整!$K$41*怪物掉落配置方案!$D4488</f>
        <v>2.5750838409817997E-2</v>
      </c>
    </row>
    <row r="10645" spans="1:4" ht="16.5" hidden="1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313">
        <f>参数调整!$K$41*怪物掉落配置方案!$D4489</f>
        <v>3.0645625876147029E-2</v>
      </c>
    </row>
    <row r="10646" spans="1:4" ht="16.5" hidden="1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313">
        <f>参数调整!$K$41*怪物掉落配置方案!$D4490</f>
        <v>3.5966047035200344E-2</v>
      </c>
    </row>
    <row r="10647" spans="1:4" ht="16.5" hidden="1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313">
        <f>参数调整!$K$41*怪物掉落配置方案!$D4491</f>
        <v>4.1712101886977909E-2</v>
      </c>
    </row>
    <row r="10648" spans="1:4" ht="16.5" hidden="1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313">
        <f>参数调整!$K$41*怪物掉落配置方案!$D4492</f>
        <v>4.788379043147975E-2</v>
      </c>
    </row>
    <row r="10649" spans="1:4" ht="16.5" hidden="1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313">
        <f>参数调整!$K$41*怪物掉落配置方案!$D4493</f>
        <v>5.4481112668705853E-2</v>
      </c>
    </row>
    <row r="10650" spans="1:4" ht="16.5" hidden="1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313">
        <f>参数调整!$K$41*怪物掉落配置方案!$D4494</f>
        <v>6.8952658221330843E-2</v>
      </c>
    </row>
    <row r="10651" spans="1:4" ht="16.5" hidden="1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313">
        <f>参数调整!$K$41*怪物掉落配置方案!$D4495</f>
        <v>8.5126738544852878E-2</v>
      </c>
    </row>
    <row r="10652" spans="1:4" ht="16.5" hidden="1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313">
        <f>参数调整!$K$41*怪物掉落配置方案!$D4496</f>
        <v>0.10300335363927199</v>
      </c>
    </row>
    <row r="10653" spans="1:4" ht="16.5" hidden="1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313">
        <f>参数调整!$K$41*怪物掉落配置方案!$D4497</f>
        <v>0.13301052897633261</v>
      </c>
    </row>
    <row r="10654" spans="1:4" ht="16.5" hidden="1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313">
        <f>参数调整!$K$41*怪物掉落配置方案!$D4498</f>
        <v>0.19153516172591895</v>
      </c>
    </row>
    <row r="10655" spans="1:4" ht="16.5" hidden="1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313">
        <f>参数调整!$K$41*怪物掉落配置方案!$D4499</f>
        <v>0.26070063679361188</v>
      </c>
    </row>
    <row r="10656" spans="1:4" ht="16.5" hidden="1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313">
        <f>参数调整!$K$41*怪物掉落配置方案!$D4500</f>
        <v>0.29134626266975905</v>
      </c>
    </row>
    <row r="10657" spans="1:4" ht="16.5" hidden="1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313">
        <f>参数调整!$K$41*怪物掉落配置方案!$D4501</f>
        <v>0.34050695417941151</v>
      </c>
    </row>
    <row r="10658" spans="1:4" ht="16.5" hidden="1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313">
        <f>参数调整!$K$41*怪物掉落配置方案!$D4502</f>
        <v>0.39349834892358238</v>
      </c>
    </row>
    <row r="10659" spans="1:4" ht="16.5" hidden="1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313">
        <f>参数调整!$K$41*怪物掉落配置方案!$D4503</f>
        <v>0.45032044690227169</v>
      </c>
    </row>
    <row r="10660" spans="1:4" ht="16.5" hidden="1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313">
        <f>参数调整!$K$41*怪物掉落配置方案!$D4504</f>
        <v>0.51097324811547962</v>
      </c>
    </row>
    <row r="10661" spans="1:4" ht="16.5" hidden="1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313">
        <f>参数调整!$K$41*怪物掉落配置方案!$D4505</f>
        <v>0.57545675256320539</v>
      </c>
    </row>
    <row r="10662" spans="1:4" ht="16.5" hidden="1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313">
        <f>参数调整!$K$41*怪物掉落配置方案!$D4506</f>
        <v>0.64377096024544989</v>
      </c>
    </row>
    <row r="10663" spans="1:4" ht="16.5" hidden="1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313">
        <f>参数调整!$K$41*怪物掉落配置方案!$D4507</f>
        <v>0.71591587116221267</v>
      </c>
    </row>
    <row r="10664" spans="1:4" ht="16.5" hidden="1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313">
        <f>参数调整!$K$41*怪物掉落配置方案!$D4508</f>
        <v>0.79189148531349374</v>
      </c>
    </row>
    <row r="10665" spans="1:4" ht="16.5" hidden="1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313">
        <f>参数调整!$K$41*怪物掉落配置方案!$D4509</f>
        <v>0.87169780269929364</v>
      </c>
    </row>
    <row r="10666" spans="1:4" ht="16.5" hidden="1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313">
        <f>参数调整!$K$41*怪物掉落配置方案!$D4510</f>
        <v>0.9553348233196115</v>
      </c>
    </row>
    <row r="10667" spans="1:4" ht="16.5" hidden="1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313">
        <f>参数调整!$K$41*怪物掉落配置方案!$D4511</f>
        <v>1.042802547174448</v>
      </c>
    </row>
    <row r="10668" spans="1:4" ht="16.5" hidden="1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313">
        <f>参数调整!$K$41*怪物掉落配置方案!$D4512</f>
        <v>3.5472643731095737E-3</v>
      </c>
    </row>
    <row r="10669" spans="1:4" ht="16.5" hidden="1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313">
        <f>参数调整!$K$41*怪物掉落配置方案!$D4513</f>
        <v>4.4895064722168037E-3</v>
      </c>
    </row>
    <row r="10670" spans="1:4" ht="16.5" hidden="1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313">
        <f>参数调整!$K$41*怪物掉落配置方案!$D4514</f>
        <v>5.5426005829837073E-3</v>
      </c>
    </row>
    <row r="10671" spans="1:4" ht="16.5" hidden="1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313">
        <f>参数调整!$K$41*怪物掉落配置方案!$D4515</f>
        <v>6.7065467054102865E-3</v>
      </c>
    </row>
    <row r="10672" spans="1:4" ht="16.5" hidden="1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313">
        <f>参数调整!$K$41*怪物掉落配置方案!$D4516</f>
        <v>7.9813448394965378E-3</v>
      </c>
    </row>
    <row r="10673" spans="1:4" ht="16.5" hidden="1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313">
        <f>参数调整!$K$41*怪物掉落配置方案!$D4517</f>
        <v>9.3669949852424675E-3</v>
      </c>
    </row>
    <row r="10674" spans="1:4" ht="16.5" hidden="1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313">
        <f>参数调整!$K$41*怪物掉落配置方案!$D4518</f>
        <v>1.0863497142648063E-2</v>
      </c>
    </row>
    <row r="10675" spans="1:4" ht="16.5" hidden="1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313">
        <f>参数调整!$K$41*怪物掉落配置方案!$D4519</f>
        <v>1.2470851311713344E-2</v>
      </c>
    </row>
    <row r="10676" spans="1:4" ht="16.5" hidden="1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313">
        <f>参数调整!$K$41*怪物掉落配置方案!$D4520</f>
        <v>1.4189057492438295E-2</v>
      </c>
    </row>
    <row r="10677" spans="1:4" ht="16.5" hidden="1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313">
        <f>参数调整!$K$41*怪物掉落配置方案!$D4521</f>
        <v>1.7958025888867215E-2</v>
      </c>
    </row>
    <row r="10678" spans="1:4" ht="16.5" hidden="1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313">
        <f>参数调整!$K$41*怪物掉落配置方案!$D4522</f>
        <v>2.2170402331934826E-2</v>
      </c>
    </row>
    <row r="10679" spans="1:4" ht="16.5" hidden="1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313">
        <f>参数调整!$K$41*怪物掉落配置方案!$D4523</f>
        <v>2.6826186821641146E-2</v>
      </c>
    </row>
    <row r="10680" spans="1:4" ht="16.5" hidden="1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313">
        <f>参数调整!$K$41*怪物掉落配置方案!$D4524</f>
        <v>3.4641253643648166E-2</v>
      </c>
    </row>
    <row r="10681" spans="1:4" ht="16.5" hidden="1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313">
        <f>参数调整!$K$41*怪物掉落配置方案!$D4525</f>
        <v>4.9883405246853363E-2</v>
      </c>
    </row>
    <row r="10682" spans="1:4" ht="16.5" hidden="1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313">
        <f>参数调整!$K$41*怪物掉落配置方案!$D4526</f>
        <v>6.7896857141550415E-2</v>
      </c>
    </row>
    <row r="10683" spans="1:4" ht="16.5" hidden="1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313">
        <f>参数调整!$K$41*怪物掉落配置方案!$D4527</f>
        <v>7.5878201981046972E-2</v>
      </c>
    </row>
    <row r="10684" spans="1:4" ht="16.5" hidden="1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313">
        <f>参数调整!$K$41*怪物掉落配置方案!$D4528</f>
        <v>8.8681609327739302E-2</v>
      </c>
    </row>
    <row r="10685" spans="1:4" ht="16.5" hidden="1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313">
        <f>参数调整!$K$41*怪物掉落配置方案!$D4529</f>
        <v>0.10248268477936873</v>
      </c>
    </row>
    <row r="10686" spans="1:4" ht="16.5" hidden="1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313">
        <f>参数调整!$K$41*怪物掉落配置方案!$D4530</f>
        <v>0.11728142833593524</v>
      </c>
    </row>
    <row r="10687" spans="1:4" ht="16.5" hidden="1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313">
        <f>参数调整!$K$41*怪物掉落配置方案!$D4531</f>
        <v>0.13307783999743883</v>
      </c>
    </row>
    <row r="10688" spans="1:4" ht="16.5" hidden="1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313">
        <f>参数调整!$K$41*怪物掉落配置方案!$D4532</f>
        <v>0.14987191976387945</v>
      </c>
    </row>
    <row r="10689" spans="1:4" ht="16.5" hidden="1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313">
        <f>参数调整!$K$41*怪物掉落配置方案!$D4533</f>
        <v>0.16766366763525717</v>
      </c>
    </row>
    <row r="10690" spans="1:4" ht="16.5" hidden="1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313">
        <f>参数调整!$K$41*怪物掉落配置方案!$D4534</f>
        <v>0.18645308361157192</v>
      </c>
    </row>
    <row r="10691" spans="1:4" ht="16.5" hidden="1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313">
        <f>参数调整!$K$41*怪物掉落配置方案!$D4535</f>
        <v>0.20624016769282372</v>
      </c>
    </row>
    <row r="10692" spans="1:4" ht="16.5" hidden="1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313">
        <f>参数调整!$K$41*怪物掉落配置方案!$D4536</f>
        <v>0.22702491987901269</v>
      </c>
    </row>
    <row r="10693" spans="1:4" ht="16.5" hidden="1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313">
        <f>参数调整!$K$41*怪物掉落配置方案!$D4537</f>
        <v>0.24880734017013867</v>
      </c>
    </row>
    <row r="10694" spans="1:4" ht="16.5" hidden="1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313">
        <f>参数调整!$K$41*怪物掉落配置方案!$D4538</f>
        <v>0.27158742856620166</v>
      </c>
    </row>
    <row r="10695" spans="1:4" ht="16.5" hidden="1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313">
        <f>参数调整!$K$41*怪物掉落配置方案!$D4539</f>
        <v>4.8738706015392179E-5</v>
      </c>
    </row>
    <row r="10696" spans="1:4" ht="16.5" hidden="1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313">
        <f>参数调整!$K$41*怪物掉落配置方案!$D4540</f>
        <v>6.1684924800730733E-5</v>
      </c>
    </row>
    <row r="10697" spans="1:4" ht="16.5" hidden="1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313">
        <f>参数调整!$K$41*怪物掉落配置方案!$D4541</f>
        <v>7.615422814905026E-5</v>
      </c>
    </row>
    <row r="10698" spans="1:4" ht="16.5" hidden="1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313">
        <f>参数调整!$K$41*怪物掉落配置方案!$D4542</f>
        <v>9.2146616060350827E-5</v>
      </c>
    </row>
    <row r="10699" spans="1:4" ht="16.5" hidden="1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313">
        <f>参数调整!$K$41*怪物掉落配置方案!$D4543</f>
        <v>1.0966208853463238E-4</v>
      </c>
    </row>
    <row r="10700" spans="1:4" ht="16.5" hidden="1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313">
        <f>参数调整!$K$41*怪物掉落配置方案!$D4544</f>
        <v>1.2870064557189494E-4</v>
      </c>
    </row>
    <row r="10701" spans="1:4" ht="16.5" hidden="1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313">
        <f>参数调整!$K$41*怪物掉落配置方案!$D4545</f>
        <v>1.4926228717213849E-4</v>
      </c>
    </row>
    <row r="10702" spans="1:4" ht="16.5" hidden="1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313">
        <f>参数调整!$K$41*怪物掉落配置方案!$D4546</f>
        <v>1.7134701333536309E-4</v>
      </c>
    </row>
    <row r="10703" spans="1:4" ht="16.5" hidden="1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313">
        <f>参数调整!$K$41*怪物掉落配置方案!$D4547</f>
        <v>1.9495482406156874E-4</v>
      </c>
    </row>
    <row r="10704" spans="1:4" ht="16.5" hidden="1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313">
        <f>参数调整!$K$41*怪物掉落配置方案!$D4548</f>
        <v>2.4673969920292283E-4</v>
      </c>
    </row>
    <row r="10705" spans="1:4" ht="16.5" hidden="1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313">
        <f>参数调整!$K$41*怪物掉落配置方案!$D4549</f>
        <v>3.0461691259620104E-4</v>
      </c>
    </row>
    <row r="10706" spans="1:4" ht="16.5" hidden="1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313">
        <f>参数调整!$K$41*怪物掉落配置方案!$D4550</f>
        <v>3.6858646424140331E-4</v>
      </c>
    </row>
    <row r="10707" spans="1:4" ht="16.5" hidden="1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313">
        <f>参数调整!$K$41*怪物掉落配置方案!$D4551</f>
        <v>4.7596392593156421E-4</v>
      </c>
    </row>
    <row r="10708" spans="1:4" ht="16.5" hidden="1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313">
        <f>参数调整!$K$41*怪物掉落配置方案!$D4552</f>
        <v>6.8538805334145223E-4</v>
      </c>
    </row>
    <row r="10709" spans="1:4" ht="16.5" hidden="1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313">
        <f>参数调整!$K$41*怪物掉落配置方案!$D4553</f>
        <v>9.3288929482586566E-4</v>
      </c>
    </row>
    <row r="10710" spans="1:4" ht="16.5" hidden="1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313">
        <f>参数调整!$K$41*怪物掉落配置方案!$D4554</f>
        <v>1.0425513833604984E-3</v>
      </c>
    </row>
    <row r="10711" spans="1:4" ht="16.5" hidden="1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313">
        <f>参数调整!$K$41*怪物掉落配置方案!$D4555</f>
        <v>1.2184676503848042E-3</v>
      </c>
    </row>
    <row r="10712" spans="1:4" ht="16.5" hidden="1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313">
        <f>参数调整!$K$41*怪物掉落配置方案!$D4556</f>
        <v>1.408091678475939E-3</v>
      </c>
    </row>
    <row r="10713" spans="1:4" ht="16.5" hidden="1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313">
        <f>参数调整!$K$41*怪物掉落配置方案!$D4557</f>
        <v>1.6114234676339037E-3</v>
      </c>
    </row>
    <row r="10714" spans="1:4" ht="16.5" hidden="1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313">
        <f>参数调整!$K$41*怪物掉落配置方案!$D4558</f>
        <v>1.8284630178586974E-3</v>
      </c>
    </row>
    <row r="10715" spans="1:4" ht="16.5" hidden="1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313">
        <f>参数调整!$K$41*怪物掉落配置方案!$D4559</f>
        <v>2.0592103291503191E-3</v>
      </c>
    </row>
    <row r="10716" spans="1:4" ht="16.5" hidden="1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313">
        <f>参数调整!$K$41*怪物掉落配置方案!$D4560</f>
        <v>2.3036654015087706E-3</v>
      </c>
    </row>
    <row r="10717" spans="1:4" ht="16.5" hidden="1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313">
        <f>参数调整!$K$41*怪物掉落配置方案!$D4561</f>
        <v>2.5618282349340504E-3</v>
      </c>
    </row>
    <row r="10718" spans="1:4" ht="16.5" hidden="1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313">
        <f>参数调整!$K$41*怪物掉落配置方案!$D4562</f>
        <v>2.8336988294261596E-3</v>
      </c>
    </row>
    <row r="10719" spans="1:4" ht="16.5" hidden="1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313">
        <f>参数调整!$K$41*怪物掉落配置方案!$D4563</f>
        <v>3.1192771849850994E-3</v>
      </c>
    </row>
    <row r="10720" spans="1:4" ht="16.5" hidden="1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313">
        <f>参数调整!$K$41*怪物掉落配置方案!$D4564</f>
        <v>3.418563301610866E-3</v>
      </c>
    </row>
    <row r="10721" spans="1:4" ht="16.5" hidden="1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313">
        <f>参数调整!$K$41*怪物掉落配置方案!$D4565</f>
        <v>3.7315571793034635E-3</v>
      </c>
    </row>
    <row r="10722" spans="1:4" ht="16.5" hidden="1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313">
        <f>参数调整!$K$41*怪物掉落配置方案!$D4566</f>
        <v>0</v>
      </c>
    </row>
    <row r="10723" spans="1:4" ht="16.5" hidden="1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313">
        <f>参数调整!$K$41*怪物掉落配置方案!$D4567</f>
        <v>0</v>
      </c>
    </row>
    <row r="10724" spans="1:4" ht="16.5" hidden="1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313">
        <f>参数调整!$K$41*怪物掉落配置方案!$D4568</f>
        <v>0</v>
      </c>
    </row>
    <row r="10725" spans="1:4" ht="16.5" hidden="1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313">
        <f>参数调整!$K$41*怪物掉落配置方案!$D4569</f>
        <v>0</v>
      </c>
    </row>
    <row r="10726" spans="1:4" ht="16.5" hidden="1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313">
        <f>参数调整!$K$41*怪物掉落配置方案!$D4570</f>
        <v>0</v>
      </c>
    </row>
    <row r="10727" spans="1:4" ht="16.5" hidden="1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313">
        <f>参数调整!$K$41*怪物掉落配置方案!$D4571</f>
        <v>0</v>
      </c>
    </row>
    <row r="10728" spans="1:4" ht="16.5" hidden="1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313">
        <f>参数调整!$K$41*怪物掉落配置方案!$D4572</f>
        <v>0</v>
      </c>
    </row>
    <row r="10729" spans="1:4" ht="16.5" hidden="1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313">
        <f>参数调整!$K$41*怪物掉落配置方案!$D4573</f>
        <v>0</v>
      </c>
    </row>
    <row r="10730" spans="1:4" ht="16.5" hidden="1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313">
        <f>参数调整!$K$41*怪物掉落配置方案!$D4574</f>
        <v>0</v>
      </c>
    </row>
    <row r="10731" spans="1:4" ht="16.5" hidden="1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313">
        <f>参数调整!$K$41*怪物掉落配置方案!$D4575</f>
        <v>0</v>
      </c>
    </row>
    <row r="10732" spans="1:4" ht="16.5" hidden="1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313">
        <f>参数调整!$K$41*怪物掉落配置方案!$D4576</f>
        <v>0</v>
      </c>
    </row>
    <row r="10733" spans="1:4" ht="16.5" hidden="1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313">
        <f>参数调整!$K$41*怪物掉落配置方案!$D4577</f>
        <v>0</v>
      </c>
    </row>
    <row r="10734" spans="1:4" ht="16.5" hidden="1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313">
        <f>参数调整!$K$41*怪物掉落配置方案!$D4578</f>
        <v>0</v>
      </c>
    </row>
    <row r="10735" spans="1:4" ht="16.5" hidden="1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313">
        <f>参数调整!$K$41*怪物掉落配置方案!$D4579</f>
        <v>0</v>
      </c>
    </row>
    <row r="10736" spans="1:4" ht="16.5" hidden="1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313">
        <f>参数调整!$K$41*怪物掉落配置方案!$D4580</f>
        <v>0</v>
      </c>
    </row>
    <row r="10737" spans="1:4" ht="16.5" hidden="1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313">
        <f>参数调整!$K$41*怪物掉落配置方案!$D4581</f>
        <v>0</v>
      </c>
    </row>
    <row r="10738" spans="1:4" ht="16.5" hidden="1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313">
        <f>参数调整!$K$41*怪物掉落配置方案!$D4582</f>
        <v>0</v>
      </c>
    </row>
    <row r="10739" spans="1:4" ht="16.5" hidden="1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313">
        <f>参数调整!$K$41*怪物掉落配置方案!$D4583</f>
        <v>0</v>
      </c>
    </row>
    <row r="10740" spans="1:4" ht="16.5" hidden="1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313">
        <f>参数调整!$K$41*怪物掉落配置方案!$D4584</f>
        <v>0</v>
      </c>
    </row>
    <row r="10741" spans="1:4" ht="16.5" hidden="1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313">
        <f>参数调整!$K$41*怪物掉落配置方案!$D4585</f>
        <v>0</v>
      </c>
    </row>
    <row r="10742" spans="1:4" ht="16.5" hidden="1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313">
        <f>参数调整!$K$41*怪物掉落配置方案!$D4586</f>
        <v>0</v>
      </c>
    </row>
    <row r="10743" spans="1:4" ht="16.5" hidden="1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313">
        <f>参数调整!$K$41*怪物掉落配置方案!$D4587</f>
        <v>0</v>
      </c>
    </row>
    <row r="10744" spans="1:4" ht="16.5" hidden="1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313">
        <f>参数调整!$K$41*怪物掉落配置方案!$D4588</f>
        <v>0</v>
      </c>
    </row>
    <row r="10745" spans="1:4" ht="16.5" hidden="1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313">
        <f>参数调整!$K$41*怪物掉落配置方案!$D4589</f>
        <v>0</v>
      </c>
    </row>
    <row r="10746" spans="1:4" ht="16.5" hidden="1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313">
        <f>参数调整!$K$41*怪物掉落配置方案!$D4590</f>
        <v>0</v>
      </c>
    </row>
    <row r="10747" spans="1:4" ht="16.5" hidden="1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313">
        <f>参数调整!$K$41*怪物掉落配置方案!$D4591</f>
        <v>0</v>
      </c>
    </row>
    <row r="10748" spans="1:4" ht="16.5" hidden="1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313">
        <f>参数调整!$K$41*怪物掉落配置方案!$D4592</f>
        <v>0</v>
      </c>
    </row>
    <row r="10749" spans="1:4" ht="16.5" hidden="1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313">
        <f>参数调整!$K$41*怪物掉落配置方案!$D4593</f>
        <v>2.4369353007696085E-4</v>
      </c>
    </row>
    <row r="10750" spans="1:4" ht="16.5" hidden="1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313">
        <f>参数调整!$K$41*怪物掉落配置方案!$D4594</f>
        <v>3.0842462400365361E-4</v>
      </c>
    </row>
    <row r="10751" spans="1:4" ht="16.5" hidden="1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313">
        <f>参数调整!$K$41*怪物掉落配置方案!$D4595</f>
        <v>3.807711407452513E-4</v>
      </c>
    </row>
    <row r="10752" spans="1:4" ht="16.5" hidden="1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313">
        <f>参数调整!$K$41*怪物掉落配置方案!$D4596</f>
        <v>4.6073308030175413E-4</v>
      </c>
    </row>
    <row r="10753" spans="1:4" ht="16.5" hidden="1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313">
        <f>参数调整!$K$41*怪物掉落配置方案!$D4597</f>
        <v>5.4831044267316179E-4</v>
      </c>
    </row>
    <row r="10754" spans="1:4" ht="16.5" hidden="1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313">
        <f>参数调整!$K$41*怪物掉落配置方案!$D4598</f>
        <v>6.435032278594748E-4</v>
      </c>
    </row>
    <row r="10755" spans="1:4" ht="16.5" hidden="1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313">
        <f>参数调整!$K$41*怪物掉落配置方案!$D4599</f>
        <v>7.4631143586069253E-4</v>
      </c>
    </row>
    <row r="10756" spans="1:4" ht="16.5" hidden="1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313">
        <f>参数调整!$K$41*怪物掉落配置方案!$D4600</f>
        <v>8.5673506667681551E-4</v>
      </c>
    </row>
    <row r="10757" spans="1:4" ht="16.5" hidden="1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313">
        <f>参数调整!$K$41*怪物掉落配置方案!$D4601</f>
        <v>9.7477412030784363E-4</v>
      </c>
    </row>
    <row r="10758" spans="1:4" ht="16.5" hidden="1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313">
        <f>参数调整!$K$41*怪物掉落配置方案!$D4602</f>
        <v>1.2336984960146145E-3</v>
      </c>
    </row>
    <row r="10759" spans="1:4" ht="16.5" hidden="1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313">
        <f>参数调整!$K$41*怪物掉落配置方案!$D4603</f>
        <v>1.5230845629810052E-3</v>
      </c>
    </row>
    <row r="10760" spans="1:4" ht="16.5" hidden="1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313">
        <f>参数调整!$K$41*怪物掉落配置方案!$D4604</f>
        <v>1.8429323212070165E-3</v>
      </c>
    </row>
    <row r="10761" spans="1:4" ht="16.5" hidden="1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313">
        <f>参数调整!$K$41*怪物掉落配置方案!$D4605</f>
        <v>2.3798196296578207E-3</v>
      </c>
    </row>
    <row r="10762" spans="1:4" ht="16.5" hidden="1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313">
        <f>参数调整!$K$41*怪物掉落配置方案!$D4606</f>
        <v>3.4269402667072612E-3</v>
      </c>
    </row>
    <row r="10763" spans="1:4" ht="16.5" hidden="1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313">
        <f>参数调整!$K$41*怪物掉落配置方案!$D4607</f>
        <v>4.6644464741293287E-3</v>
      </c>
    </row>
    <row r="10764" spans="1:4" ht="16.5" hidden="1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313">
        <f>参数调整!$K$41*怪物掉落配置方案!$D4608</f>
        <v>5.2127569168024914E-3</v>
      </c>
    </row>
    <row r="10765" spans="1:4" ht="16.5" hidden="1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313">
        <f>参数调整!$K$41*怪物掉落配置方案!$D4609</f>
        <v>6.0923382519240208E-3</v>
      </c>
    </row>
    <row r="10766" spans="1:4" ht="16.5" hidden="1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313">
        <f>参数调整!$K$41*怪物掉落配置方案!$D4610</f>
        <v>7.0404583923796959E-3</v>
      </c>
    </row>
    <row r="10767" spans="1:4" ht="16.5" hidden="1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313">
        <f>参数调整!$K$41*怪物掉落配置方案!$D4611</f>
        <v>8.0571173381695175E-3</v>
      </c>
    </row>
    <row r="10768" spans="1:4" ht="16.5" hidden="1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313">
        <f>参数调整!$K$41*怪物掉落配置方案!$D4612</f>
        <v>9.1423150892934856E-3</v>
      </c>
    </row>
    <row r="10769" spans="1:4" ht="16.5" hidden="1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313">
        <f>参数调整!$K$41*怪物掉落配置方案!$D4613</f>
        <v>1.0296051645751597E-2</v>
      </c>
    </row>
    <row r="10770" spans="1:4" ht="16.5" hidden="1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313">
        <f>参数调整!$K$41*怪物掉落配置方案!$D4614</f>
        <v>1.1518327007543853E-2</v>
      </c>
    </row>
    <row r="10771" spans="1:4" ht="16.5" hidden="1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313">
        <f>参数调整!$K$41*怪物掉落配置方案!$D4615</f>
        <v>1.2809141174670254E-2</v>
      </c>
    </row>
    <row r="10772" spans="1:4" ht="16.5" hidden="1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313">
        <f>参数调整!$K$41*怪物掉落配置方案!$D4616</f>
        <v>1.4168494147130801E-2</v>
      </c>
    </row>
    <row r="10773" spans="1:4" ht="16.5" hidden="1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313">
        <f>参数调整!$K$41*怪物掉落配置方案!$D4617</f>
        <v>1.5596385924925498E-2</v>
      </c>
    </row>
    <row r="10774" spans="1:4" ht="16.5" hidden="1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313">
        <f>参数调整!$K$41*怪物掉落配置方案!$D4618</f>
        <v>1.7092816508054335E-2</v>
      </c>
    </row>
    <row r="10775" spans="1:4" ht="16.5" hidden="1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313">
        <f>参数调整!$K$41*怪物掉落配置方案!$D4619</f>
        <v>1.8657785896517315E-2</v>
      </c>
    </row>
    <row r="10776" spans="1:4" ht="16.5" hidden="1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313">
        <f>参数调整!$K$41*怪物掉落配置方案!$D4620</f>
        <v>3.9000882290303934E-2</v>
      </c>
    </row>
    <row r="10777" spans="1:4" ht="16.5" hidden="1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313">
        <f>参数调整!$K$41*怪物掉落配置方案!$D4621</f>
        <v>4.9360491648665926E-2</v>
      </c>
    </row>
    <row r="10778" spans="1:4" ht="16.5" hidden="1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313">
        <f>参数调整!$K$41*怪物掉落配置方案!$D4622</f>
        <v>6.0938878578599906E-2</v>
      </c>
    </row>
    <row r="10779" spans="1:4" ht="16.5" hidden="1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313">
        <f>参数调整!$K$41*怪物掉落配置方案!$D4623</f>
        <v>7.3736043080105881E-2</v>
      </c>
    </row>
    <row r="10780" spans="1:4" ht="16.5" hidden="1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313">
        <f>参数调整!$K$41*怪物掉落配置方案!$D4624</f>
        <v>8.7751985153183831E-2</v>
      </c>
    </row>
    <row r="10781" spans="1:4" ht="16.5" hidden="1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313">
        <f>参数调整!$K$41*怪物掉落配置方案!$D4625</f>
        <v>0.10298670479783384</v>
      </c>
    </row>
    <row r="10782" spans="1:4" ht="16.5" hidden="1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313">
        <f>参数调整!$K$41*怪物掉落配置方案!$D4626</f>
        <v>0.11944020201405579</v>
      </c>
    </row>
    <row r="10783" spans="1:4" ht="16.5" hidden="1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313">
        <f>参数调整!$K$41*怪物掉落配置方案!$D4627</f>
        <v>0.13711247680184979</v>
      </c>
    </row>
    <row r="10784" spans="1:4" ht="16.5" hidden="1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313">
        <f>参数调整!$K$41*怪物掉落配置方案!$D4628</f>
        <v>0.15600352916121579</v>
      </c>
    </row>
    <row r="10785" spans="1:4" ht="16.5" hidden="1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313">
        <f>参数调整!$K$41*怪物掉落配置方案!$D4629</f>
        <v>0.1974419665946637</v>
      </c>
    </row>
    <row r="10786" spans="1:4" ht="16.5" hidden="1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313">
        <f>参数调整!$K$41*怪物掉落配置方案!$D4630</f>
        <v>0.24375551431439951</v>
      </c>
    </row>
    <row r="10787" spans="1:4" ht="16.5" hidden="1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313">
        <f>参数调整!$K$41*怪物掉落配置方案!$D4631</f>
        <v>0.29494417232042353</v>
      </c>
    </row>
    <row r="10788" spans="1:4" ht="16.5" hidden="1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313">
        <f>参数调整!$K$41*怪物掉落配置方案!$D4632</f>
        <v>0.3808679911162493</v>
      </c>
    </row>
    <row r="10789" spans="1:4" ht="16.5" hidden="1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313">
        <f>参数调整!$K$41*怪物掉落配置方案!$D4633</f>
        <v>0.54844990720739895</v>
      </c>
    </row>
    <row r="10790" spans="1:4" ht="16.5" hidden="1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313">
        <f>参数调整!$K$41*怪物掉落配置方案!$D4634</f>
        <v>0.74650126258784866</v>
      </c>
    </row>
    <row r="10791" spans="1:4" ht="16.5" hidden="1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313">
        <f>参数调整!$K$41*怪物掉落配置方案!$D4635</f>
        <v>0.83425324774103271</v>
      </c>
    </row>
    <row r="10792" spans="1:4" ht="16.5" hidden="1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313">
        <f>参数调整!$K$41*怪物掉落配置方案!$D4636</f>
        <v>0.97502205725759805</v>
      </c>
    </row>
    <row r="10793" spans="1:4" ht="16.5" hidden="1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313">
        <f>参数调整!$K$41*怪物掉落配置方案!$D4637</f>
        <v>1.1267598649183119</v>
      </c>
    </row>
    <row r="10794" spans="1:4" ht="16.5" hidden="1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313">
        <f>参数调整!$K$41*怪物掉落配置方案!$D4638</f>
        <v>1.2894666707231737</v>
      </c>
    </row>
    <row r="10795" spans="1:4" ht="16.5" hidden="1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313">
        <f>参数调整!$K$41*怪物掉落配置方案!$D4639</f>
        <v>1.4631424746721837</v>
      </c>
    </row>
    <row r="10796" spans="1:4" ht="16.5" hidden="1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313">
        <f>参数调整!$K$41*怪物掉落配置方案!$D4640</f>
        <v>1.6477872767653412</v>
      </c>
    </row>
    <row r="10797" spans="1:4" ht="16.5" hidden="1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313">
        <f>参数调整!$K$41*怪物掉落配置方案!$D4641</f>
        <v>1.843401077002647</v>
      </c>
    </row>
    <row r="10798" spans="1:4" ht="16.5" hidden="1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313">
        <f>参数调整!$K$41*怪物掉落配置方案!$D4642</f>
        <v>2.0499838753841004</v>
      </c>
    </row>
    <row r="10799" spans="1:4" ht="16.5" hidden="1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313">
        <f>参数调整!$K$41*怪物掉落配置方案!$D4643</f>
        <v>2.2675356719097017</v>
      </c>
    </row>
    <row r="10800" spans="1:4" ht="16.5" hidden="1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313">
        <f>参数调整!$K$41*怪物掉落配置方案!$D4644</f>
        <v>2.4960564665794518</v>
      </c>
    </row>
    <row r="10801" spans="1:4" ht="16.5" hidden="1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313">
        <f>参数调整!$K$41*怪物掉落配置方案!$D4645</f>
        <v>2.7355462593933488</v>
      </c>
    </row>
    <row r="10802" spans="1:4" ht="16.5" hidden="1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313">
        <f>参数调整!$K$41*怪物掉落配置方案!$D4646</f>
        <v>2.9860050503513955</v>
      </c>
    </row>
    <row r="10803" spans="1:4" ht="16.5" hidden="1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313">
        <f>参数调整!$K$41*怪物掉落配置方案!$D4647</f>
        <v>1.754593416554118E-4</v>
      </c>
    </row>
    <row r="10804" spans="1:4" ht="16.5" hidden="1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313">
        <f>参数调整!$K$41*怪物掉落配置方案!$D4648</f>
        <v>2.2206572928263059E-4</v>
      </c>
    </row>
    <row r="10805" spans="1:4" ht="16.5" hidden="1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313">
        <f>参数调整!$K$41*怪物掉落配置方案!$D4649</f>
        <v>2.7415522133658089E-4</v>
      </c>
    </row>
    <row r="10806" spans="1:4" ht="16.5" hidden="1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313">
        <f>参数调整!$K$41*怪物掉落配置方案!$D4650</f>
        <v>3.3172781781726294E-4</v>
      </c>
    </row>
    <row r="10807" spans="1:4" ht="16.5" hidden="1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313">
        <f>参数调整!$K$41*怪物掉落配置方案!$D4651</f>
        <v>3.9478351872467639E-4</v>
      </c>
    </row>
    <row r="10808" spans="1:4" ht="16.5" hidden="1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313">
        <f>参数调整!$K$41*怪物掉落配置方案!$D4652</f>
        <v>4.6332232405882172E-4</v>
      </c>
    </row>
    <row r="10809" spans="1:4" ht="16.5" hidden="1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313">
        <f>参数调整!$K$41*怪物掉落配置方案!$D4653</f>
        <v>5.3734423381969856E-4</v>
      </c>
    </row>
    <row r="10810" spans="1:4" ht="16.5" hidden="1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313">
        <f>参数调整!$K$41*怪物掉落配置方案!$D4654</f>
        <v>6.1684924800730723E-4</v>
      </c>
    </row>
    <row r="10811" spans="1:4" ht="16.5" hidden="1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313">
        <f>参数调整!$K$41*怪物掉落配置方案!$D4655</f>
        <v>7.0183736662164718E-4</v>
      </c>
    </row>
    <row r="10812" spans="1:4" ht="16.5" hidden="1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313">
        <f>参数调整!$K$41*怪物掉落配置方案!$D4656</f>
        <v>8.8826291713052237E-4</v>
      </c>
    </row>
    <row r="10813" spans="1:4" ht="16.5" hidden="1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313">
        <f>参数调整!$K$41*怪物掉落配置方案!$D4657</f>
        <v>1.0966208853463236E-3</v>
      </c>
    </row>
    <row r="10814" spans="1:4" ht="16.5" hidden="1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313">
        <f>参数调整!$K$41*怪物掉落配置方案!$D4658</f>
        <v>1.3269112712690518E-3</v>
      </c>
    </row>
    <row r="10815" spans="1:4" ht="16.5" hidden="1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313">
        <f>参数调整!$K$41*怪物掉落配置方案!$D4659</f>
        <v>1.7134701333536306E-3</v>
      </c>
    </row>
    <row r="10816" spans="1:4" ht="16.5" hidden="1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313">
        <f>参数调整!$K$41*怪物掉落配置方案!$D4660</f>
        <v>2.467396992029228E-3</v>
      </c>
    </row>
    <row r="10817" spans="1:4" ht="16.5" hidden="1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313">
        <f>参数调整!$K$41*怪物掉落配置方案!$D4661</f>
        <v>3.3584014613731155E-3</v>
      </c>
    </row>
    <row r="10818" spans="1:4" ht="16.5" hidden="1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313">
        <f>参数调整!$K$41*怪物掉落配置方案!$D4662</f>
        <v>3.7531849800977934E-3</v>
      </c>
    </row>
    <row r="10819" spans="1:4" ht="16.5" hidden="1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313">
        <f>参数调整!$K$41*怪物掉落配置方案!$D4663</f>
        <v>4.3864835413852943E-3</v>
      </c>
    </row>
    <row r="10820" spans="1:4" ht="16.5" hidden="1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313">
        <f>参数调整!$K$41*怪物掉落配置方案!$D4664</f>
        <v>5.0691300425133807E-3</v>
      </c>
    </row>
    <row r="10821" spans="1:4" ht="16.5" hidden="1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313">
        <f>参数调整!$K$41*怪物掉落配置方案!$D4665</f>
        <v>5.8011244834820508E-3</v>
      </c>
    </row>
    <row r="10822" spans="1:4" ht="16.5" hidden="1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313">
        <f>参数调整!$K$41*怪物掉落配置方案!$D4666</f>
        <v>6.582466864291309E-3</v>
      </c>
    </row>
    <row r="10823" spans="1:4" ht="16.5" hidden="1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313">
        <f>参数调整!$K$41*怪物掉落配置方案!$D4667</f>
        <v>7.4131571849411475E-3</v>
      </c>
    </row>
    <row r="10824" spans="1:4" ht="16.5" hidden="1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313">
        <f>参数调整!$K$41*怪物掉落配置方案!$D4668</f>
        <v>8.293195445431575E-3</v>
      </c>
    </row>
    <row r="10825" spans="1:4" ht="16.5" hidden="1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313">
        <f>参数调整!$K$41*怪物掉落配置方案!$D4669</f>
        <v>9.2225816457625811E-3</v>
      </c>
    </row>
    <row r="10826" spans="1:4" ht="16.5" hidden="1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313">
        <f>参数调整!$K$41*怪物掉落配置方案!$D4670</f>
        <v>1.0201315785934173E-2</v>
      </c>
    </row>
    <row r="10827" spans="1:4" ht="16.5" hidden="1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313">
        <f>参数调整!$K$41*怪物掉落配置方案!$D4671</f>
        <v>1.1229397865946355E-2</v>
      </c>
    </row>
    <row r="10828" spans="1:4" ht="16.5" hidden="1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313">
        <f>参数调整!$K$41*怪物掉落配置方案!$D4672</f>
        <v>1.2306827885799117E-2</v>
      </c>
    </row>
    <row r="10829" spans="1:4" ht="16.5" hidden="1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313">
        <f>参数调整!$K$41*怪物掉落配置方案!$D4673</f>
        <v>1.3433605845492465E-2</v>
      </c>
    </row>
    <row r="10830" spans="1:4" ht="16.5" hidden="1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313">
        <f>参数调整!$K$41*怪物掉落配置方案!$D4674</f>
        <v>2.7240556334352925E-3</v>
      </c>
    </row>
    <row r="10831" spans="1:4" ht="16.5" hidden="1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313">
        <f>参数调整!$K$41*怪物掉落配置方案!$D4675</f>
        <v>3.4476329110665425E-3</v>
      </c>
    </row>
    <row r="10832" spans="1:4" ht="16.5" hidden="1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313">
        <f>参数调整!$K$41*怪物掉落配置方案!$D4676</f>
        <v>4.2563369272426441E-3</v>
      </c>
    </row>
    <row r="10833" spans="1:4" ht="16.5" hidden="1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313">
        <f>参数调整!$K$41*怪物掉落配置方案!$D4677</f>
        <v>5.1501676819635991E-3</v>
      </c>
    </row>
    <row r="10834" spans="1:4" ht="16.5" hidden="1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313">
        <f>参数调整!$K$41*怪物掉落配置方案!$D4678</f>
        <v>6.1291251752294065E-3</v>
      </c>
    </row>
    <row r="10835" spans="1:4" ht="16.5" hidden="1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313">
        <f>参数调整!$K$41*怪物掉落配置方案!$D4679</f>
        <v>7.1932094070400691E-3</v>
      </c>
    </row>
    <row r="10836" spans="1:4" ht="16.5" hidden="1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313">
        <f>参数调整!$K$41*怪物掉落配置方案!$D4680</f>
        <v>8.3424203773955815E-3</v>
      </c>
    </row>
    <row r="10837" spans="1:4" ht="16.5" hidden="1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313">
        <f>参数调整!$K$41*怪物掉落配置方案!$D4681</f>
        <v>9.5767580862959507E-3</v>
      </c>
    </row>
    <row r="10838" spans="1:4" ht="16.5" hidden="1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313">
        <f>参数调整!$K$41*怪物掉落配置方案!$D4682</f>
        <v>1.089622253374117E-2</v>
      </c>
    </row>
    <row r="10839" spans="1:4" ht="16.5" hidden="1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313">
        <f>参数调整!$K$41*怪物掉落配置方案!$D4683</f>
        <v>1.3790531644266166E-2</v>
      </c>
    </row>
    <row r="10840" spans="1:4" ht="16.5" hidden="1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313">
        <f>参数调整!$K$41*怪物掉落配置方案!$D4684</f>
        <v>1.7025347708970576E-2</v>
      </c>
    </row>
    <row r="10841" spans="1:4" ht="16.5" hidden="1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313">
        <f>参数调整!$K$41*怪物掉落配置方案!$D4685</f>
        <v>2.0600670727854396E-2</v>
      </c>
    </row>
    <row r="10842" spans="1:4" ht="16.5" hidden="1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313">
        <f>参数调整!$K$41*怪物掉落配置方案!$D4686</f>
        <v>2.6602105795266527E-2</v>
      </c>
    </row>
    <row r="10843" spans="1:4" ht="16.5" hidden="1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313">
        <f>参数调整!$K$41*怪物掉落配置方案!$D4687</f>
        <v>3.8307032345183789E-2</v>
      </c>
    </row>
    <row r="10844" spans="1:4" ht="16.5" hidden="1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313">
        <f>参数调整!$K$41*怪物掉落配置方案!$D4688</f>
        <v>5.2140127358722393E-2</v>
      </c>
    </row>
    <row r="10845" spans="1:4" ht="16.5" hidden="1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313">
        <f>参数调整!$K$41*怪物掉落配置方案!$D4689</f>
        <v>5.82692525339518E-2</v>
      </c>
    </row>
    <row r="10846" spans="1:4" ht="16.5" hidden="1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313">
        <f>参数调整!$K$41*怪物掉落配置方案!$D4690</f>
        <v>6.8101390835882306E-2</v>
      </c>
    </row>
    <row r="10847" spans="1:4" ht="16.5" hidden="1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313">
        <f>参数调整!$K$41*怪物掉落配置方案!$D4691</f>
        <v>7.8699669784716486E-2</v>
      </c>
    </row>
    <row r="10848" spans="1:4" ht="16.5" hidden="1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313">
        <f>参数调整!$K$41*怪物掉落配置方案!$D4692</f>
        <v>9.0064089380454335E-2</v>
      </c>
    </row>
    <row r="10849" spans="1:4" ht="16.5" hidden="1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313">
        <f>参数调整!$K$41*怪物掉落配置方案!$D4693</f>
        <v>0.10219464962309591</v>
      </c>
    </row>
    <row r="10850" spans="1:4" ht="16.5" hidden="1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313">
        <f>参数调整!$K$41*怪物掉落配置方案!$D4694</f>
        <v>0.11509135051264108</v>
      </c>
    </row>
    <row r="10851" spans="1:4" ht="16.5" hidden="1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313">
        <f>参数调整!$K$41*怪物掉落配置方案!$D4695</f>
        <v>0.12875419204909</v>
      </c>
    </row>
    <row r="10852" spans="1:4" ht="16.5" hidden="1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313">
        <f>参数调整!$K$41*怪物掉落配置方案!$D4696</f>
        <v>0.14318317423244253</v>
      </c>
    </row>
    <row r="10853" spans="1:4" ht="16.5" hidden="1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313">
        <f>参数调整!$K$41*怪物掉落配置方案!$D4697</f>
        <v>0.15837829706269874</v>
      </c>
    </row>
    <row r="10854" spans="1:4" ht="16.5" hidden="1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313">
        <f>参数调整!$K$41*怪物掉落配置方案!$D4698</f>
        <v>0.17433956053985872</v>
      </c>
    </row>
    <row r="10855" spans="1:4" ht="16.5" hidden="1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313">
        <f>参数调整!$K$41*怪物掉落配置方案!$D4699</f>
        <v>0.19106696466392231</v>
      </c>
    </row>
    <row r="10856" spans="1:4" ht="16.5" hidden="1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313">
        <f>参数调整!$K$41*怪物掉落配置方案!$D4700</f>
        <v>0.20856050943488957</v>
      </c>
    </row>
    <row r="10857" spans="1:4" ht="16.5" hidden="1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313">
        <f>参数调整!$K$41*怪物掉落配置方案!$D4701</f>
        <v>1.5565533767737526E-2</v>
      </c>
    </row>
    <row r="10858" spans="1:4" ht="16.5" hidden="1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313">
        <f>参数调整!$K$41*怪物掉落配置方案!$D4702</f>
        <v>1.9700128674792809E-2</v>
      </c>
    </row>
    <row r="10859" spans="1:4" ht="16.5" hidden="1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313">
        <f>参数调整!$K$41*怪物掉落配置方案!$D4703</f>
        <v>2.4321146512089879E-2</v>
      </c>
    </row>
    <row r="10860" spans="1:4" ht="16.5" hidden="1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313">
        <f>参数调整!$K$41*怪物掉落配置方案!$D4704</f>
        <v>2.942858727962876E-2</v>
      </c>
    </row>
    <row r="10861" spans="1:4" ht="16.5" hidden="1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313">
        <f>参数调整!$K$41*怪物掉落配置方案!$D4705</f>
        <v>3.5022450977409414E-2</v>
      </c>
    </row>
    <row r="10862" spans="1:4" ht="16.5" hidden="1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313">
        <f>参数调整!$K$41*怪物掉落配置方案!$D4706</f>
        <v>4.1102737605431906E-2</v>
      </c>
    </row>
    <row r="10863" spans="1:4" ht="16.5" hidden="1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313">
        <f>参数调整!$K$41*怪物掉落配置方案!$D4707</f>
        <v>4.7669447163696158E-2</v>
      </c>
    </row>
    <row r="10864" spans="1:4" ht="16.5" hidden="1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313">
        <f>参数调整!$K$41*怪物掉落配置方案!$D4708</f>
        <v>5.4722579652202223E-2</v>
      </c>
    </row>
    <row r="10865" spans="1:4" ht="16.5" hidden="1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313">
        <f>参数调整!$K$41*怪物掉落配置方案!$D4709</f>
        <v>6.2262135070950103E-2</v>
      </c>
    </row>
    <row r="10866" spans="1:4" ht="16.5" hidden="1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313">
        <f>参数调整!$K$41*怪物掉落配置方案!$D4710</f>
        <v>7.8800514699171223E-2</v>
      </c>
    </row>
    <row r="10867" spans="1:4" ht="16.5" hidden="1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313">
        <f>参数调整!$K$41*怪物掉落配置方案!$D4711</f>
        <v>9.7284586048359503E-2</v>
      </c>
    </row>
    <row r="10868" spans="1:4" ht="16.5" hidden="1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313">
        <f>参数调整!$K$41*怪物掉落配置方案!$D4712</f>
        <v>0.11771434911851504</v>
      </c>
    </row>
    <row r="10869" spans="1:4" ht="16.5" hidden="1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313">
        <f>参数调整!$K$41*怪物掉落配置方案!$D4713</f>
        <v>0.15200716570056175</v>
      </c>
    </row>
    <row r="10870" spans="1:4" ht="16.5" hidden="1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313">
        <f>参数调整!$K$41*怪物掉落配置方案!$D4714</f>
        <v>0.21889031860880889</v>
      </c>
    </row>
    <row r="10871" spans="1:4" ht="16.5" hidden="1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313">
        <f>参数调整!$K$41*怪物掉落配置方案!$D4715</f>
        <v>0.29793404477310098</v>
      </c>
    </row>
    <row r="10872" spans="1:4" ht="16.5" hidden="1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313">
        <f>参数调整!$K$41*怪物掉落配置方案!$D4716</f>
        <v>0.33295649575051051</v>
      </c>
    </row>
    <row r="10873" spans="1:4" ht="16.5" hidden="1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313">
        <f>参数调整!$K$41*怪物掉落配置方案!$D4717</f>
        <v>0.38913834419343801</v>
      </c>
    </row>
    <row r="10874" spans="1:4" ht="16.5" hidden="1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313">
        <f>参数调整!$K$41*怪物掉落配置方案!$D4718</f>
        <v>0.44969799900854179</v>
      </c>
    </row>
    <row r="10875" spans="1:4" ht="16.5" hidden="1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313">
        <f>参数调整!$K$41*怪物掉落配置方案!$D4719</f>
        <v>0.51463546019582185</v>
      </c>
    </row>
    <row r="10876" spans="1:4" ht="16.5" hidden="1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313">
        <f>参数调整!$K$41*怪物掉落配置方案!$D4720</f>
        <v>0.58395072775527812</v>
      </c>
    </row>
    <row r="10877" spans="1:4" ht="16.5" hidden="1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313">
        <f>参数调整!$K$41*怪物掉落配置方案!$D4721</f>
        <v>0.65764380168691028</v>
      </c>
    </row>
    <row r="10878" spans="1:4" ht="16.5" hidden="1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313">
        <f>参数调整!$K$41*怪物掉落配置方案!$D4722</f>
        <v>0.73571468199071899</v>
      </c>
    </row>
    <row r="10879" spans="1:4" ht="16.5" hidden="1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313">
        <f>参数调整!$K$41*怪物掉落配置方案!$D4723</f>
        <v>0.81816336866670347</v>
      </c>
    </row>
    <row r="10880" spans="1:4" ht="16.5" hidden="1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313">
        <f>参数调整!$K$41*怪物掉落配置方案!$D4724</f>
        <v>0.9049898617148644</v>
      </c>
    </row>
    <row r="10881" spans="1:4" ht="16.5" hidden="1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313">
        <f>参数调整!$K$41*怪物掉落配置方案!$D4725</f>
        <v>0.99619416113520154</v>
      </c>
    </row>
    <row r="10882" spans="1:4" ht="16.5" hidden="1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313">
        <f>参数调整!$K$41*怪物掉落配置方案!$D4726</f>
        <v>1.0917762669277147</v>
      </c>
    </row>
    <row r="10883" spans="1:4" ht="16.5" hidden="1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313">
        <f>参数调整!$K$41*怪物掉落配置方案!$D4727</f>
        <v>1.1917361790924041</v>
      </c>
    </row>
    <row r="10884" spans="1:4" ht="16.5" hidden="1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313">
        <f>参数调整!$K$41*怪物掉落配置方案!$D4728</f>
        <v>1.9495482406156873E-5</v>
      </c>
    </row>
    <row r="10885" spans="1:4" ht="16.5" hidden="1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313">
        <f>参数调整!$K$41*怪物掉落配置方案!$D4729</f>
        <v>2.4673969920292291E-5</v>
      </c>
    </row>
    <row r="10886" spans="1:4" ht="16.5" hidden="1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313">
        <f>参数调整!$K$41*怪物掉落配置方案!$D4730</f>
        <v>3.0461691259620107E-5</v>
      </c>
    </row>
    <row r="10887" spans="1:4" ht="16.5" hidden="1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313">
        <f>参数调整!$K$41*怪物掉落配置方案!$D4731</f>
        <v>3.6858646424140336E-5</v>
      </c>
    </row>
    <row r="10888" spans="1:4" ht="16.5" hidden="1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313">
        <f>参数调整!$K$41*怪物掉落配置方案!$D4732</f>
        <v>4.3864835413852949E-5</v>
      </c>
    </row>
    <row r="10889" spans="1:4" ht="16.5" hidden="1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313">
        <f>参数调整!$K$41*怪物掉落配置方案!$D4733</f>
        <v>5.1480258228757992E-5</v>
      </c>
    </row>
    <row r="10890" spans="1:4" ht="16.5" hidden="1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313">
        <f>参数调整!$K$41*怪物掉落配置方案!$D4734</f>
        <v>5.9704914868855406E-5</v>
      </c>
    </row>
    <row r="10891" spans="1:4" ht="16.5" hidden="1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313">
        <f>参数调整!$K$41*怪物掉落配置方案!$D4735</f>
        <v>6.8538805334145237E-5</v>
      </c>
    </row>
    <row r="10892" spans="1:4" ht="16.5" hidden="1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313">
        <f>参数调整!$K$41*怪物掉落配置方案!$D4736</f>
        <v>7.7981929624627492E-5</v>
      </c>
    </row>
    <row r="10893" spans="1:4" ht="16.5" hidden="1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313">
        <f>参数调整!$K$41*怪物掉落配置方案!$D4737</f>
        <v>9.8695879681169165E-5</v>
      </c>
    </row>
    <row r="10894" spans="1:4" ht="16.5" hidden="1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313">
        <f>参数调整!$K$41*怪物掉落配置方案!$D4738</f>
        <v>1.2184676503848043E-4</v>
      </c>
    </row>
    <row r="10895" spans="1:4" ht="16.5" hidden="1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313">
        <f>参数调整!$K$41*怪物掉落配置方案!$D4739</f>
        <v>1.4743458569656134E-4</v>
      </c>
    </row>
    <row r="10896" spans="1:4" ht="16.5" hidden="1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313">
        <f>参数调整!$K$41*怪物掉落配置方案!$D4740</f>
        <v>1.9038557037262565E-4</v>
      </c>
    </row>
    <row r="10897" spans="1:4" ht="16.5" hidden="1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313">
        <f>参数调整!$K$41*怪物掉落配置方案!$D4741</f>
        <v>2.7415522133658089E-4</v>
      </c>
    </row>
    <row r="10898" spans="1:4" ht="16.5" hidden="1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313">
        <f>参数调整!$K$41*怪物掉落配置方案!$D4742</f>
        <v>3.7315571793034615E-4</v>
      </c>
    </row>
    <row r="10899" spans="1:4" ht="16.5" hidden="1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313">
        <f>参数调整!$K$41*怪物掉落配置方案!$D4743</f>
        <v>4.1702055334419933E-4</v>
      </c>
    </row>
    <row r="10900" spans="1:4" ht="16.5" hidden="1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313">
        <f>参数调整!$K$41*怪物掉落配置方案!$D4744</f>
        <v>4.8738706015392171E-4</v>
      </c>
    </row>
    <row r="10901" spans="1:4" ht="16.5" hidden="1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313">
        <f>参数调整!$K$41*怪物掉落配置方案!$D4745</f>
        <v>5.6323667139037575E-4</v>
      </c>
    </row>
    <row r="10902" spans="1:4" ht="16.5" hidden="1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313">
        <f>参数调整!$K$41*怪物掉落配置方案!$D4746</f>
        <v>6.445693870535614E-4</v>
      </c>
    </row>
    <row r="10903" spans="1:4" ht="16.5" hidden="1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313">
        <f>参数调整!$K$41*怪物掉落配置方案!$D4747</f>
        <v>7.31385207143479E-4</v>
      </c>
    </row>
    <row r="10904" spans="1:4" ht="16.5" hidden="1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313">
        <f>参数调整!$K$41*怪物掉落配置方案!$D4748</f>
        <v>8.2368413166012777E-4</v>
      </c>
    </row>
    <row r="10905" spans="1:4" ht="16.5" hidden="1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313">
        <f>参数调整!$K$41*怪物掉落配置方案!$D4749</f>
        <v>9.2146616060350827E-4</v>
      </c>
    </row>
    <row r="10906" spans="1:4" ht="16.5" hidden="1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313">
        <f>参数调整!$K$41*怪物掉落配置方案!$D4750</f>
        <v>1.0247312939736203E-3</v>
      </c>
    </row>
    <row r="10907" spans="1:4" ht="16.5" hidden="1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313">
        <f>参数调整!$K$41*怪物掉落配置方案!$D4751</f>
        <v>1.1334795317704638E-3</v>
      </c>
    </row>
    <row r="10908" spans="1:4" ht="16.5" hidden="1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313">
        <f>参数调整!$K$41*怪物掉落配置方案!$D4752</f>
        <v>1.2477108739940399E-3</v>
      </c>
    </row>
    <row r="10909" spans="1:4" ht="16.5" hidden="1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313">
        <f>参数调整!$K$41*怪物掉落配置方案!$D4753</f>
        <v>1.3674253206443464E-3</v>
      </c>
    </row>
    <row r="10910" spans="1:4" ht="16.5" hidden="1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313">
        <f>参数调整!$K$41*怪物掉落配置方案!$D4754</f>
        <v>1.4926228717213855E-3</v>
      </c>
    </row>
    <row r="10911" spans="1:4" ht="16.5" hidden="1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313">
        <f>参数调整!$K$41*怪物掉落配置方案!$D4755</f>
        <v>3.5472643731095737E-3</v>
      </c>
    </row>
    <row r="10912" spans="1:4" ht="16.5" hidden="1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313">
        <f>参数调整!$K$41*怪物掉落配置方案!$D4756</f>
        <v>4.4895064722168037E-3</v>
      </c>
    </row>
    <row r="10913" spans="1:4" ht="16.5" hidden="1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313">
        <f>参数调整!$K$41*怪物掉落配置方案!$D4757</f>
        <v>5.5426005829837073E-3</v>
      </c>
    </row>
    <row r="10914" spans="1:4" ht="16.5" hidden="1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313">
        <f>参数调整!$K$41*怪物掉落配置方案!$D4758</f>
        <v>6.7065467054102865E-3</v>
      </c>
    </row>
    <row r="10915" spans="1:4" ht="16.5" hidden="1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313">
        <f>参数调整!$K$41*怪物掉落配置方案!$D4759</f>
        <v>7.9813448394965378E-3</v>
      </c>
    </row>
    <row r="10916" spans="1:4" ht="16.5" hidden="1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313">
        <f>参数调整!$K$41*怪物掉落配置方案!$D4760</f>
        <v>9.3669949852424675E-3</v>
      </c>
    </row>
    <row r="10917" spans="1:4" ht="16.5" hidden="1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313">
        <f>参数调整!$K$41*怪物掉落配置方案!$D4761</f>
        <v>1.0863497142648063E-2</v>
      </c>
    </row>
    <row r="10918" spans="1:4" ht="16.5" hidden="1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313">
        <f>参数调整!$K$41*怪物掉落配置方案!$D4762</f>
        <v>1.2470851311713344E-2</v>
      </c>
    </row>
    <row r="10919" spans="1:4" ht="16.5" hidden="1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313">
        <f>参数调整!$K$41*怪物掉落配置方案!$D4763</f>
        <v>1.4189057492438295E-2</v>
      </c>
    </row>
    <row r="10920" spans="1:4" ht="16.5" hidden="1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313">
        <f>参数调整!$K$41*怪物掉落配置方案!$D4764</f>
        <v>1.7958025888867215E-2</v>
      </c>
    </row>
    <row r="10921" spans="1:4" ht="16.5" hidden="1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313">
        <f>参数调整!$K$41*怪物掉落配置方案!$D4765</f>
        <v>2.2170402331934826E-2</v>
      </c>
    </row>
    <row r="10922" spans="1:4" ht="16.5" hidden="1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313">
        <f>参数调整!$K$41*怪物掉落配置方案!$D4766</f>
        <v>2.6826186821641146E-2</v>
      </c>
    </row>
    <row r="10923" spans="1:4" ht="16.5" hidden="1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313">
        <f>参数调整!$K$41*怪物掉落配置方案!$D4767</f>
        <v>3.4641253643648166E-2</v>
      </c>
    </row>
    <row r="10924" spans="1:4" ht="16.5" hidden="1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313">
        <f>参数调整!$K$41*怪物掉落配置方案!$D4768</f>
        <v>4.9883405246853363E-2</v>
      </c>
    </row>
    <row r="10925" spans="1:4" ht="16.5" hidden="1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313">
        <f>参数调整!$K$41*怪物掉落配置方案!$D4769</f>
        <v>6.7896857141550415E-2</v>
      </c>
    </row>
    <row r="10926" spans="1:4" ht="16.5" hidden="1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313">
        <f>参数调整!$K$41*怪物掉落配置方案!$D4770</f>
        <v>7.5878201981046972E-2</v>
      </c>
    </row>
    <row r="10927" spans="1:4" ht="16.5" hidden="1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313">
        <f>参数调整!$K$41*怪物掉落配置方案!$D4771</f>
        <v>8.8681609327739302E-2</v>
      </c>
    </row>
    <row r="10928" spans="1:4" ht="16.5" hidden="1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313">
        <f>参数调整!$K$41*怪物掉落配置方案!$D4772</f>
        <v>0.10248268477936873</v>
      </c>
    </row>
    <row r="10929" spans="1:4" ht="16.5" hidden="1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313">
        <f>参数调整!$K$41*怪物掉落配置方案!$D4773</f>
        <v>0.11728142833593524</v>
      </c>
    </row>
    <row r="10930" spans="1:4" ht="16.5" hidden="1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313">
        <f>参数调整!$K$41*怪物掉落配置方案!$D4774</f>
        <v>0.13307783999743883</v>
      </c>
    </row>
    <row r="10931" spans="1:4" ht="16.5" hidden="1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313">
        <f>参数调整!$K$41*怪物掉落配置方案!$D4775</f>
        <v>0.14987191976387945</v>
      </c>
    </row>
    <row r="10932" spans="1:4" ht="16.5" hidden="1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313">
        <f>参数调整!$K$41*怪物掉落配置方案!$D4776</f>
        <v>0.16766366763525717</v>
      </c>
    </row>
    <row r="10933" spans="1:4" ht="16.5" hidden="1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313">
        <f>参数调整!$K$41*怪物掉落配置方案!$D4777</f>
        <v>0.18645308361157192</v>
      </c>
    </row>
    <row r="10934" spans="1:4" ht="16.5" hidden="1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313">
        <f>参数调整!$K$41*怪物掉落配置方案!$D4778</f>
        <v>0.20624016769282372</v>
      </c>
    </row>
    <row r="10935" spans="1:4" ht="16.5" hidden="1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313">
        <f>参数调整!$K$41*怪物掉落配置方案!$D4779</f>
        <v>0.22702491987901269</v>
      </c>
    </row>
    <row r="10936" spans="1:4" ht="16.5" hidden="1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313">
        <f>参数调整!$K$41*怪物掉落配置方案!$D4780</f>
        <v>0.24880734017013867</v>
      </c>
    </row>
    <row r="10937" spans="1:4" ht="16.5" hidden="1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313">
        <f>参数调整!$K$41*怪物掉落配置方案!$D4781</f>
        <v>0.27158742856620166</v>
      </c>
    </row>
    <row r="10938" spans="1:4" ht="16.5" hidden="1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313">
        <f>参数调整!$K$41*怪物掉落配置方案!$D4782</f>
        <v>3.5472643731095737E-3</v>
      </c>
    </row>
    <row r="10939" spans="1:4" ht="16.5" hidden="1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313">
        <f>参数调整!$K$41*怪物掉落配置方案!$D4783</f>
        <v>4.4895064722168037E-3</v>
      </c>
    </row>
    <row r="10940" spans="1:4" ht="16.5" hidden="1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313">
        <f>参数调整!$K$41*怪物掉落配置方案!$D4784</f>
        <v>5.5426005829837073E-3</v>
      </c>
    </row>
    <row r="10941" spans="1:4" ht="16.5" hidden="1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313">
        <f>参数调整!$K$41*怪物掉落配置方案!$D4785</f>
        <v>6.7065467054102865E-3</v>
      </c>
    </row>
    <row r="10942" spans="1:4" ht="16.5" hidden="1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313">
        <f>参数调整!$K$41*怪物掉落配置方案!$D4786</f>
        <v>7.9813448394965378E-3</v>
      </c>
    </row>
    <row r="10943" spans="1:4" ht="16.5" hidden="1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313">
        <f>参数调整!$K$41*怪物掉落配置方案!$D4787</f>
        <v>9.3669949852424675E-3</v>
      </c>
    </row>
    <row r="10944" spans="1:4" ht="16.5" hidden="1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313">
        <f>参数调整!$K$41*怪物掉落配置方案!$D4788</f>
        <v>1.0863497142648063E-2</v>
      </c>
    </row>
    <row r="10945" spans="1:4" ht="16.5" hidden="1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313">
        <f>参数调整!$K$41*怪物掉落配置方案!$D4789</f>
        <v>1.2470851311713344E-2</v>
      </c>
    </row>
    <row r="10946" spans="1:4" ht="16.5" hidden="1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313">
        <f>参数调整!$K$41*怪物掉落配置方案!$D4790</f>
        <v>1.4189057492438295E-2</v>
      </c>
    </row>
    <row r="10947" spans="1:4" ht="16.5" hidden="1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313">
        <f>参数调整!$K$41*怪物掉落配置方案!$D4791</f>
        <v>1.7958025888867215E-2</v>
      </c>
    </row>
    <row r="10948" spans="1:4" ht="16.5" hidden="1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313">
        <f>参数调整!$K$41*怪物掉落配置方案!$D4792</f>
        <v>2.2170402331934826E-2</v>
      </c>
    </row>
    <row r="10949" spans="1:4" ht="16.5" hidden="1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313">
        <f>参数调整!$K$41*怪物掉落配置方案!$D4793</f>
        <v>2.6826186821641146E-2</v>
      </c>
    </row>
    <row r="10950" spans="1:4" ht="16.5" hidden="1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313">
        <f>参数调整!$K$41*怪物掉落配置方案!$D4794</f>
        <v>3.4641253643648166E-2</v>
      </c>
    </row>
    <row r="10951" spans="1:4" ht="16.5" hidden="1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313">
        <f>参数调整!$K$41*怪物掉落配置方案!$D4795</f>
        <v>4.9883405246853363E-2</v>
      </c>
    </row>
    <row r="10952" spans="1:4" ht="16.5" hidden="1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313">
        <f>参数调整!$K$41*怪物掉落配置方案!$D4796</f>
        <v>6.7896857141550415E-2</v>
      </c>
    </row>
    <row r="10953" spans="1:4" ht="16.5" hidden="1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313">
        <f>参数调整!$K$41*怪物掉落配置方案!$D4797</f>
        <v>7.5878201981046972E-2</v>
      </c>
    </row>
    <row r="10954" spans="1:4" ht="16.5" hidden="1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313">
        <f>参数调整!$K$41*怪物掉落配置方案!$D4798</f>
        <v>8.8681609327739302E-2</v>
      </c>
    </row>
    <row r="10955" spans="1:4" ht="16.5" hidden="1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313">
        <f>参数调整!$K$41*怪物掉落配置方案!$D4799</f>
        <v>0.10248268477936873</v>
      </c>
    </row>
    <row r="10956" spans="1:4" ht="16.5" hidden="1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313">
        <f>参数调整!$K$41*怪物掉落配置方案!$D4800</f>
        <v>0.11728142833593524</v>
      </c>
    </row>
    <row r="10957" spans="1:4" ht="16.5" hidden="1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313">
        <f>参数调整!$K$41*怪物掉落配置方案!$D4801</f>
        <v>0.13307783999743883</v>
      </c>
    </row>
    <row r="10958" spans="1:4" ht="16.5" hidden="1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313">
        <f>参数调整!$K$41*怪物掉落配置方案!$D4802</f>
        <v>0.14987191976387945</v>
      </c>
    </row>
    <row r="10959" spans="1:4" ht="16.5" hidden="1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313">
        <f>参数调整!$K$41*怪物掉落配置方案!$D4803</f>
        <v>0.16766366763525717</v>
      </c>
    </row>
    <row r="10960" spans="1:4" ht="16.5" hidden="1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313">
        <f>参数调整!$K$41*怪物掉落配置方案!$D4804</f>
        <v>0.18645308361157192</v>
      </c>
    </row>
    <row r="10961" spans="1:4" ht="16.5" hidden="1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313">
        <f>参数调整!$K$41*怪物掉落配置方案!$D4805</f>
        <v>0.20624016769282372</v>
      </c>
    </row>
    <row r="10962" spans="1:4" ht="16.5" hidden="1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313">
        <f>参数调整!$K$41*怪物掉落配置方案!$D4806</f>
        <v>0.22702491987901269</v>
      </c>
    </row>
    <row r="10963" spans="1:4" ht="16.5" hidden="1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313">
        <f>参数调整!$K$41*怪物掉落配置方案!$D4807</f>
        <v>0.24880734017013867</v>
      </c>
    </row>
    <row r="10964" spans="1:4" ht="16.5" hidden="1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313">
        <f>参数调整!$K$41*怪物掉落配置方案!$D4808</f>
        <v>0.27158742856620166</v>
      </c>
    </row>
    <row r="10965" spans="1:4" ht="16.5" hidden="1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313">
        <f>参数调整!$K$41*怪物掉落配置方案!$D4809</f>
        <v>9.0930664151632243E-2</v>
      </c>
    </row>
    <row r="10966" spans="1:4" ht="16.5" hidden="1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313">
        <f>参数调整!$K$41*怪物掉落配置方案!$D4810</f>
        <v>0.11508412181690958</v>
      </c>
    </row>
    <row r="10967" spans="1:4" ht="16.5" hidden="1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313">
        <f>参数调整!$K$41*怪物掉落配置方案!$D4811</f>
        <v>0.14207916273692539</v>
      </c>
    </row>
    <row r="10968" spans="1:4" ht="16.5" hidden="1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313">
        <f>参数调整!$K$41*怪物掉落配置方案!$D4812</f>
        <v>0.17191578691167972</v>
      </c>
    </row>
    <row r="10969" spans="1:4" ht="16.5" hidden="1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313">
        <f>参数调整!$K$41*怪物掉落配置方案!$D4813</f>
        <v>0.20459399434117248</v>
      </c>
    </row>
    <row r="10970" spans="1:4" ht="16.5" hidden="1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313">
        <f>参数调整!$K$41*怪物掉落配置方案!$D4814</f>
        <v>0.24011378502540387</v>
      </c>
    </row>
    <row r="10971" spans="1:4" ht="16.5" hidden="1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313">
        <f>参数调整!$K$41*怪物掉落配置方案!$D4815</f>
        <v>0.27847515896437369</v>
      </c>
    </row>
    <row r="10972" spans="1:4" ht="16.5" hidden="1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313">
        <f>参数调整!$K$41*怪物掉落配置方案!$D4816</f>
        <v>0.31967811615808206</v>
      </c>
    </row>
    <row r="10973" spans="1:4" ht="16.5" hidden="1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313">
        <f>参数调整!$K$41*怪物掉落配置方案!$D4817</f>
        <v>0.36372265660652903</v>
      </c>
    </row>
    <row r="10974" spans="1:4" ht="16.5" hidden="1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313">
        <f>参数调整!$K$41*怪物掉落配置方案!$D4818</f>
        <v>0.46033648726763832</v>
      </c>
    </row>
    <row r="10975" spans="1:4" ht="16.5" hidden="1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313">
        <f>参数调整!$K$41*怪物掉落配置方案!$D4819</f>
        <v>0.56831665094770145</v>
      </c>
    </row>
    <row r="10976" spans="1:4" ht="16.5" hidden="1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313">
        <f>参数调整!$K$41*怪物掉落配置方案!$D4820</f>
        <v>0.68766314764671888</v>
      </c>
    </row>
    <row r="10977" spans="1:4" ht="16.5" hidden="1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313">
        <f>参数调整!$K$41*怪物掉落配置方案!$D4821</f>
        <v>0.88799476710578351</v>
      </c>
    </row>
    <row r="10978" spans="1:4" ht="16.5" hidden="1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313">
        <f>参数调整!$K$41*怪物掉落配置方案!$D4822</f>
        <v>1.278712464632328</v>
      </c>
    </row>
    <row r="10979" spans="1:4" ht="16.5" hidden="1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313">
        <f>参数调整!$K$41*怪物掉落配置方案!$D4823</f>
        <v>1.7404697435273355</v>
      </c>
    </row>
    <row r="10980" spans="1:4" ht="16.5" hidden="1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313">
        <f>参数调整!$K$41*怪物掉落配置方案!$D4824</f>
        <v>1.9450637378685083</v>
      </c>
    </row>
    <row r="10981" spans="1:4" ht="16.5" hidden="1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313">
        <f>参数调整!$K$41*怪物掉落配置方案!$D4825</f>
        <v>2.2732666037908058</v>
      </c>
    </row>
    <row r="10982" spans="1:4" ht="16.5" hidden="1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313">
        <f>参数调整!$K$41*怪物掉落配置方案!$D4826</f>
        <v>2.6270437190057496</v>
      </c>
    </row>
    <row r="10983" spans="1:4" ht="16.5" hidden="1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313">
        <f>参数调整!$K$41*怪物掉落配置方案!$D4827</f>
        <v>3.0063950835133402</v>
      </c>
    </row>
    <row r="10984" spans="1:4" ht="16.5" hidden="1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313">
        <f>参数调整!$K$41*怪物掉落配置方案!$D4828</f>
        <v>3.4113206973135783</v>
      </c>
    </row>
    <row r="10985" spans="1:4" ht="16.5" hidden="1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313">
        <f>参数调整!$K$41*怪物掉落配置方案!$D4829</f>
        <v>3.8418205604064619</v>
      </c>
    </row>
    <row r="10986" spans="1:4" ht="16.5" hidden="1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313">
        <f>参数调整!$K$41*怪物掉落配置方案!$D4830</f>
        <v>4.297894672791994</v>
      </c>
    </row>
    <row r="10987" spans="1:4" ht="16.5" hidden="1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313">
        <f>参数调整!$K$41*怪物掉落配置方案!$D4831</f>
        <v>4.7795430344701693</v>
      </c>
    </row>
    <row r="10988" spans="1:4" ht="16.5" hidden="1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313">
        <f>参数调整!$K$41*怪物掉落配置方案!$D4832</f>
        <v>5.2867656454409921</v>
      </c>
    </row>
    <row r="10989" spans="1:4" ht="16.5" hidden="1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313">
        <f>参数调整!$K$41*怪物掉落配置方案!$D4833</f>
        <v>5.8195625057044635</v>
      </c>
    </row>
    <row r="10990" spans="1:4" ht="16.5" hidden="1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313">
        <f>参数调整!$K$41*怪物掉落配置方案!$D4834</f>
        <v>6.3779336152605808</v>
      </c>
    </row>
    <row r="10991" spans="1:4" ht="16.5" hidden="1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313">
        <f>参数调整!$K$41*怪物掉落配置方案!$D4835</f>
        <v>6.961878974109343</v>
      </c>
    </row>
    <row r="10992" spans="1:4" ht="16.5" hidden="1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313">
        <f>参数调整!$K$41*怪物掉落配置方案!$D4836</f>
        <v>5.361257661693139E-4</v>
      </c>
    </row>
    <row r="10993" spans="1:4" ht="16.5" hidden="1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313">
        <f>参数调整!$K$41*怪物掉落配置方案!$D4837</f>
        <v>6.7853417280803801E-4</v>
      </c>
    </row>
    <row r="10994" spans="1:4" ht="16.5" hidden="1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313">
        <f>参数调整!$K$41*怪物掉落配置方案!$D4838</f>
        <v>8.3769650963955297E-4</v>
      </c>
    </row>
    <row r="10995" spans="1:4" ht="16.5" hidden="1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313">
        <f>参数调整!$K$41*怪物掉落配置方案!$D4839</f>
        <v>1.0136127766638592E-3</v>
      </c>
    </row>
    <row r="10996" spans="1:4" ht="16.5" hidden="1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313">
        <f>参数调整!$K$41*怪物掉落配置方案!$D4840</f>
        <v>1.2062829738809558E-3</v>
      </c>
    </row>
    <row r="10997" spans="1:4" ht="16.5" hidden="1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313">
        <f>参数调整!$K$41*怪物掉落配置方案!$D4841</f>
        <v>1.4157071012908446E-3</v>
      </c>
    </row>
    <row r="10998" spans="1:4" ht="16.5" hidden="1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313">
        <f>参数调整!$K$41*怪物掉落配置方案!$D4842</f>
        <v>1.6418851588935234E-3</v>
      </c>
    </row>
    <row r="10999" spans="1:4" ht="16.5" hidden="1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313">
        <f>参数调整!$K$41*怪物掉落配置方案!$D4843</f>
        <v>1.8848171466889943E-3</v>
      </c>
    </row>
    <row r="11000" spans="1:4" ht="16.5" hidden="1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313">
        <f>参数调整!$K$41*怪物掉落配置方案!$D4844</f>
        <v>2.1445030646772556E-3</v>
      </c>
    </row>
    <row r="11001" spans="1:4" ht="16.5" hidden="1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313">
        <f>参数调整!$K$41*怪物掉落配置方案!$D4845</f>
        <v>2.7141366912321516E-3</v>
      </c>
    </row>
    <row r="11002" spans="1:4" ht="16.5" hidden="1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313">
        <f>参数调整!$K$41*怪物掉落配置方案!$D4846</f>
        <v>3.350786038558211E-3</v>
      </c>
    </row>
    <row r="11003" spans="1:4" ht="16.5" hidden="1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313">
        <f>参数调整!$K$41*怪物掉落配置方案!$D4847</f>
        <v>4.0544511066554359E-3</v>
      </c>
    </row>
    <row r="11004" spans="1:4" ht="16.5" hidden="1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313">
        <f>参数调整!$K$41*怪物掉落配置方案!$D4848</f>
        <v>5.2356031852472049E-3</v>
      </c>
    </row>
    <row r="11005" spans="1:4" ht="16.5" hidden="1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313">
        <f>参数调整!$K$41*怪物掉落配置方案!$D4849</f>
        <v>7.5392685867559754E-3</v>
      </c>
    </row>
    <row r="11006" spans="1:4" ht="16.5" hidden="1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313">
        <f>参数调整!$K$41*怪物掉落配置方案!$D4850</f>
        <v>1.0261782243084522E-2</v>
      </c>
    </row>
    <row r="11007" spans="1:4" ht="16.5" hidden="1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313">
        <f>参数调整!$K$41*怪物掉落配置方案!$D4851</f>
        <v>1.1468065216965482E-2</v>
      </c>
    </row>
    <row r="11008" spans="1:4" ht="16.5" hidden="1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313">
        <f>参数调整!$K$41*怪物掉落配置方案!$D4852</f>
        <v>1.3403144154232844E-2</v>
      </c>
    </row>
    <row r="11009" spans="1:4" ht="16.5" hidden="1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313">
        <f>参数调整!$K$41*怪物掉落配置方案!$D4853</f>
        <v>1.5489008463235331E-2</v>
      </c>
    </row>
    <row r="11010" spans="1:4" ht="16.5" hidden="1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313">
        <f>参数调整!$K$41*怪物掉落配置方案!$D4854</f>
        <v>1.772565814397294E-2</v>
      </c>
    </row>
    <row r="11011" spans="1:4" ht="16.5" hidden="1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313">
        <f>参数调整!$K$41*怪物掉落配置方案!$D4855</f>
        <v>2.0113093196445671E-2</v>
      </c>
    </row>
    <row r="11012" spans="1:4" ht="16.5" hidden="1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313">
        <f>参数调整!$K$41*怪物掉落配置方案!$D4856</f>
        <v>2.2651313620653511E-2</v>
      </c>
    </row>
    <row r="11013" spans="1:4" ht="16.5" hidden="1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313">
        <f>参数调整!$K$41*怪物掉落配置方案!$D4857</f>
        <v>2.5340319416596473E-2</v>
      </c>
    </row>
    <row r="11014" spans="1:4" ht="16.5" hidden="1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313">
        <f>参数调整!$K$41*怪物掉落配置方案!$D4858</f>
        <v>2.8180110584274554E-2</v>
      </c>
    </row>
    <row r="11015" spans="1:4" ht="16.5" hidden="1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313">
        <f>参数调整!$K$41*怪物掉落配置方案!$D4859</f>
        <v>3.1170687123687757E-2</v>
      </c>
    </row>
    <row r="11016" spans="1:4" ht="16.5" hidden="1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313">
        <f>参数调整!$K$41*怪物掉落配置方案!$D4860</f>
        <v>3.431204903483609E-2</v>
      </c>
    </row>
    <row r="11017" spans="1:4" ht="16.5" hidden="1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313">
        <f>参数调整!$K$41*怪物掉落配置方案!$D4861</f>
        <v>3.7604196317719524E-2</v>
      </c>
    </row>
    <row r="11018" spans="1:4" ht="16.5" hidden="1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313">
        <f>参数调整!$K$41*怪物掉落配置方案!$D4862</f>
        <v>4.1047128972338094E-2</v>
      </c>
    </row>
    <row r="11019" spans="1:4" ht="16.5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313">
        <f>参数调整!$K$41*怪物掉落配置方案!$D4863</f>
        <v>10002</v>
      </c>
    </row>
    <row r="11020" spans="1:4" ht="16.5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313">
        <f>参数调整!$K$41*怪物掉落配置方案!$D4864</f>
        <v>15972</v>
      </c>
    </row>
    <row r="11021" spans="1:4" ht="16.5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313">
        <f>参数调整!$K$41*怪物掉落配置方案!$D4865</f>
        <v>25998</v>
      </c>
    </row>
    <row r="11022" spans="1:4" ht="16.5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313">
        <f>参数调整!$K$41*怪物掉落配置方案!$D4866</f>
        <v>32502</v>
      </c>
    </row>
    <row r="11023" spans="1:4" ht="16.5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313">
        <f>参数调整!$K$41*怪物掉落配置方案!$D4867</f>
        <v>32664</v>
      </c>
    </row>
    <row r="11024" spans="1:4" ht="16.5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313">
        <f>参数调整!$K$41*怪物掉落配置方案!$D4868</f>
        <v>33444</v>
      </c>
    </row>
    <row r="11025" spans="1:4" ht="16.5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313">
        <f>参数调整!$K$41*怪物掉落配置方案!$D4869</f>
        <v>37746</v>
      </c>
    </row>
    <row r="11026" spans="1:4" ht="16.5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313">
        <f>参数调整!$K$41*怪物掉落配置方案!$D4870</f>
        <v>60486</v>
      </c>
    </row>
    <row r="11027" spans="1:4" ht="16.5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313">
        <f>参数调整!$K$41*怪物掉落配置方案!$D4871</f>
        <v>104010</v>
      </c>
    </row>
    <row r="11028" spans="1:4" ht="16.5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313">
        <f>参数调整!$K$41*怪物掉落配置方案!$D4872</f>
        <v>122382</v>
      </c>
    </row>
    <row r="11029" spans="1:4" ht="16.5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313">
        <f>参数调整!$K$41*怪物掉落配置方案!$D4873</f>
        <v>189000</v>
      </c>
    </row>
    <row r="11030" spans="1:4" ht="16.5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313">
        <f>参数调整!$K$41*怪物掉落配置方案!$D4874</f>
        <v>195336</v>
      </c>
    </row>
    <row r="11031" spans="1:4" ht="16.5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313">
        <f>参数调整!$K$41*怪物掉落配置方案!$D4875</f>
        <v>778884</v>
      </c>
    </row>
    <row r="11032" spans="1:4" ht="16.5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313">
        <f>参数调整!$K$41*怪物掉落配置方案!$D4876</f>
        <v>2666502</v>
      </c>
    </row>
    <row r="11033" spans="1:4" ht="16.5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313">
        <f>参数调整!$K$41*怪物掉落配置方案!$D4877</f>
        <v>32210334</v>
      </c>
    </row>
    <row r="11034" spans="1:4" ht="16.5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313">
        <f>参数调整!$K$41*怪物掉落配置方案!$D4878</f>
        <v>29288802</v>
      </c>
    </row>
    <row r="11035" spans="1:4" ht="16.5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313">
        <f>参数调整!$K$41*怪物掉落配置方案!$D4879</f>
        <v>34999998</v>
      </c>
    </row>
    <row r="11036" spans="1:4" ht="16.5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313">
        <f>参数调整!$K$41*怪物掉落配置方案!$D4880</f>
        <v>7000002</v>
      </c>
    </row>
    <row r="11037" spans="1:4" ht="16.5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313">
        <f>参数调整!$K$41*怪物掉落配置方案!$D4881</f>
        <v>7000002</v>
      </c>
    </row>
    <row r="11038" spans="1:4" ht="16.5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313">
        <f>参数调整!$K$41*怪物掉落配置方案!$D4882</f>
        <v>7000002</v>
      </c>
    </row>
    <row r="11039" spans="1:4" ht="16.5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313">
        <f>参数调整!$K$41*怪物掉落配置方案!$D4883</f>
        <v>7000002</v>
      </c>
    </row>
    <row r="11040" spans="1:4" ht="16.5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313">
        <f>参数调整!$K$41*怪物掉落配置方案!$D4884</f>
        <v>7000002</v>
      </c>
    </row>
    <row r="11041" spans="1:4" ht="16.5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313">
        <f>参数调整!$K$41*怪物掉落配置方案!$D4885</f>
        <v>3499998</v>
      </c>
    </row>
    <row r="11042" spans="1:4" ht="16.5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313">
        <f>参数调整!$K$41*怪物掉落配置方案!$D4886</f>
        <v>3499998</v>
      </c>
    </row>
    <row r="11043" spans="1:4" ht="16.5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313">
        <f>参数调整!$K$41*怪物掉落配置方案!$D4887</f>
        <v>3499998</v>
      </c>
    </row>
    <row r="11044" spans="1:4" ht="16.5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313">
        <f>参数调整!$K$41*怪物掉落配置方案!$D4888</f>
        <v>3499998</v>
      </c>
    </row>
    <row r="11045" spans="1:4" ht="16.5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313">
        <f>参数调整!$K$41*怪物掉落配置方案!$D4889</f>
        <v>3499998</v>
      </c>
    </row>
    <row r="11046" spans="1:4" ht="16.5" hidden="1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313">
        <f>参数调整!$K$41*怪物掉落配置方案!$D4890</f>
        <v>3.1131067535475048E-3</v>
      </c>
    </row>
    <row r="11047" spans="1:4" ht="16.5" hidden="1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313">
        <f>参数调整!$K$41*怪物掉落配置方案!$D4891</f>
        <v>3.9400257349585617E-3</v>
      </c>
    </row>
    <row r="11048" spans="1:4" ht="16.5" hidden="1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313">
        <f>参数调整!$K$41*怪物掉落配置方案!$D4892</f>
        <v>4.8642293024179755E-3</v>
      </c>
    </row>
    <row r="11049" spans="1:4" ht="16.5" hidden="1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313">
        <f>参数调整!$K$41*怪物掉落配置方案!$D4893</f>
        <v>5.8857174559257515E-3</v>
      </c>
    </row>
    <row r="11050" spans="1:4" ht="16.5" hidden="1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313">
        <f>参数调整!$K$41*怪物掉落配置方案!$D4894</f>
        <v>7.0044901954818845E-3</v>
      </c>
    </row>
    <row r="11051" spans="1:4" ht="16.5" hidden="1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313">
        <f>参数调整!$K$41*怪物掉落配置方案!$D4895</f>
        <v>8.2205475210863806E-3</v>
      </c>
    </row>
    <row r="11052" spans="1:4" ht="16.5" hidden="1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313">
        <f>参数调整!$K$41*怪物掉落配置方案!$D4896</f>
        <v>9.5338894327392319E-3</v>
      </c>
    </row>
    <row r="11053" spans="1:4" ht="16.5" hidden="1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313">
        <f>参数调整!$K$41*怪物掉落配置方案!$D4897</f>
        <v>1.0944515930440445E-2</v>
      </c>
    </row>
    <row r="11054" spans="1:4" ht="16.5" hidden="1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313">
        <f>参数调整!$K$41*怪物掉落配置方案!$D4898</f>
        <v>1.2452427014190023E-2</v>
      </c>
    </row>
    <row r="11055" spans="1:4" ht="16.5" hidden="1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313">
        <f>参数调整!$K$41*怪物掉落配置方案!$D4899</f>
        <v>1.5760102939834243E-2</v>
      </c>
    </row>
    <row r="11056" spans="1:4" ht="16.5" hidden="1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313">
        <f>参数调整!$K$41*怪物掉落配置方案!$D4900</f>
        <v>1.9456917209671902E-2</v>
      </c>
    </row>
    <row r="11057" spans="1:4" ht="16.5" hidden="1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313">
        <f>参数调整!$K$41*怪物掉落配置方案!$D4901</f>
        <v>2.3542869823703006E-2</v>
      </c>
    </row>
    <row r="11058" spans="1:4" ht="16.5" hidden="1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313">
        <f>参数调整!$K$41*怪物掉落配置方案!$D4902</f>
        <v>3.0401433140112351E-2</v>
      </c>
    </row>
    <row r="11059" spans="1:4" ht="16.5" hidden="1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313">
        <f>参数调整!$K$41*怪物掉落配置方案!$D4903</f>
        <v>4.3778063721761774E-2</v>
      </c>
    </row>
    <row r="11060" spans="1:4" ht="16.5" hidden="1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313">
        <f>参数调整!$K$41*怪物掉落配置方案!$D4904</f>
        <v>5.95868089546202E-2</v>
      </c>
    </row>
    <row r="11061" spans="1:4" ht="16.5" hidden="1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313">
        <f>参数调整!$K$41*怪物掉落配置方案!$D4905</f>
        <v>6.6591299150102104E-2</v>
      </c>
    </row>
    <row r="11062" spans="1:4" ht="16.5" hidden="1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313">
        <f>参数调整!$K$41*怪物掉落配置方案!$D4906</f>
        <v>7.7827668838687608E-2</v>
      </c>
    </row>
    <row r="11063" spans="1:4" ht="16.5" hidden="1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313">
        <f>参数调整!$K$41*怪物掉落配置方案!$D4907</f>
        <v>8.9939599801708375E-2</v>
      </c>
    </row>
    <row r="11064" spans="1:4" ht="16.5" hidden="1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313">
        <f>参数调整!$K$41*怪物掉落配置方案!$D4908</f>
        <v>0.10292709203916436</v>
      </c>
    </row>
    <row r="11065" spans="1:4" ht="16.5" hidden="1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313">
        <f>参数调整!$K$41*怪物掉落配置方案!$D4909</f>
        <v>0.11679014555105564</v>
      </c>
    </row>
    <row r="11066" spans="1:4" ht="16.5" hidden="1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313">
        <f>参数调整!$K$41*怪物掉落配置方案!$D4910</f>
        <v>0.13152876033738206</v>
      </c>
    </row>
    <row r="11067" spans="1:4" ht="16.5" hidden="1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313">
        <f>参数调整!$K$41*怪物掉落配置方案!$D4911</f>
        <v>0.1471429363981438</v>
      </c>
    </row>
    <row r="11068" spans="1:4" ht="16.5" hidden="1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313">
        <f>参数调整!$K$41*怪物掉落配置方案!$D4912</f>
        <v>0.1636326737333407</v>
      </c>
    </row>
    <row r="11069" spans="1:4" ht="16.5" hidden="1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313">
        <f>参数调整!$K$41*怪物掉落配置方案!$D4913</f>
        <v>0.18099797234297288</v>
      </c>
    </row>
    <row r="11070" spans="1:4" ht="16.5" hidden="1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313">
        <f>参数调整!$K$41*怪物掉落配置方案!$D4914</f>
        <v>0.19923883222704031</v>
      </c>
    </row>
    <row r="11071" spans="1:4" ht="16.5" hidden="1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313">
        <f>参数调整!$K$41*怪物掉落配置方案!$D4915</f>
        <v>0.21835525338554293</v>
      </c>
    </row>
    <row r="11072" spans="1:4" ht="16.5" hidden="1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313">
        <f>参数调整!$K$41*怪物掉落配置方案!$D4916</f>
        <v>0.23834723581848083</v>
      </c>
    </row>
    <row r="11073" spans="1:4" ht="16.5" hidden="1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313">
        <f>参数调整!$K$41*怪物掉落配置方案!$D4917</f>
        <v>0</v>
      </c>
    </row>
    <row r="11074" spans="1:4" ht="16.5" hidden="1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313">
        <f>参数调整!$K$41*怪物掉落配置方案!$D4918</f>
        <v>0</v>
      </c>
    </row>
    <row r="11075" spans="1:4" ht="16.5" hidden="1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313">
        <f>参数调整!$K$41*怪物掉落配置方案!$D4919</f>
        <v>0</v>
      </c>
    </row>
    <row r="11076" spans="1:4" ht="16.5" hidden="1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313">
        <f>参数调整!$K$41*怪物掉落配置方案!$D4920</f>
        <v>0</v>
      </c>
    </row>
    <row r="11077" spans="1:4" ht="16.5" hidden="1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313">
        <f>参数调整!$K$41*怪物掉落配置方案!$D4921</f>
        <v>0</v>
      </c>
    </row>
    <row r="11078" spans="1:4" ht="16.5" hidden="1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313">
        <f>参数调整!$K$41*怪物掉落配置方案!$D4922</f>
        <v>0</v>
      </c>
    </row>
    <row r="11079" spans="1:4" ht="16.5" hidden="1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313">
        <f>参数调整!$K$41*怪物掉落配置方案!$D4923</f>
        <v>0</v>
      </c>
    </row>
    <row r="11080" spans="1:4" ht="16.5" hidden="1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313">
        <f>参数调整!$K$41*怪物掉落配置方案!$D4924</f>
        <v>0</v>
      </c>
    </row>
    <row r="11081" spans="1:4" ht="16.5" hidden="1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313">
        <f>参数调整!$K$41*怪物掉落配置方案!$D4925</f>
        <v>0</v>
      </c>
    </row>
    <row r="11082" spans="1:4" ht="16.5" hidden="1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313">
        <f>参数调整!$K$41*怪物掉落配置方案!$D4926</f>
        <v>0</v>
      </c>
    </row>
    <row r="11083" spans="1:4" ht="16.5" hidden="1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313">
        <f>参数调整!$K$41*怪物掉落配置方案!$D4927</f>
        <v>0</v>
      </c>
    </row>
    <row r="11084" spans="1:4" ht="16.5" hidden="1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313">
        <f>参数调整!$K$41*怪物掉落配置方案!$D4928</f>
        <v>0</v>
      </c>
    </row>
    <row r="11085" spans="1:4" ht="16.5" hidden="1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313">
        <f>参数调整!$K$41*怪物掉落配置方案!$D4929</f>
        <v>0</v>
      </c>
    </row>
    <row r="11086" spans="1:4" ht="16.5" hidden="1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313">
        <f>参数调整!$K$41*怪物掉落配置方案!$D4930</f>
        <v>0</v>
      </c>
    </row>
    <row r="11087" spans="1:4" ht="16.5" hidden="1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313">
        <f>参数调整!$K$41*怪物掉落配置方案!$D4931</f>
        <v>0</v>
      </c>
    </row>
    <row r="11088" spans="1:4" ht="16.5" hidden="1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313">
        <f>参数调整!$K$41*怪物掉落配置方案!$D4932</f>
        <v>0</v>
      </c>
    </row>
    <row r="11089" spans="1:4" ht="16.5" hidden="1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313">
        <f>参数调整!$K$41*怪物掉落配置方案!$D4933</f>
        <v>0</v>
      </c>
    </row>
    <row r="11090" spans="1:4" ht="16.5" hidden="1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313">
        <f>参数调整!$K$41*怪物掉落配置方案!$D4934</f>
        <v>0</v>
      </c>
    </row>
    <row r="11091" spans="1:4" ht="16.5" hidden="1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313">
        <f>参数调整!$K$41*怪物掉落配置方案!$D4935</f>
        <v>0</v>
      </c>
    </row>
    <row r="11092" spans="1:4" ht="16.5" hidden="1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313">
        <f>参数调整!$K$41*怪物掉落配置方案!$D4936</f>
        <v>0</v>
      </c>
    </row>
    <row r="11093" spans="1:4" ht="16.5" hidden="1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313">
        <f>参数调整!$K$41*怪物掉落配置方案!$D4937</f>
        <v>0</v>
      </c>
    </row>
    <row r="11094" spans="1:4" ht="16.5" hidden="1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313">
        <f>参数调整!$K$41*怪物掉落配置方案!$D4938</f>
        <v>0</v>
      </c>
    </row>
    <row r="11095" spans="1:4" ht="16.5" hidden="1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313">
        <f>参数调整!$K$41*怪物掉落配置方案!$D4939</f>
        <v>0</v>
      </c>
    </row>
    <row r="11096" spans="1:4" ht="16.5" hidden="1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313">
        <f>参数调整!$K$41*怪物掉落配置方案!$D4940</f>
        <v>0</v>
      </c>
    </row>
    <row r="11097" spans="1:4" ht="16.5" hidden="1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313">
        <f>参数调整!$K$41*怪物掉落配置方案!$D4941</f>
        <v>0</v>
      </c>
    </row>
    <row r="11098" spans="1:4" ht="16.5" hidden="1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313">
        <f>参数调整!$K$41*怪物掉落配置方案!$D4942</f>
        <v>0</v>
      </c>
    </row>
    <row r="11099" spans="1:4" ht="16.5" hidden="1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313">
        <f>参数调整!$K$41*怪物掉落配置方案!$D4943</f>
        <v>0</v>
      </c>
    </row>
    <row r="11100" spans="1:4" ht="16.5" hidden="1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313">
        <f>参数调整!$K$41*怪物掉落配置方案!$D4944</f>
        <v>1.4769776384640429E-3</v>
      </c>
    </row>
    <row r="11101" spans="1:4" ht="16.5" hidden="1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313">
        <f>参数调整!$K$41*怪物掉落配置方案!$D4945</f>
        <v>1.8692998236810546E-3</v>
      </c>
    </row>
    <row r="11102" spans="1:4" ht="16.5" hidden="1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313">
        <f>参数调整!$K$41*怪物掉落配置方案!$D4946</f>
        <v>2.3077775601000666E-3</v>
      </c>
    </row>
    <row r="11103" spans="1:4" ht="16.5" hidden="1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313">
        <f>参数调整!$K$41*怪物掉落配置方案!$D4947</f>
        <v>2.7924108477210812E-3</v>
      </c>
    </row>
    <row r="11104" spans="1:4" ht="16.5" hidden="1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313">
        <f>参数调整!$K$41*怪物掉落配置方案!$D4948</f>
        <v>3.3231996865440957E-3</v>
      </c>
    </row>
    <row r="11105" spans="1:4" ht="16.5" hidden="1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313">
        <f>参数调整!$K$41*怪物掉落配置方案!$D4949</f>
        <v>3.9001440765691134E-3</v>
      </c>
    </row>
    <row r="11106" spans="1:4" ht="16.5" hidden="1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313">
        <f>参数调整!$K$41*怪物掉落配置方案!$D4950</f>
        <v>4.5232440177961301E-3</v>
      </c>
    </row>
    <row r="11107" spans="1:4" ht="16.5" hidden="1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313">
        <f>参数调整!$K$41*怪物掉落配置方案!$D4951</f>
        <v>5.1924995102251501E-3</v>
      </c>
    </row>
    <row r="11108" spans="1:4" ht="16.5" hidden="1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313">
        <f>参数调整!$K$41*怪物掉落配置方案!$D4952</f>
        <v>5.9079105538561725E-3</v>
      </c>
    </row>
    <row r="11109" spans="1:4" ht="16.5" hidden="1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313">
        <f>参数调整!$K$41*怪物掉落配置方案!$D4953</f>
        <v>7.4771992947242159E-3</v>
      </c>
    </row>
    <row r="11110" spans="1:4" ht="16.5" hidden="1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313">
        <f>参数调整!$K$41*怪物掉落配置方案!$D4954</f>
        <v>9.2311102404002664E-3</v>
      </c>
    </row>
    <row r="11111" spans="1:4" ht="16.5" hidden="1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313">
        <f>参数调整!$K$41*怪物掉落配置方案!$D4955</f>
        <v>1.1169643390884325E-2</v>
      </c>
    </row>
    <row r="11112" spans="1:4" ht="16.5" hidden="1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313">
        <f>参数调整!$K$41*怪物掉落配置方案!$D4956</f>
        <v>1.4423609750625416E-2</v>
      </c>
    </row>
    <row r="11113" spans="1:4" ht="16.5" hidden="1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313">
        <f>参数调整!$K$41*怪物掉落配置方案!$D4957</f>
        <v>2.0769998040900597E-2</v>
      </c>
    </row>
    <row r="11114" spans="1:4" ht="16.5" hidden="1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313">
        <f>参数调整!$K$41*怪物掉落配置方案!$D4958</f>
        <v>2.8270275111225811E-2</v>
      </c>
    </row>
    <row r="11115" spans="1:4" ht="16.5" hidden="1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313">
        <f>参数调整!$K$41*怪物掉落配置方案!$D4959</f>
        <v>3.1593474797769916E-2</v>
      </c>
    </row>
    <row r="11116" spans="1:4" ht="16.5" hidden="1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313">
        <f>参数调整!$K$41*怪物掉落配置方案!$D4960</f>
        <v>3.6924440961601065E-2</v>
      </c>
    </row>
    <row r="11117" spans="1:4" ht="16.5" hidden="1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313">
        <f>参数调整!$K$41*怪物掉落配置方案!$D4961</f>
        <v>4.2670807086250227E-2</v>
      </c>
    </row>
    <row r="11118" spans="1:4" ht="16.5" hidden="1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313">
        <f>参数调整!$K$41*怪物掉落配置方案!$D4962</f>
        <v>4.8832573171717408E-2</v>
      </c>
    </row>
    <row r="11119" spans="1:4" ht="16.5" hidden="1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313">
        <f>参数调整!$K$41*怪物掉落配置方案!$D4963</f>
        <v>5.5409739218002609E-2</v>
      </c>
    </row>
    <row r="11120" spans="1:4" ht="16.5" hidden="1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313">
        <f>参数调整!$K$41*怪物掉落配置方案!$D4964</f>
        <v>6.2402305225105814E-2</v>
      </c>
    </row>
    <row r="11121" spans="1:4" ht="16.5" hidden="1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313">
        <f>参数调整!$K$41*怪物掉落配置方案!$D4965</f>
        <v>6.9810271193027018E-2</v>
      </c>
    </row>
    <row r="11122" spans="1:4" ht="16.5" hidden="1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313">
        <f>参数调整!$K$41*怪物掉落配置方案!$D4966</f>
        <v>7.7633637121766227E-2</v>
      </c>
    </row>
    <row r="11123" spans="1:4" ht="16.5" hidden="1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313">
        <f>参数调整!$K$41*怪物掉落配置方案!$D4967</f>
        <v>8.5872403011323456E-2</v>
      </c>
    </row>
    <row r="11124" spans="1:4" ht="16.5" hidden="1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313">
        <f>参数调整!$K$41*怪物掉落配置方案!$D4968</f>
        <v>9.4526568861698745E-2</v>
      </c>
    </row>
    <row r="11125" spans="1:4" ht="16.5" hidden="1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313">
        <f>参数调整!$K$41*怪物掉落配置方案!$D4969</f>
        <v>0.103596134672892</v>
      </c>
    </row>
    <row r="11126" spans="1:4" ht="16.5" hidden="1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313">
        <f>参数调整!$K$41*怪物掉落配置方案!$D4970</f>
        <v>0.11308110044490327</v>
      </c>
    </row>
    <row r="11127" spans="1:4" ht="16.5" hidden="1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313">
        <f>参数调整!$K$41*怪物掉落配置方案!$D4971</f>
        <v>3.9000882290303934E-2</v>
      </c>
    </row>
    <row r="11128" spans="1:4" ht="16.5" hidden="1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313">
        <f>参数调整!$K$41*怪物掉落配置方案!$D4972</f>
        <v>4.9360491648665926E-2</v>
      </c>
    </row>
    <row r="11129" spans="1:4" ht="16.5" hidden="1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313">
        <f>参数调整!$K$41*怪物掉落配置方案!$D4973</f>
        <v>6.0938878578599906E-2</v>
      </c>
    </row>
    <row r="11130" spans="1:4" ht="16.5" hidden="1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313">
        <f>参数调整!$K$41*怪物掉落配置方案!$D4974</f>
        <v>7.3736043080105881E-2</v>
      </c>
    </row>
    <row r="11131" spans="1:4" ht="16.5" hidden="1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313">
        <f>参数调整!$K$41*怪物掉落配置方案!$D4975</f>
        <v>8.7751985153183831E-2</v>
      </c>
    </row>
    <row r="11132" spans="1:4" ht="16.5" hidden="1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313">
        <f>参数调整!$K$41*怪物掉落配置方案!$D4976</f>
        <v>0.10298670479783384</v>
      </c>
    </row>
    <row r="11133" spans="1:4" ht="16.5" hidden="1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313">
        <f>参数调整!$K$41*怪物掉落配置方案!$D4977</f>
        <v>0.11944020201405579</v>
      </c>
    </row>
    <row r="11134" spans="1:4" ht="16.5" hidden="1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313">
        <f>参数调整!$K$41*怪物掉落配置方案!$D4978</f>
        <v>0.13711247680184979</v>
      </c>
    </row>
    <row r="11135" spans="1:4" ht="16.5" hidden="1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313">
        <f>参数调整!$K$41*怪物掉落配置方案!$D4979</f>
        <v>0.15600352916121579</v>
      </c>
    </row>
    <row r="11136" spans="1:4" ht="16.5" hidden="1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313">
        <f>参数调整!$K$41*怪物掉落配置方案!$D4980</f>
        <v>0.1974419665946637</v>
      </c>
    </row>
    <row r="11137" spans="1:4" ht="16.5" hidden="1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313">
        <f>参数调整!$K$41*怪物掉落配置方案!$D4981</f>
        <v>0.24375551431439951</v>
      </c>
    </row>
    <row r="11138" spans="1:4" ht="16.5" hidden="1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313">
        <f>参数调整!$K$41*怪物掉落配置方案!$D4982</f>
        <v>0.29494417232042353</v>
      </c>
    </row>
    <row r="11139" spans="1:4" ht="16.5" hidden="1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313">
        <f>参数调整!$K$41*怪物掉落配置方案!$D4983</f>
        <v>0.3808679911162493</v>
      </c>
    </row>
    <row r="11140" spans="1:4" ht="16.5" hidden="1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313">
        <f>参数调整!$K$41*怪物掉落配置方案!$D4984</f>
        <v>0.54844990720739895</v>
      </c>
    </row>
    <row r="11141" spans="1:4" ht="16.5" hidden="1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313">
        <f>参数调整!$K$41*怪物掉落配置方案!$D4985</f>
        <v>0.74650126258784866</v>
      </c>
    </row>
    <row r="11142" spans="1:4" ht="16.5" hidden="1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313">
        <f>参数调整!$K$41*怪物掉落配置方案!$D4986</f>
        <v>0.83425324774103271</v>
      </c>
    </row>
    <row r="11143" spans="1:4" ht="16.5" hidden="1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313">
        <f>参数调整!$K$41*怪物掉落配置方案!$D4987</f>
        <v>0.97502205725759805</v>
      </c>
    </row>
    <row r="11144" spans="1:4" ht="16.5" hidden="1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313">
        <f>参数调整!$K$41*怪物掉落配置方案!$D4988</f>
        <v>1.1267598649183119</v>
      </c>
    </row>
    <row r="11145" spans="1:4" ht="16.5" hidden="1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313">
        <f>参数调整!$K$41*怪物掉落配置方案!$D4989</f>
        <v>1.2894666707231737</v>
      </c>
    </row>
    <row r="11146" spans="1:4" ht="16.5" hidden="1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313">
        <f>参数调整!$K$41*怪物掉落配置方案!$D4990</f>
        <v>1.4631424746721837</v>
      </c>
    </row>
    <row r="11147" spans="1:4" ht="16.5" hidden="1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313">
        <f>参数调整!$K$41*怪物掉落配置方案!$D4991</f>
        <v>1.6477872767653412</v>
      </c>
    </row>
    <row r="11148" spans="1:4" ht="16.5" hidden="1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313">
        <f>参数调整!$K$41*怪物掉落配置方案!$D4992</f>
        <v>1.843401077002647</v>
      </c>
    </row>
    <row r="11149" spans="1:4" ht="16.5" hidden="1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313">
        <f>参数调整!$K$41*怪物掉落配置方案!$D4993</f>
        <v>2.0499838753841004</v>
      </c>
    </row>
    <row r="11150" spans="1:4" ht="16.5" hidden="1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313">
        <f>参数调整!$K$41*怪物掉落配置方案!$D4994</f>
        <v>2.2675356719097017</v>
      </c>
    </row>
    <row r="11151" spans="1:4" ht="16.5" hidden="1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313">
        <f>参数调整!$K$41*怪物掉落配置方案!$D4995</f>
        <v>2.4960564665794518</v>
      </c>
    </row>
    <row r="11152" spans="1:4" ht="16.5" hidden="1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313">
        <f>参数调整!$K$41*怪物掉落配置方案!$D4996</f>
        <v>2.7355462593933488</v>
      </c>
    </row>
    <row r="11153" spans="1:4" ht="16.5" hidden="1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313">
        <f>参数调整!$K$41*怪物掉落配置方案!$D4997</f>
        <v>2.9860050503513955</v>
      </c>
    </row>
    <row r="11154" spans="1:4" ht="16.5" hidden="1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313">
        <f>参数调整!$K$41*怪物掉落配置方案!$D4998</f>
        <v>1.9495482406156873E-5</v>
      </c>
    </row>
    <row r="11155" spans="1:4" ht="16.5" hidden="1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313">
        <f>参数调整!$K$41*怪物掉落配置方案!$D4999</f>
        <v>2.4673969920292291E-5</v>
      </c>
    </row>
    <row r="11156" spans="1:4" ht="16.5" hidden="1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313">
        <f>参数调整!$K$41*怪物掉落配置方案!$D5000</f>
        <v>3.0461691259620107E-5</v>
      </c>
    </row>
    <row r="11157" spans="1:4" ht="16.5" hidden="1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313">
        <f>参数调整!$K$41*怪物掉落配置方案!$D5001</f>
        <v>3.6858646424140336E-5</v>
      </c>
    </row>
    <row r="11158" spans="1:4" ht="16.5" hidden="1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313">
        <f>参数调整!$K$41*怪物掉落配置方案!$D5002</f>
        <v>4.3864835413852949E-5</v>
      </c>
    </row>
    <row r="11159" spans="1:4" ht="16.5" hidden="1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313">
        <f>参数调整!$K$41*怪物掉落配置方案!$D5003</f>
        <v>5.1480258228757992E-5</v>
      </c>
    </row>
    <row r="11160" spans="1:4" ht="16.5" hidden="1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313">
        <f>参数调整!$K$41*怪物掉落配置方案!$D5004</f>
        <v>5.9704914868855406E-5</v>
      </c>
    </row>
    <row r="11161" spans="1:4" ht="16.5" hidden="1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313">
        <f>参数调整!$K$41*怪物掉落配置方案!$D5005</f>
        <v>6.8538805334145237E-5</v>
      </c>
    </row>
    <row r="11162" spans="1:4" ht="16.5" hidden="1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313">
        <f>参数调整!$K$41*怪物掉落配置方案!$D5006</f>
        <v>7.7981929624627492E-5</v>
      </c>
    </row>
    <row r="11163" spans="1:4" ht="16.5" hidden="1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313">
        <f>参数调整!$K$41*怪物掉落配置方案!$D5007</f>
        <v>9.8695879681169165E-5</v>
      </c>
    </row>
    <row r="11164" spans="1:4" ht="16.5" hidden="1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313">
        <f>参数调整!$K$41*怪物掉落配置方案!$D5008</f>
        <v>1.2184676503848043E-4</v>
      </c>
    </row>
    <row r="11165" spans="1:4" ht="16.5" hidden="1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313">
        <f>参数调整!$K$41*怪物掉落配置方案!$D5009</f>
        <v>1.4743458569656134E-4</v>
      </c>
    </row>
    <row r="11166" spans="1:4" ht="16.5" hidden="1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313">
        <f>参数调整!$K$41*怪物掉落配置方案!$D5010</f>
        <v>1.9038557037262565E-4</v>
      </c>
    </row>
    <row r="11167" spans="1:4" ht="16.5" hidden="1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313">
        <f>参数调整!$K$41*怪物掉落配置方案!$D5011</f>
        <v>2.7415522133658089E-4</v>
      </c>
    </row>
    <row r="11168" spans="1:4" ht="16.5" hidden="1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313">
        <f>参数调整!$K$41*怪物掉落配置方案!$D5012</f>
        <v>3.7315571793034615E-4</v>
      </c>
    </row>
    <row r="11169" spans="1:4" ht="16.5" hidden="1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313">
        <f>参数调整!$K$41*怪物掉落配置方案!$D5013</f>
        <v>4.1702055334419933E-4</v>
      </c>
    </row>
    <row r="11170" spans="1:4" ht="16.5" hidden="1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313">
        <f>参数调整!$K$41*怪物掉落配置方案!$D5014</f>
        <v>4.8738706015392171E-4</v>
      </c>
    </row>
    <row r="11171" spans="1:4" ht="16.5" hidden="1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313">
        <f>参数调整!$K$41*怪物掉落配置方案!$D5015</f>
        <v>5.6323667139037575E-4</v>
      </c>
    </row>
    <row r="11172" spans="1:4" ht="16.5" hidden="1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313">
        <f>参数调整!$K$41*怪物掉落配置方案!$D5016</f>
        <v>6.445693870535614E-4</v>
      </c>
    </row>
    <row r="11173" spans="1:4" ht="16.5" hidden="1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313">
        <f>参数调整!$K$41*怪物掉落配置方案!$D5017</f>
        <v>7.31385207143479E-4</v>
      </c>
    </row>
    <row r="11174" spans="1:4" ht="16.5" hidden="1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313">
        <f>参数调整!$K$41*怪物掉落配置方案!$D5018</f>
        <v>8.2368413166012777E-4</v>
      </c>
    </row>
    <row r="11175" spans="1:4" ht="16.5" hidden="1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313">
        <f>参数调整!$K$41*怪物掉落配置方案!$D5019</f>
        <v>9.2146616060350827E-4</v>
      </c>
    </row>
    <row r="11176" spans="1:4" ht="16.5" hidden="1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313">
        <f>参数调整!$K$41*怪物掉落配置方案!$D5020</f>
        <v>1.0247312939736203E-3</v>
      </c>
    </row>
    <row r="11177" spans="1:4" ht="16.5" hidden="1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313">
        <f>参数调整!$K$41*怪物掉落配置方案!$D5021</f>
        <v>1.1334795317704638E-3</v>
      </c>
    </row>
    <row r="11178" spans="1:4" ht="16.5" hidden="1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313">
        <f>参数调整!$K$41*怪物掉落配置方案!$D5022</f>
        <v>1.2477108739940399E-3</v>
      </c>
    </row>
    <row r="11179" spans="1:4" ht="16.5" hidden="1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313">
        <f>参数调整!$K$41*怪物掉落配置方案!$D5023</f>
        <v>1.3674253206443464E-3</v>
      </c>
    </row>
    <row r="11180" spans="1:4" ht="16.5" hidden="1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313">
        <f>参数调整!$K$41*怪物掉落配置方案!$D5024</f>
        <v>1.4926228717213855E-3</v>
      </c>
    </row>
    <row r="11181" spans="1:4" ht="16.5" hidden="1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313">
        <f>参数调整!$K$41*怪物掉落配置方案!$D5025</f>
        <v>5.361257661693139E-3</v>
      </c>
    </row>
    <row r="11182" spans="1:4" ht="16.5" hidden="1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313">
        <f>参数调整!$K$41*怪物掉落配置方案!$D5026</f>
        <v>6.7853417280803793E-3</v>
      </c>
    </row>
    <row r="11183" spans="1:4" ht="16.5" hidden="1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313">
        <f>参数调整!$K$41*怪物掉落配置方案!$D5027</f>
        <v>8.3769650963955288E-3</v>
      </c>
    </row>
    <row r="11184" spans="1:4" ht="16.5" hidden="1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313">
        <f>参数调整!$K$41*怪物掉落配置方案!$D5028</f>
        <v>1.0136127766638591E-2</v>
      </c>
    </row>
    <row r="11185" spans="1:4" ht="16.5" hidden="1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313">
        <f>参数调整!$K$41*怪物掉落配置方案!$D5029</f>
        <v>1.2062829738809559E-2</v>
      </c>
    </row>
    <row r="11186" spans="1:4" ht="16.5" hidden="1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313">
        <f>参数调整!$K$41*怪物掉落配置方案!$D5030</f>
        <v>1.4157071012908445E-2</v>
      </c>
    </row>
    <row r="11187" spans="1:4" ht="16.5" hidden="1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313">
        <f>参数调整!$K$41*怪物掉落配置方案!$D5031</f>
        <v>1.6418851588935232E-2</v>
      </c>
    </row>
    <row r="11188" spans="1:4" ht="16.5" hidden="1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313">
        <f>参数调整!$K$41*怪物掉落配置方案!$D5032</f>
        <v>1.8848171466889944E-2</v>
      </c>
    </row>
    <row r="11189" spans="1:4" ht="16.5" hidden="1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313">
        <f>参数调整!$K$41*怪物掉落配置方案!$D5033</f>
        <v>2.1445030646772556E-2</v>
      </c>
    </row>
    <row r="11190" spans="1:4" ht="16.5" hidden="1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313">
        <f>参数调整!$K$41*怪物掉落配置方案!$D5034</f>
        <v>2.7141366912321517E-2</v>
      </c>
    </row>
    <row r="11191" spans="1:4" ht="16.5" hidden="1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313">
        <f>参数调整!$K$41*怪物掉落配置方案!$D5035</f>
        <v>3.3507860385582115E-2</v>
      </c>
    </row>
    <row r="11192" spans="1:4" ht="16.5" hidden="1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313">
        <f>参数调整!$K$41*怪物掉落配置方案!$D5036</f>
        <v>4.0544511066554365E-2</v>
      </c>
    </row>
    <row r="11193" spans="1:4" ht="16.5" hidden="1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313">
        <f>参数调整!$K$41*怪物掉落配置方案!$D5037</f>
        <v>5.2356031852472062E-2</v>
      </c>
    </row>
    <row r="11194" spans="1:4" ht="16.5" hidden="1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313">
        <f>参数调整!$K$41*怪物掉落配置方案!$D5038</f>
        <v>7.5392685867559747E-2</v>
      </c>
    </row>
    <row r="11195" spans="1:4" ht="16.5" hidden="1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313">
        <f>参数调整!$K$41*怪物掉落配置方案!$D5039</f>
        <v>0.10261782243084522</v>
      </c>
    </row>
    <row r="11196" spans="1:4" ht="16.5" hidden="1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313">
        <f>参数调整!$K$41*怪物掉落配置方案!$D5040</f>
        <v>0.1146806521696548</v>
      </c>
    </row>
    <row r="11197" spans="1:4" ht="16.5" hidden="1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313">
        <f>参数调整!$K$41*怪物掉落配置方案!$D5041</f>
        <v>0.13403144154232846</v>
      </c>
    </row>
    <row r="11198" spans="1:4" ht="16.5" hidden="1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313">
        <f>参数调整!$K$41*怪物掉落配置方案!$D5042</f>
        <v>0.15489008463235329</v>
      </c>
    </row>
    <row r="11199" spans="1:4" ht="16.5" hidden="1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313">
        <f>参数调整!$K$41*怪物掉落配置方案!$D5043</f>
        <v>0.17725658143972936</v>
      </c>
    </row>
    <row r="11200" spans="1:4" ht="16.5" hidden="1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313">
        <f>参数调整!$K$41*怪物掉落配置方案!$D5044</f>
        <v>0.20113093196445664</v>
      </c>
    </row>
    <row r="11201" spans="1:4" ht="16.5" hidden="1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313">
        <f>参数调整!$K$41*怪物掉落配置方案!$D5045</f>
        <v>0.22651313620653513</v>
      </c>
    </row>
    <row r="11202" spans="1:4" ht="16.5" hidden="1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313">
        <f>参数调整!$K$41*怪物掉落配置方案!$D5046</f>
        <v>0.25340319416596474</v>
      </c>
    </row>
    <row r="11203" spans="1:4" ht="16.5" hidden="1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313">
        <f>参数调整!$K$41*怪物掉落配置方案!$D5047</f>
        <v>0.28180110584274554</v>
      </c>
    </row>
    <row r="11204" spans="1:4" ht="16.5" hidden="1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313">
        <f>参数调整!$K$41*怪物掉落配置方案!$D5048</f>
        <v>0.31170687123687757</v>
      </c>
    </row>
    <row r="11205" spans="1:4" ht="16.5" hidden="1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313">
        <f>参数调整!$K$41*怪物掉落配置方案!$D5049</f>
        <v>0.3431204903483609</v>
      </c>
    </row>
    <row r="11206" spans="1:4" ht="16.5" hidden="1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313">
        <f>参数调整!$K$41*怪物掉落配置方案!$D5050</f>
        <v>0.37604196317719529</v>
      </c>
    </row>
    <row r="11207" spans="1:4" ht="16.5" hidden="1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313">
        <f>参数调整!$K$41*怪物掉落配置方案!$D5051</f>
        <v>0.41047128972338087</v>
      </c>
    </row>
    <row r="11208" spans="1:4" ht="16.5" hidden="1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313">
        <f>参数调整!$K$41*怪物掉落配置方案!$D5052</f>
        <v>1.9495482406156872E-4</v>
      </c>
    </row>
    <row r="11209" spans="1:4" ht="16.5" hidden="1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313">
        <f>参数调整!$K$41*怪物掉落配置方案!$D5053</f>
        <v>2.4673969920292293E-4</v>
      </c>
    </row>
    <row r="11210" spans="1:4" ht="16.5" hidden="1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313">
        <f>参数调整!$K$41*怪物掉落配置方案!$D5054</f>
        <v>3.0461691259620104E-4</v>
      </c>
    </row>
    <row r="11211" spans="1:4" ht="16.5" hidden="1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313">
        <f>参数调整!$K$41*怪物掉落配置方案!$D5055</f>
        <v>3.6858646424140331E-4</v>
      </c>
    </row>
    <row r="11212" spans="1:4" ht="16.5" hidden="1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313">
        <f>参数调整!$K$41*怪物掉落配置方案!$D5056</f>
        <v>4.3864835413852951E-4</v>
      </c>
    </row>
    <row r="11213" spans="1:4" ht="16.5" hidden="1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313">
        <f>参数调整!$K$41*怪物掉落配置方案!$D5057</f>
        <v>5.1480258228757977E-4</v>
      </c>
    </row>
    <row r="11214" spans="1:4" ht="16.5" hidden="1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313">
        <f>参数调整!$K$41*怪物掉落配置方案!$D5058</f>
        <v>5.9704914868855398E-4</v>
      </c>
    </row>
    <row r="11215" spans="1:4" ht="16.5" hidden="1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313">
        <f>参数调整!$K$41*怪物掉落配置方案!$D5059</f>
        <v>6.8538805334145234E-4</v>
      </c>
    </row>
    <row r="11216" spans="1:4" ht="16.5" hidden="1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313">
        <f>参数调整!$K$41*怪物掉落配置方案!$D5060</f>
        <v>7.7981929624627497E-4</v>
      </c>
    </row>
    <row r="11217" spans="1:4" ht="16.5" hidden="1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313">
        <f>参数调整!$K$41*怪物掉落配置方案!$D5061</f>
        <v>9.869587968116913E-4</v>
      </c>
    </row>
    <row r="11218" spans="1:4" ht="16.5" hidden="1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313">
        <f>参数调整!$K$41*怪物掉落配置方案!$D5062</f>
        <v>1.2184676503848042E-3</v>
      </c>
    </row>
    <row r="11219" spans="1:4" ht="16.5" hidden="1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313">
        <f>参数调整!$K$41*怪物掉落配置方案!$D5063</f>
        <v>1.4743458569656132E-3</v>
      </c>
    </row>
    <row r="11220" spans="1:4" ht="16.5" hidden="1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313">
        <f>参数调整!$K$41*怪物掉落配置方案!$D5064</f>
        <v>1.9038557037262568E-3</v>
      </c>
    </row>
    <row r="11221" spans="1:4" ht="16.5" hidden="1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313">
        <f>参数调整!$K$41*怪物掉落配置方案!$D5065</f>
        <v>2.7415522133658089E-3</v>
      </c>
    </row>
    <row r="11222" spans="1:4" ht="16.5" hidden="1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313">
        <f>参数调整!$K$41*怪物掉落配置方案!$D5066</f>
        <v>3.7315571793034626E-3</v>
      </c>
    </row>
    <row r="11223" spans="1:4" ht="16.5" hidden="1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313">
        <f>参数调整!$K$41*怪物掉落配置方案!$D5067</f>
        <v>4.1702055334419934E-3</v>
      </c>
    </row>
    <row r="11224" spans="1:4" ht="16.5" hidden="1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313">
        <f>参数调整!$K$41*怪物掉落配置方案!$D5068</f>
        <v>4.8738706015392166E-3</v>
      </c>
    </row>
    <row r="11225" spans="1:4" ht="16.5" hidden="1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313">
        <f>参数调整!$K$41*怪物掉落配置方案!$D5069</f>
        <v>5.6323667139037562E-3</v>
      </c>
    </row>
    <row r="11226" spans="1:4" ht="16.5" hidden="1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313">
        <f>参数调整!$K$41*怪物掉落配置方案!$D5070</f>
        <v>6.4456938705356147E-3</v>
      </c>
    </row>
    <row r="11227" spans="1:4" ht="16.5" hidden="1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313">
        <f>参数调整!$K$41*怪物掉落配置方案!$D5071</f>
        <v>7.3138520714347895E-3</v>
      </c>
    </row>
    <row r="11228" spans="1:4" ht="16.5" hidden="1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313">
        <f>参数调整!$K$41*怪物掉落配置方案!$D5072</f>
        <v>8.2368413166012764E-3</v>
      </c>
    </row>
    <row r="11229" spans="1:4" ht="16.5" hidden="1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313">
        <f>参数调整!$K$41*怪物掉落配置方案!$D5073</f>
        <v>9.2146616060350822E-3</v>
      </c>
    </row>
    <row r="11230" spans="1:4" ht="16.5" hidden="1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313">
        <f>参数调整!$K$41*怪物掉落配置方案!$D5074</f>
        <v>1.0247312939736202E-2</v>
      </c>
    </row>
    <row r="11231" spans="1:4" ht="16.5" hidden="1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313">
        <f>参数调整!$K$41*怪物掉落配置方案!$D5075</f>
        <v>1.1334795317704639E-2</v>
      </c>
    </row>
    <row r="11232" spans="1:4" ht="16.5" hidden="1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313">
        <f>参数调整!$K$41*怪物掉落配置方案!$D5076</f>
        <v>1.2477108739940398E-2</v>
      </c>
    </row>
    <row r="11233" spans="1:4" ht="16.5" hidden="1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313">
        <f>参数调整!$K$41*怪物掉落配置方案!$D5077</f>
        <v>1.3674253206443464E-2</v>
      </c>
    </row>
    <row r="11234" spans="1:4" ht="16.5" hidden="1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313">
        <f>参数调整!$K$41*怪物掉落配置方案!$D5078</f>
        <v>1.4926228717213854E-2</v>
      </c>
    </row>
    <row r="11235" spans="1:4" ht="16.5" hidden="1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313">
        <f>参数调整!$K$41*怪物掉落配置方案!$D5079</f>
        <v>2.7240556334352923E-2</v>
      </c>
    </row>
    <row r="11236" spans="1:4" ht="16.5" hidden="1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313">
        <f>参数调整!$K$41*怪物掉落配置方案!$D5080</f>
        <v>3.4476329110665421E-2</v>
      </c>
    </row>
    <row r="11237" spans="1:4" ht="16.5" hidden="1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313">
        <f>参数调整!$K$41*怪物掉落配置方案!$D5081</f>
        <v>4.2563369272426439E-2</v>
      </c>
    </row>
    <row r="11238" spans="1:4" ht="16.5" hidden="1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313">
        <f>参数调整!$K$41*怪物掉落配置方案!$D5082</f>
        <v>5.1501676819635994E-2</v>
      </c>
    </row>
    <row r="11239" spans="1:4" ht="16.5" hidden="1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313">
        <f>参数调整!$K$41*怪物掉落配置方案!$D5083</f>
        <v>6.1291251752294058E-2</v>
      </c>
    </row>
    <row r="11240" spans="1:4" ht="16.5" hidden="1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313">
        <f>参数调整!$K$41*怪物掉落配置方案!$D5084</f>
        <v>7.1932094070400687E-2</v>
      </c>
    </row>
    <row r="11241" spans="1:4" ht="16.5" hidden="1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313">
        <f>参数调整!$K$41*怪物掉落配置方案!$D5085</f>
        <v>8.3424203773955818E-2</v>
      </c>
    </row>
    <row r="11242" spans="1:4" ht="16.5" hidden="1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313">
        <f>参数调整!$K$41*怪物掉落配置方案!$D5086</f>
        <v>9.57675808629595E-2</v>
      </c>
    </row>
    <row r="11243" spans="1:4" ht="16.5" hidden="1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313">
        <f>参数调整!$K$41*怪物掉落配置方案!$D5087</f>
        <v>0.10896222533741171</v>
      </c>
    </row>
    <row r="11244" spans="1:4" ht="16.5" hidden="1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313">
        <f>参数调整!$K$41*怪物掉落配置方案!$D5088</f>
        <v>0.13790531644266169</v>
      </c>
    </row>
    <row r="11245" spans="1:4" ht="16.5" hidden="1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313">
        <f>参数调整!$K$41*怪物掉落配置方案!$D5089</f>
        <v>0.17025347708970576</v>
      </c>
    </row>
    <row r="11246" spans="1:4" ht="16.5" hidden="1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313">
        <f>参数调整!$K$41*怪物掉落配置方案!$D5090</f>
        <v>0.20600670727854398</v>
      </c>
    </row>
    <row r="11247" spans="1:4" ht="16.5" hidden="1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313">
        <f>参数调整!$K$41*怪物掉落配置方案!$D5091</f>
        <v>0.26602105795266523</v>
      </c>
    </row>
    <row r="11248" spans="1:4" ht="16.5" hidden="1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313">
        <f>参数调整!$K$41*怪物掉落配置方案!$D5092</f>
        <v>0.38307032345183789</v>
      </c>
    </row>
    <row r="11249" spans="1:4" ht="16.5" hidden="1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313">
        <f>参数调整!$K$41*怪物掉落配置方案!$D5093</f>
        <v>0.52140127358722377</v>
      </c>
    </row>
    <row r="11250" spans="1:4" ht="16.5" hidden="1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313">
        <f>参数调整!$K$41*怪物掉落配置方案!$D5094</f>
        <v>0.5826925253395181</v>
      </c>
    </row>
    <row r="11251" spans="1:4" ht="16.5" hidden="1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313">
        <f>参数调整!$K$41*怪物掉落配置方案!$D5095</f>
        <v>0.68101390835882303</v>
      </c>
    </row>
    <row r="11252" spans="1:4" ht="16.5" hidden="1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313">
        <f>参数调整!$K$41*怪物掉落配置方案!$D5096</f>
        <v>0.78699669784716475</v>
      </c>
    </row>
    <row r="11253" spans="1:4" ht="16.5" hidden="1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313">
        <f>参数调整!$K$41*怪物掉落配置方案!$D5097</f>
        <v>0.90064089380454337</v>
      </c>
    </row>
    <row r="11254" spans="1:4" ht="16.5" hidden="1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313">
        <f>参数调整!$K$41*怪物掉落配置方案!$D5098</f>
        <v>1.0219464962309592</v>
      </c>
    </row>
    <row r="11255" spans="1:4" ht="16.5" hidden="1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313">
        <f>参数调整!$K$41*怪物掉落配置方案!$D5099</f>
        <v>1.1509135051264108</v>
      </c>
    </row>
    <row r="11256" spans="1:4" ht="16.5" hidden="1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313">
        <f>参数调整!$K$41*怪物掉落配置方案!$D5100</f>
        <v>1.2875419204908998</v>
      </c>
    </row>
    <row r="11257" spans="1:4" ht="16.5" hidden="1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313">
        <f>参数调整!$K$41*怪物掉落配置方案!$D5101</f>
        <v>1.4318317423244253</v>
      </c>
    </row>
    <row r="11258" spans="1:4" ht="16.5" hidden="1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313">
        <f>参数调整!$K$41*怪物掉落配置方案!$D5102</f>
        <v>1.5837829706269875</v>
      </c>
    </row>
    <row r="11259" spans="1:4" ht="16.5" hidden="1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313">
        <f>参数调整!$K$41*怪物掉落配置方案!$D5103</f>
        <v>1.7433956053985873</v>
      </c>
    </row>
    <row r="11260" spans="1:4" ht="16.5" hidden="1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313">
        <f>参数调整!$K$41*怪物掉落配置方案!$D5104</f>
        <v>1.910669646639223</v>
      </c>
    </row>
    <row r="11261" spans="1:4" ht="16.5" hidden="1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313">
        <f>参数调整!$K$41*怪物掉落配置方案!$D5105</f>
        <v>2.085605094348896</v>
      </c>
    </row>
    <row r="11262" spans="1:4" ht="16.5" hidden="1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313">
        <f>参数调整!$K$41*怪物掉落配置方案!$D5106</f>
        <v>3.5472643731095737E-3</v>
      </c>
    </row>
    <row r="11263" spans="1:4" ht="16.5" hidden="1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313">
        <f>参数调整!$K$41*怪物掉落配置方案!$D5107</f>
        <v>4.4895064722168037E-3</v>
      </c>
    </row>
    <row r="11264" spans="1:4" ht="16.5" hidden="1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313">
        <f>参数调整!$K$41*怪物掉落配置方案!$D5108</f>
        <v>5.5426005829837073E-3</v>
      </c>
    </row>
    <row r="11265" spans="1:4" ht="16.5" hidden="1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313">
        <f>参数调整!$K$41*怪物掉落配置方案!$D5109</f>
        <v>6.7065467054102865E-3</v>
      </c>
    </row>
    <row r="11266" spans="1:4" ht="16.5" hidden="1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313">
        <f>参数调整!$K$41*怪物掉落配置方案!$D5110</f>
        <v>7.9813448394965378E-3</v>
      </c>
    </row>
    <row r="11267" spans="1:4" ht="16.5" hidden="1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313">
        <f>参数调整!$K$41*怪物掉落配置方案!$D5111</f>
        <v>9.3669949852424675E-3</v>
      </c>
    </row>
    <row r="11268" spans="1:4" ht="16.5" hidden="1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313">
        <f>参数调整!$K$41*怪物掉落配置方案!$D5112</f>
        <v>1.0863497142648063E-2</v>
      </c>
    </row>
    <row r="11269" spans="1:4" ht="16.5" hidden="1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313">
        <f>参数调整!$K$41*怪物掉落配置方案!$D5113</f>
        <v>1.2470851311713344E-2</v>
      </c>
    </row>
    <row r="11270" spans="1:4" ht="16.5" hidden="1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313">
        <f>参数调整!$K$41*怪物掉落配置方案!$D5114</f>
        <v>1.4189057492438295E-2</v>
      </c>
    </row>
    <row r="11271" spans="1:4" ht="16.5" hidden="1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313">
        <f>参数调整!$K$41*怪物掉落配置方案!$D5115</f>
        <v>1.7958025888867215E-2</v>
      </c>
    </row>
    <row r="11272" spans="1:4" ht="16.5" hidden="1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313">
        <f>参数调整!$K$41*怪物掉落配置方案!$D5116</f>
        <v>2.2170402331934826E-2</v>
      </c>
    </row>
    <row r="11273" spans="1:4" ht="16.5" hidden="1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313">
        <f>参数调整!$K$41*怪物掉落配置方案!$D5117</f>
        <v>2.6826186821641146E-2</v>
      </c>
    </row>
    <row r="11274" spans="1:4" ht="16.5" hidden="1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313">
        <f>参数调整!$K$41*怪物掉落配置方案!$D5118</f>
        <v>3.4641253643648166E-2</v>
      </c>
    </row>
    <row r="11275" spans="1:4" ht="16.5" hidden="1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313">
        <f>参数调整!$K$41*怪物掉落配置方案!$D5119</f>
        <v>4.9883405246853363E-2</v>
      </c>
    </row>
    <row r="11276" spans="1:4" ht="16.5" hidden="1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313">
        <f>参数调整!$K$41*怪物掉落配置方案!$D5120</f>
        <v>6.7896857141550415E-2</v>
      </c>
    </row>
    <row r="11277" spans="1:4" ht="16.5" hidden="1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313">
        <f>参数调整!$K$41*怪物掉落配置方案!$D5121</f>
        <v>7.5878201981046972E-2</v>
      </c>
    </row>
    <row r="11278" spans="1:4" ht="16.5" hidden="1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313">
        <f>参数调整!$K$41*怪物掉落配置方案!$D5122</f>
        <v>8.8681609327739302E-2</v>
      </c>
    </row>
    <row r="11279" spans="1:4" ht="16.5" hidden="1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313">
        <f>参数调整!$K$41*怪物掉落配置方案!$D5123</f>
        <v>0.10248268477936873</v>
      </c>
    </row>
    <row r="11280" spans="1:4" ht="16.5" hidden="1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313">
        <f>参数调整!$K$41*怪物掉落配置方案!$D5124</f>
        <v>0.11728142833593524</v>
      </c>
    </row>
    <row r="11281" spans="1:4" ht="16.5" hidden="1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313">
        <f>参数调整!$K$41*怪物掉落配置方案!$D5125</f>
        <v>0.13307783999743883</v>
      </c>
    </row>
    <row r="11282" spans="1:4" ht="16.5" hidden="1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313">
        <f>参数调整!$K$41*怪物掉落配置方案!$D5126</f>
        <v>0.14987191976387945</v>
      </c>
    </row>
    <row r="11283" spans="1:4" ht="16.5" hidden="1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313">
        <f>参数调整!$K$41*怪物掉落配置方案!$D5127</f>
        <v>0.16766366763525717</v>
      </c>
    </row>
    <row r="11284" spans="1:4" ht="16.5" hidden="1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313">
        <f>参数调整!$K$41*怪物掉落配置方案!$D5128</f>
        <v>0.18645308361157192</v>
      </c>
    </row>
    <row r="11285" spans="1:4" ht="16.5" hidden="1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313">
        <f>参数调整!$K$41*怪物掉落配置方案!$D5129</f>
        <v>0.20624016769282372</v>
      </c>
    </row>
    <row r="11286" spans="1:4" ht="16.5" hidden="1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313">
        <f>参数调整!$K$41*怪物掉落配置方案!$D5130</f>
        <v>0.22702491987901269</v>
      </c>
    </row>
    <row r="11287" spans="1:4" ht="16.5" hidden="1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313">
        <f>参数调整!$K$41*怪物掉落配置方案!$D5131</f>
        <v>0.24880734017013867</v>
      </c>
    </row>
    <row r="11288" spans="1:4" ht="16.5" hidden="1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313">
        <f>参数调整!$K$41*怪物掉落配置方案!$D5132</f>
        <v>0.27158742856620166</v>
      </c>
    </row>
    <row r="11289" spans="1:4" ht="16.5" hidden="1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313">
        <f>参数调整!$K$42*怪物掉落配置方案!$D4107</f>
        <v>2.7714056811382563E-3</v>
      </c>
    </row>
    <row r="11290" spans="1:4" ht="16.5" hidden="1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313">
        <f>参数调整!$K$42*怪物掉落配置方案!$D4108</f>
        <v>3.5075603151906061E-3</v>
      </c>
    </row>
    <row r="11291" spans="1:4" ht="16.5" hidden="1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313">
        <f>参数调整!$K$42*怪物掉落配置方案!$D4109</f>
        <v>4.3303213767785249E-3</v>
      </c>
    </row>
    <row r="11292" spans="1:4" ht="16.5" hidden="1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313">
        <f>参数调整!$K$42*怪物掉落配置方案!$D4110</f>
        <v>5.239688865902016E-3</v>
      </c>
    </row>
    <row r="11293" spans="1:4" ht="16.5" hidden="1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313">
        <f>参数调整!$K$42*怪物掉落配置方案!$D4111</f>
        <v>6.2356627825610744E-3</v>
      </c>
    </row>
    <row r="11294" spans="1:4" ht="16.5" hidden="1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313">
        <f>参数调整!$K$42*怪物掉落配置方案!$D4112</f>
        <v>7.3182431267557069E-3</v>
      </c>
    </row>
    <row r="11295" spans="1:4" ht="16.5" hidden="1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313">
        <f>参数调整!$K$42*怪物掉落配置方案!$D4113</f>
        <v>8.4874298984859084E-3</v>
      </c>
    </row>
    <row r="11296" spans="1:4" ht="16.5" hidden="1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313">
        <f>参数调整!$K$42*怪物掉落配置方案!$D4114</f>
        <v>9.7432230977516805E-3</v>
      </c>
    </row>
    <row r="11297" spans="1:4" ht="16.5" hidden="1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313">
        <f>参数调整!$K$42*怪物掉落配置方案!$D4115</f>
        <v>1.1085622724553025E-2</v>
      </c>
    </row>
    <row r="11298" spans="1:4" ht="16.5" hidden="1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313">
        <f>参数调整!$K$42*怪物掉落配置方案!$D4116</f>
        <v>1.4030241260762421E-2</v>
      </c>
    </row>
    <row r="11299" spans="1:4" ht="16.5" hidden="1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313">
        <f>参数调整!$K$42*怪物掉落配置方案!$D4117</f>
        <v>1.7321285507114099E-2</v>
      </c>
    </row>
    <row r="11300" spans="1:4" ht="16.5" hidden="1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313">
        <f>参数调整!$K$42*怪物掉落配置方案!$D4118</f>
        <v>2.0958755463608064E-2</v>
      </c>
    </row>
    <row r="11301" spans="1:4" ht="16.5" hidden="1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313">
        <f>参数调整!$K$42*怪物掉落配置方案!$D4119</f>
        <v>2.7064508604865777E-2</v>
      </c>
    </row>
    <row r="11302" spans="1:4" ht="16.5" hidden="1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313">
        <f>参数调整!$K$42*怪物掉落配置方案!$D4120</f>
        <v>3.8972892391006715E-2</v>
      </c>
    </row>
    <row r="11303" spans="1:4" ht="16.5" hidden="1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313">
        <f>参数调整!$K$42*怪物掉落配置方案!$D4121</f>
        <v>5.3046436865536922E-2</v>
      </c>
    </row>
    <row r="11304" spans="1:4" ht="16.5" hidden="1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313">
        <f>参数调整!$K$42*怪物掉落配置方案!$D4122</f>
        <v>5.9282099648098011E-2</v>
      </c>
    </row>
    <row r="11305" spans="1:4" ht="16.5" hidden="1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313">
        <f>参数调整!$K$42*怪物掉落配置方案!$D4123</f>
        <v>6.9285142028456398E-2</v>
      </c>
    </row>
    <row r="11306" spans="1:4" ht="16.5" hidden="1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313">
        <f>参数调整!$K$42*怪物掉落配置方案!$D4124</f>
        <v>8.0067642256634902E-2</v>
      </c>
    </row>
    <row r="11307" spans="1:4" ht="16.5" hidden="1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313">
        <f>参数调整!$K$42*怪物掉落配置方案!$D4125</f>
        <v>9.1629600332633565E-2</v>
      </c>
    </row>
    <row r="11308" spans="1:4" ht="16.5" hidden="1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313">
        <f>参数调整!$K$42*怪物掉落配置方案!$D4126</f>
        <v>0.10397101625645239</v>
      </c>
    </row>
    <row r="11309" spans="1:4" ht="16.5" hidden="1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313">
        <f>参数调整!$K$42*怪物掉落配置方案!$D4127</f>
        <v>0.11709189002809131</v>
      </c>
    </row>
    <row r="11310" spans="1:4" ht="16.5" hidden="1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313">
        <f>参数调整!$K$42*怪物掉落配置方案!$D4128</f>
        <v>0.13099222164755037</v>
      </c>
    </row>
    <row r="11311" spans="1:4" ht="16.5" hidden="1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313">
        <f>参数调整!$K$42*怪物掉落配置方案!$D4129</f>
        <v>0.14567201111482955</v>
      </c>
    </row>
    <row r="11312" spans="1:4" ht="16.5" hidden="1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313">
        <f>参数调整!$K$42*怪物掉落配置方案!$D4130</f>
        <v>0.16113125842992887</v>
      </c>
    </row>
    <row r="11313" spans="1:4" ht="16.5" hidden="1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313">
        <f>参数调整!$K$42*怪物掉落配置方案!$D4131</f>
        <v>0.1773699635928484</v>
      </c>
    </row>
    <row r="11314" spans="1:4" ht="16.5" hidden="1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313">
        <f>参数调整!$K$42*怪物掉落配置方案!$D4132</f>
        <v>0.19438812660358798</v>
      </c>
    </row>
    <row r="11315" spans="1:4" ht="16.5" hidden="1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313">
        <f>参数调整!$K$42*怪物掉落配置方案!$D4133</f>
        <v>0.21218574746214774</v>
      </c>
    </row>
    <row r="11316" spans="1:4" ht="16.5" hidden="1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313">
        <f>参数调整!$K$42*怪物掉落配置方案!$D4134</f>
        <v>3.6319578791387565E-2</v>
      </c>
    </row>
    <row r="11317" spans="1:4" ht="16.5" hidden="1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313">
        <f>参数调整!$K$42*怪物掉落配置方案!$D4135</f>
        <v>4.5966966907849884E-2</v>
      </c>
    </row>
    <row r="11318" spans="1:4" ht="16.5" hidden="1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313">
        <f>参数调整!$K$42*怪物掉落配置方案!$D4136</f>
        <v>5.6749341861543054E-2</v>
      </c>
    </row>
    <row r="11319" spans="1:4" ht="16.5" hidden="1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313">
        <f>参数调整!$K$42*怪物掉落配置方案!$D4137</f>
        <v>6.8666703652467104E-2</v>
      </c>
    </row>
    <row r="11320" spans="1:4" ht="16.5" hidden="1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313">
        <f>参数调整!$K$42*怪物掉落配置方案!$D4138</f>
        <v>8.171905228062197E-2</v>
      </c>
    </row>
    <row r="11321" spans="1:4" ht="16.5" hidden="1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313">
        <f>参数调整!$K$42*怪物掉落配置方案!$D4139</f>
        <v>9.5906387746007779E-2</v>
      </c>
    </row>
    <row r="11322" spans="1:4" ht="16.5" hidden="1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313">
        <f>参数调整!$K$42*怪物掉落配置方案!$D4140</f>
        <v>0.11122871004862436</v>
      </c>
    </row>
    <row r="11323" spans="1:4" ht="16.5" hidden="1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313">
        <f>参数调整!$K$42*怪物掉落配置方案!$D4141</f>
        <v>0.12768601918847186</v>
      </c>
    </row>
    <row r="11324" spans="1:4" ht="16.5" hidden="1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313">
        <f>参数调整!$K$42*怪物掉落配置方案!$D4142</f>
        <v>0.14527831516555026</v>
      </c>
    </row>
    <row r="11325" spans="1:4" ht="16.5" hidden="1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313">
        <f>参数调整!$K$42*怪物掉落配置方案!$D4143</f>
        <v>0.18386786763139951</v>
      </c>
    </row>
    <row r="11326" spans="1:4" ht="16.5" hidden="1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313">
        <f>参数调整!$K$42*怪物掉落配置方案!$D4144</f>
        <v>0.22699736744617216</v>
      </c>
    </row>
    <row r="11327" spans="1:4" ht="16.5" hidden="1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313">
        <f>参数调整!$K$42*怪物掉落配置方案!$D4145</f>
        <v>0.27466681460986841</v>
      </c>
    </row>
    <row r="11328" spans="1:4" ht="16.5" hidden="1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313">
        <f>参数调整!$K$42*怪物掉落配置方案!$D4146</f>
        <v>0.35468338663464405</v>
      </c>
    </row>
    <row r="11329" spans="1:4" ht="16.5" hidden="1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313">
        <f>参数调整!$K$42*怪物掉落配置方案!$D4147</f>
        <v>0.51074407675388744</v>
      </c>
    </row>
    <row r="11330" spans="1:4" ht="16.5" hidden="1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313">
        <f>参数调整!$K$42*怪物掉落配置方案!$D4148</f>
        <v>0.69517943780390223</v>
      </c>
    </row>
    <row r="11331" spans="1:4" ht="16.5" hidden="1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313">
        <f>参数调整!$K$42*怪物掉落配置方案!$D4149</f>
        <v>0.7768984900845245</v>
      </c>
    </row>
    <row r="11332" spans="1:4" ht="16.5" hidden="1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313">
        <f>参数调整!$K$42*怪物掉落配置方案!$D4150</f>
        <v>0.90798946978468864</v>
      </c>
    </row>
    <row r="11333" spans="1:4" ht="16.5" hidden="1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313">
        <f>参数调整!$K$42*怪物掉落配置方案!$D4151</f>
        <v>1.0492953310199309</v>
      </c>
    </row>
    <row r="11334" spans="1:4" ht="16.5" hidden="1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313">
        <f>参数调整!$K$42*怪物掉落配置方案!$D4152</f>
        <v>1.2008160737902509</v>
      </c>
    </row>
    <row r="11335" spans="1:4" ht="16.5" hidden="1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313">
        <f>参数调整!$K$42*怪物掉落配置方案!$D4153</f>
        <v>1.3625516980956489</v>
      </c>
    </row>
    <row r="11336" spans="1:4" ht="16.5" hidden="1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313">
        <f>参数调整!$K$42*怪物掉落配置方案!$D4154</f>
        <v>1.534502203936124</v>
      </c>
    </row>
    <row r="11337" spans="1:4" ht="16.5" hidden="1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313">
        <f>参数调整!$K$42*怪物掉落配置方案!$D4155</f>
        <v>1.7166675913116776</v>
      </c>
    </row>
    <row r="11338" spans="1:4" ht="16.5" hidden="1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313">
        <f>参数调整!$K$42*怪物掉落配置方案!$D4156</f>
        <v>1.9090478602223082</v>
      </c>
    </row>
    <row r="11339" spans="1:4" ht="16.5" hidden="1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313">
        <f>参数调整!$K$42*怪物掉落配置方案!$D4157</f>
        <v>2.1116430106680166</v>
      </c>
    </row>
    <row r="11340" spans="1:4" ht="16.5" hidden="1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313">
        <f>参数调整!$K$42*怪物掉落配置方案!$D4158</f>
        <v>2.3244530426488037</v>
      </c>
    </row>
    <row r="11341" spans="1:4" ht="16.5" hidden="1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313">
        <f>参数调整!$K$42*怪物掉落配置方案!$D4159</f>
        <v>2.5474779561646677</v>
      </c>
    </row>
    <row r="11342" spans="1:4" ht="16.5" hidden="1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313">
        <f>参数调整!$K$42*怪物掉落配置方案!$D4160</f>
        <v>2.7807177512156094</v>
      </c>
    </row>
    <row r="11343" spans="1:4" ht="16.5" hidden="1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313">
        <f>参数调整!$K$42*怪物掉落配置方案!$D4161</f>
        <v>469</v>
      </c>
    </row>
    <row r="11344" spans="1:4" ht="16.5" hidden="1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313">
        <f>参数调整!$K$42*怪物掉落配置方案!$D4162</f>
        <v>595</v>
      </c>
    </row>
    <row r="11345" spans="1:4" ht="16.5" hidden="1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313">
        <f>参数调整!$K$42*怪物掉落配置方案!$D4163</f>
        <v>735</v>
      </c>
    </row>
    <row r="11346" spans="1:4" ht="16.5" hidden="1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313">
        <f>参数调整!$K$42*怪物掉落配置方案!$D4164</f>
        <v>889</v>
      </c>
    </row>
    <row r="11347" spans="1:4" ht="16.5" hidden="1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313">
        <f>参数调整!$K$42*怪物掉落配置方案!$D4165</f>
        <v>1057</v>
      </c>
    </row>
    <row r="11348" spans="1:4" ht="16.5" hidden="1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313">
        <f>参数调整!$K$42*怪物掉落配置方案!$D4166</f>
        <v>1239</v>
      </c>
    </row>
    <row r="11349" spans="1:4" ht="16.5" hidden="1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313">
        <f>参数调整!$K$42*怪物掉落配置方案!$D4167</f>
        <v>1442</v>
      </c>
    </row>
    <row r="11350" spans="1:4" ht="16.5" hidden="1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313">
        <f>参数调整!$K$42*怪物掉落配置方案!$D4168</f>
        <v>1652</v>
      </c>
    </row>
    <row r="11351" spans="1:4" ht="16.5" hidden="1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313">
        <f>参数调整!$K$42*怪物掉落配置方案!$D4169</f>
        <v>1876</v>
      </c>
    </row>
    <row r="11352" spans="1:4" ht="16.5" hidden="1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313">
        <f>参数调整!$K$42*怪物掉落配置方案!$D4170</f>
        <v>2380</v>
      </c>
    </row>
    <row r="11353" spans="1:4" ht="16.5" hidden="1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313">
        <f>参数调整!$K$42*怪物掉落配置方案!$D4171</f>
        <v>2933</v>
      </c>
    </row>
    <row r="11354" spans="1:4" ht="16.5" hidden="1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313">
        <f>参数调整!$K$42*怪物掉落配置方案!$D4172</f>
        <v>3556</v>
      </c>
    </row>
    <row r="11355" spans="1:4" ht="16.5" hidden="1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313">
        <f>参数调整!$K$42*怪物掉落配置方案!$D4173</f>
        <v>4585</v>
      </c>
    </row>
    <row r="11356" spans="1:4" ht="16.5" hidden="1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313">
        <f>参数调整!$K$42*怪物掉落配置方案!$D4174</f>
        <v>6608</v>
      </c>
    </row>
    <row r="11357" spans="1:4" ht="16.5" hidden="1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313">
        <f>参数调整!$K$42*怪物掉落配置方案!$D4175</f>
        <v>8995</v>
      </c>
    </row>
    <row r="11358" spans="1:4" ht="16.5" hidden="1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313">
        <f>参数调整!$K$42*怪物掉落配置方案!$D4176</f>
        <v>10052</v>
      </c>
    </row>
    <row r="11359" spans="1:4" ht="16.5" hidden="1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313">
        <f>参数调整!$K$42*怪物掉落配置方案!$D4177</f>
        <v>11746</v>
      </c>
    </row>
    <row r="11360" spans="1:4" ht="16.5" hidden="1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313">
        <f>参数调整!$K$42*怪物掉落配置方案!$D4178</f>
        <v>13573</v>
      </c>
    </row>
    <row r="11361" spans="1:4" ht="16.5" hidden="1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313">
        <f>参数调整!$K$42*怪物掉落配置方案!$D4179</f>
        <v>15533</v>
      </c>
    </row>
    <row r="11362" spans="1:4" ht="16.5" hidden="1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313">
        <f>参数调整!$K$42*怪物掉落配置方案!$D4180</f>
        <v>17626</v>
      </c>
    </row>
    <row r="11363" spans="1:4" ht="16.5" hidden="1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313">
        <f>参数调整!$K$42*怪物掉落配置方案!$D4181</f>
        <v>19852</v>
      </c>
    </row>
    <row r="11364" spans="1:4" ht="16.5" hidden="1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313">
        <f>参数调整!$K$42*怪物掉落配置方案!$D4182</f>
        <v>22204</v>
      </c>
    </row>
    <row r="11365" spans="1:4" ht="16.5" hidden="1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313">
        <f>参数调整!$K$42*怪物掉落配置方案!$D4183</f>
        <v>24696</v>
      </c>
    </row>
    <row r="11366" spans="1:4" ht="16.5" hidden="1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313">
        <f>参数调整!$K$42*怪物掉落配置方案!$D4184</f>
        <v>27314</v>
      </c>
    </row>
    <row r="11367" spans="1:4" ht="16.5" hidden="1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313">
        <f>参数调整!$K$42*怪物掉落配置方案!$D4185</f>
        <v>30065</v>
      </c>
    </row>
    <row r="11368" spans="1:4" ht="16.5" hidden="1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313">
        <f>参数调整!$K$42*怪物掉落配置方案!$D4186</f>
        <v>32949</v>
      </c>
    </row>
    <row r="11369" spans="1:4" ht="16.5" hidden="1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313">
        <f>参数调整!$K$42*怪物掉落配置方案!$D4187</f>
        <v>35966</v>
      </c>
    </row>
    <row r="11370" spans="1:4" ht="16.5" hidden="1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313">
        <f>参数调整!$K$42*怪物掉落配置方案!$D4188</f>
        <v>5.6861823684624206E-5</v>
      </c>
    </row>
    <row r="11371" spans="1:4" ht="16.5" hidden="1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313">
        <f>参数调整!$K$42*怪物掉落配置方案!$D4189</f>
        <v>7.1965745600852522E-5</v>
      </c>
    </row>
    <row r="11372" spans="1:4" ht="16.5" hidden="1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313">
        <f>参数调整!$K$42*怪物掉落配置方案!$D4190</f>
        <v>8.8846599507225312E-5</v>
      </c>
    </row>
    <row r="11373" spans="1:4" ht="16.5" hidden="1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313">
        <f>参数调整!$K$42*怪物掉落配置方案!$D4191</f>
        <v>1.0750438540374263E-4</v>
      </c>
    </row>
    <row r="11374" spans="1:4" ht="16.5" hidden="1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313">
        <f>参数调整!$K$42*怪物掉落配置方案!$D4192</f>
        <v>1.2793910329040442E-4</v>
      </c>
    </row>
    <row r="11375" spans="1:4" ht="16.5" hidden="1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313">
        <f>参数调整!$K$42*怪物掉落配置方案!$D4193</f>
        <v>1.5015075316721077E-4</v>
      </c>
    </row>
    <row r="11376" spans="1:4" ht="16.5" hidden="1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313">
        <f>参数调整!$K$42*怪物掉落配置方案!$D4194</f>
        <v>1.7413933503416159E-4</v>
      </c>
    </row>
    <row r="11377" spans="1:4" ht="16.5" hidden="1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313">
        <f>参数调整!$K$42*怪物掉落配置方案!$D4195</f>
        <v>1.9990484889125692E-4</v>
      </c>
    </row>
    <row r="11378" spans="1:4" ht="16.5" hidden="1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313">
        <f>参数调整!$K$42*怪物掉落配置方案!$D4196</f>
        <v>2.2744729473849688E-4</v>
      </c>
    </row>
    <row r="11379" spans="1:4" ht="16.5" hidden="1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313">
        <f>参数调整!$K$42*怪物掉落配置方案!$D4197</f>
        <v>2.8786298240340998E-4</v>
      </c>
    </row>
    <row r="11380" spans="1:4" ht="16.5" hidden="1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313">
        <f>参数调整!$K$42*怪物掉落配置方案!$D4198</f>
        <v>3.553863980289012E-4</v>
      </c>
    </row>
    <row r="11381" spans="1:4" ht="16.5" hidden="1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313">
        <f>参数调整!$K$42*怪物掉落配置方案!$D4199</f>
        <v>4.3001754161497052E-4</v>
      </c>
    </row>
    <row r="11382" spans="1:4" ht="16.5" hidden="1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313">
        <f>参数调整!$K$42*怪物掉落配置方案!$D4200</f>
        <v>5.5529124692015822E-4</v>
      </c>
    </row>
    <row r="11383" spans="1:4" ht="16.5" hidden="1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313">
        <f>参数调整!$K$42*怪物掉落配置方案!$D4201</f>
        <v>7.9961939556502757E-4</v>
      </c>
    </row>
    <row r="11384" spans="1:4" ht="16.5" hidden="1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313">
        <f>参数调整!$K$42*怪物掉落配置方案!$D4202</f>
        <v>1.0883708439635099E-3</v>
      </c>
    </row>
    <row r="11385" spans="1:4" ht="16.5" hidden="1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313">
        <f>参数调整!$K$42*怪物掉落配置方案!$D4203</f>
        <v>1.2163099472539147E-3</v>
      </c>
    </row>
    <row r="11386" spans="1:4" ht="16.5" hidden="1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313">
        <f>参数调整!$K$42*怪物掉落配置方案!$D4204</f>
        <v>1.4215455921156048E-3</v>
      </c>
    </row>
    <row r="11387" spans="1:4" ht="16.5" hidden="1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313">
        <f>参数调整!$K$42*怪物掉落配置方案!$D4205</f>
        <v>1.6427736248885954E-3</v>
      </c>
    </row>
    <row r="11388" spans="1:4" ht="16.5" hidden="1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313">
        <f>参数调整!$K$42*怪物掉落配置方案!$D4206</f>
        <v>1.8799940455728875E-3</v>
      </c>
    </row>
    <row r="11389" spans="1:4" ht="16.5" hidden="1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313">
        <f>参数调整!$K$42*怪物掉落配置方案!$D4207</f>
        <v>2.1332068541684802E-3</v>
      </c>
    </row>
    <row r="11390" spans="1:4" ht="16.5" hidden="1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313">
        <f>参数调整!$K$42*怪物掉落配置方案!$D4208</f>
        <v>2.4024120506753724E-3</v>
      </c>
    </row>
    <row r="11391" spans="1:4" ht="16.5" hidden="1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313">
        <f>参数调整!$K$42*怪物掉落配置方案!$D4209</f>
        <v>2.6876096350935659E-3</v>
      </c>
    </row>
    <row r="11392" spans="1:4" ht="16.5" hidden="1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313">
        <f>参数调整!$K$42*怪物掉落配置方案!$D4210</f>
        <v>2.9887996074230588E-3</v>
      </c>
    </row>
    <row r="11393" spans="1:4" ht="16.5" hidden="1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313">
        <f>参数调整!$K$42*怪物掉落配置方案!$D4211</f>
        <v>3.3059819676638531E-3</v>
      </c>
    </row>
    <row r="11394" spans="1:4" ht="16.5" hidden="1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313">
        <f>参数调整!$K$42*怪物掉落配置方案!$D4212</f>
        <v>3.6391567158159492E-3</v>
      </c>
    </row>
    <row r="11395" spans="1:4" ht="16.5" hidden="1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313">
        <f>参数调整!$K$42*怪物掉落配置方案!$D4213</f>
        <v>3.9883238518793442E-3</v>
      </c>
    </row>
    <row r="11396" spans="1:4" ht="16.5" hidden="1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313">
        <f>参数调整!$K$42*怪物掉落配置方案!$D4214</f>
        <v>4.3534833758540406E-3</v>
      </c>
    </row>
    <row r="11397" spans="1:4" ht="16.5" hidden="1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313">
        <f>参数调整!$K$42*怪物掉落配置方案!$D4215</f>
        <v>0</v>
      </c>
    </row>
    <row r="11398" spans="1:4" ht="16.5" hidden="1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313">
        <f>参数调整!$K$42*怪物掉落配置方案!$D4216</f>
        <v>0</v>
      </c>
    </row>
    <row r="11399" spans="1:4" ht="16.5" hidden="1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313">
        <f>参数调整!$K$42*怪物掉落配置方案!$D4217</f>
        <v>0</v>
      </c>
    </row>
    <row r="11400" spans="1:4" ht="16.5" hidden="1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313">
        <f>参数调整!$K$42*怪物掉落配置方案!$D4218</f>
        <v>0</v>
      </c>
    </row>
    <row r="11401" spans="1:4" ht="16.5" hidden="1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313">
        <f>参数调整!$K$42*怪物掉落配置方案!$D4219</f>
        <v>0</v>
      </c>
    </row>
    <row r="11402" spans="1:4" ht="16.5" hidden="1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313">
        <f>参数调整!$K$42*怪物掉落配置方案!$D4220</f>
        <v>0</v>
      </c>
    </row>
    <row r="11403" spans="1:4" ht="16.5" hidden="1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313">
        <f>参数调整!$K$42*怪物掉落配置方案!$D4221</f>
        <v>0</v>
      </c>
    </row>
    <row r="11404" spans="1:4" ht="16.5" hidden="1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313">
        <f>参数调整!$K$42*怪物掉落配置方案!$D4222</f>
        <v>0</v>
      </c>
    </row>
    <row r="11405" spans="1:4" ht="16.5" hidden="1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313">
        <f>参数调整!$K$42*怪物掉落配置方案!$D4223</f>
        <v>0</v>
      </c>
    </row>
    <row r="11406" spans="1:4" ht="16.5" hidden="1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313">
        <f>参数调整!$K$42*怪物掉落配置方案!$D4224</f>
        <v>0</v>
      </c>
    </row>
    <row r="11407" spans="1:4" ht="16.5" hidden="1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313">
        <f>参数调整!$K$42*怪物掉落配置方案!$D4225</f>
        <v>0</v>
      </c>
    </row>
    <row r="11408" spans="1:4" ht="16.5" hidden="1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313">
        <f>参数调整!$K$42*怪物掉落配置方案!$D4226</f>
        <v>0</v>
      </c>
    </row>
    <row r="11409" spans="1:4" ht="16.5" hidden="1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313">
        <f>参数调整!$K$42*怪物掉落配置方案!$D4227</f>
        <v>0</v>
      </c>
    </row>
    <row r="11410" spans="1:4" ht="16.5" hidden="1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313">
        <f>参数调整!$K$42*怪物掉落配置方案!$D4228</f>
        <v>0</v>
      </c>
    </row>
    <row r="11411" spans="1:4" ht="16.5" hidden="1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313">
        <f>参数调整!$K$42*怪物掉落配置方案!$D4229</f>
        <v>0</v>
      </c>
    </row>
    <row r="11412" spans="1:4" ht="16.5" hidden="1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313">
        <f>参数调整!$K$42*怪物掉落配置方案!$D4230</f>
        <v>0</v>
      </c>
    </row>
    <row r="11413" spans="1:4" ht="16.5" hidden="1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313">
        <f>参数调整!$K$42*怪物掉落配置方案!$D4231</f>
        <v>0</v>
      </c>
    </row>
    <row r="11414" spans="1:4" ht="16.5" hidden="1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313">
        <f>参数调整!$K$42*怪物掉落配置方案!$D4232</f>
        <v>0</v>
      </c>
    </row>
    <row r="11415" spans="1:4" ht="16.5" hidden="1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313">
        <f>参数调整!$K$42*怪物掉落配置方案!$D4233</f>
        <v>0</v>
      </c>
    </row>
    <row r="11416" spans="1:4" ht="16.5" hidden="1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313">
        <f>参数调整!$K$42*怪物掉落配置方案!$D4234</f>
        <v>0</v>
      </c>
    </row>
    <row r="11417" spans="1:4" ht="16.5" hidden="1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313">
        <f>参数调整!$K$42*怪物掉落配置方案!$D4235</f>
        <v>0</v>
      </c>
    </row>
    <row r="11418" spans="1:4" ht="16.5" hidden="1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313">
        <f>参数调整!$K$42*怪物掉落配置方案!$D4236</f>
        <v>0</v>
      </c>
    </row>
    <row r="11419" spans="1:4" ht="16.5" hidden="1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313">
        <f>参数调整!$K$42*怪物掉落配置方案!$D4237</f>
        <v>0</v>
      </c>
    </row>
    <row r="11420" spans="1:4" ht="16.5" hidden="1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313">
        <f>参数调整!$K$42*怪物掉落配置方案!$D4238</f>
        <v>0</v>
      </c>
    </row>
    <row r="11421" spans="1:4" ht="16.5" hidden="1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313">
        <f>参数调整!$K$42*怪物掉落配置方案!$D4239</f>
        <v>0</v>
      </c>
    </row>
    <row r="11422" spans="1:4" ht="16.5" hidden="1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313">
        <f>参数调整!$K$42*怪物掉落配置方案!$D4240</f>
        <v>0</v>
      </c>
    </row>
    <row r="11423" spans="1:4" ht="16.5" hidden="1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313">
        <f>参数调整!$K$42*怪物掉落配置方案!$D4241</f>
        <v>0</v>
      </c>
    </row>
    <row r="11424" spans="1:4" ht="16.5" hidden="1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313">
        <f>参数调整!$K$42*怪物掉落配置方案!$D4242</f>
        <v>0</v>
      </c>
    </row>
    <row r="11425" spans="1:4" ht="16.5" hidden="1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313">
        <f>参数调整!$K$42*怪物掉落配置方案!$D4243</f>
        <v>0</v>
      </c>
    </row>
    <row r="11426" spans="1:4" ht="16.5" hidden="1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313">
        <f>参数调整!$K$42*怪物掉落配置方案!$D4244</f>
        <v>0</v>
      </c>
    </row>
    <row r="11427" spans="1:4" ht="16.5" hidden="1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313">
        <f>参数调整!$K$42*怪物掉落配置方案!$D4245</f>
        <v>0</v>
      </c>
    </row>
    <row r="11428" spans="1:4" ht="16.5" hidden="1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313">
        <f>参数调整!$K$42*怪物掉落配置方案!$D4246</f>
        <v>0</v>
      </c>
    </row>
    <row r="11429" spans="1:4" ht="16.5" hidden="1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313">
        <f>参数调整!$K$42*怪物掉落配置方案!$D4247</f>
        <v>0</v>
      </c>
    </row>
    <row r="11430" spans="1:4" ht="16.5" hidden="1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313">
        <f>参数调整!$K$42*怪物掉落配置方案!$D4248</f>
        <v>0</v>
      </c>
    </row>
    <row r="11431" spans="1:4" ht="16.5" hidden="1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313">
        <f>参数调整!$K$42*怪物掉落配置方案!$D4249</f>
        <v>0</v>
      </c>
    </row>
    <row r="11432" spans="1:4" ht="16.5" hidden="1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313">
        <f>参数调整!$K$42*怪物掉落配置方案!$D4250</f>
        <v>0</v>
      </c>
    </row>
    <row r="11433" spans="1:4" ht="16.5" hidden="1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313">
        <f>参数调整!$K$42*怪物掉落配置方案!$D4251</f>
        <v>0</v>
      </c>
    </row>
    <row r="11434" spans="1:4" ht="16.5" hidden="1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313">
        <f>参数调整!$K$42*怪物掉落配置方案!$D4252</f>
        <v>0</v>
      </c>
    </row>
    <row r="11435" spans="1:4" ht="16.5" hidden="1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313">
        <f>参数调整!$K$42*怪物掉落配置方案!$D4253</f>
        <v>0</v>
      </c>
    </row>
    <row r="11436" spans="1:4" ht="16.5" hidden="1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313">
        <f>参数调整!$K$42*怪物掉落配置方案!$D4254</f>
        <v>0</v>
      </c>
    </row>
    <row r="11437" spans="1:4" ht="16.5" hidden="1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313">
        <f>参数调整!$K$42*怪物掉落配置方案!$D4255</f>
        <v>0</v>
      </c>
    </row>
    <row r="11438" spans="1:4" ht="16.5" hidden="1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313">
        <f>参数调整!$K$42*怪物掉落配置方案!$D4256</f>
        <v>0</v>
      </c>
    </row>
    <row r="11439" spans="1:4" ht="16.5" hidden="1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313">
        <f>参数调整!$K$42*怪物掉落配置方案!$D4257</f>
        <v>0</v>
      </c>
    </row>
    <row r="11440" spans="1:4" ht="16.5" hidden="1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313">
        <f>参数调整!$K$42*怪物掉落配置方案!$D4258</f>
        <v>0</v>
      </c>
    </row>
    <row r="11441" spans="1:4" ht="16.5" hidden="1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313">
        <f>参数调整!$K$42*怪物掉落配置方案!$D4259</f>
        <v>0</v>
      </c>
    </row>
    <row r="11442" spans="1:4" ht="16.5" hidden="1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313">
        <f>参数调整!$K$42*怪物掉落配置方案!$D4260</f>
        <v>0</v>
      </c>
    </row>
    <row r="11443" spans="1:4" ht="16.5" hidden="1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313">
        <f>参数调整!$K$42*怪物掉落配置方案!$D4261</f>
        <v>0</v>
      </c>
    </row>
    <row r="11444" spans="1:4" ht="16.5" hidden="1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313">
        <f>参数调整!$K$42*怪物掉落配置方案!$D4262</f>
        <v>0</v>
      </c>
    </row>
    <row r="11445" spans="1:4" ht="16.5" hidden="1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313">
        <f>参数调整!$K$42*怪物掉落配置方案!$D4263</f>
        <v>0</v>
      </c>
    </row>
    <row r="11446" spans="1:4" ht="16.5" hidden="1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313">
        <f>参数调整!$K$42*怪物掉落配置方案!$D4264</f>
        <v>0</v>
      </c>
    </row>
    <row r="11447" spans="1:4" ht="16.5" hidden="1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313">
        <f>参数调整!$K$42*怪物掉落配置方案!$D4265</f>
        <v>0</v>
      </c>
    </row>
    <row r="11448" spans="1:4" ht="16.5" hidden="1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313">
        <f>参数调整!$K$42*怪物掉落配置方案!$D4266</f>
        <v>0</v>
      </c>
    </row>
    <row r="11449" spans="1:4" ht="16.5" hidden="1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313">
        <f>参数调整!$K$42*怪物掉落配置方案!$D4267</f>
        <v>0</v>
      </c>
    </row>
    <row r="11450" spans="1:4" ht="16.5" hidden="1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313">
        <f>参数调整!$K$42*怪物掉落配置方案!$D4268</f>
        <v>0</v>
      </c>
    </row>
    <row r="11451" spans="1:4" ht="16.5" hidden="1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313">
        <f>参数调整!$K$42*怪物掉落配置方案!$D4269</f>
        <v>0</v>
      </c>
    </row>
    <row r="11452" spans="1:4" ht="16.5" hidden="1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313">
        <f>参数调整!$K$42*怪物掉落配置方案!$D4270</f>
        <v>0</v>
      </c>
    </row>
    <row r="11453" spans="1:4" ht="16.5" hidden="1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313">
        <f>参数调整!$K$42*怪物掉落配置方案!$D4271</f>
        <v>0</v>
      </c>
    </row>
    <row r="11454" spans="1:4" ht="16.5" hidden="1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313">
        <f>参数调整!$K$42*怪物掉落配置方案!$D4272</f>
        <v>0</v>
      </c>
    </row>
    <row r="11455" spans="1:4" ht="16.5" hidden="1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313">
        <f>参数调整!$K$42*怪物掉落配置方案!$D4273</f>
        <v>0</v>
      </c>
    </row>
    <row r="11456" spans="1:4" ht="16.5" hidden="1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313">
        <f>参数调整!$K$42*怪物掉落配置方案!$D4274</f>
        <v>0</v>
      </c>
    </row>
    <row r="11457" spans="1:4" ht="16.5" hidden="1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313">
        <f>参数调整!$K$42*怪物掉落配置方案!$D4275</f>
        <v>0</v>
      </c>
    </row>
    <row r="11458" spans="1:4" ht="16.5" hidden="1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313">
        <f>参数调整!$K$42*怪物掉落配置方案!$D4276</f>
        <v>0</v>
      </c>
    </row>
    <row r="11459" spans="1:4" ht="16.5" hidden="1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313">
        <f>参数调整!$K$42*怪物掉落配置方案!$D4277</f>
        <v>0</v>
      </c>
    </row>
    <row r="11460" spans="1:4" ht="16.5" hidden="1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313">
        <f>参数调整!$K$42*怪物掉落配置方案!$D4278</f>
        <v>0</v>
      </c>
    </row>
    <row r="11461" spans="1:4" ht="16.5" hidden="1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313">
        <f>参数调整!$K$42*怪物掉落配置方案!$D4279</f>
        <v>0</v>
      </c>
    </row>
    <row r="11462" spans="1:4" ht="16.5" hidden="1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313">
        <f>参数调整!$K$42*怪物掉落配置方案!$D4280</f>
        <v>0</v>
      </c>
    </row>
    <row r="11463" spans="1:4" ht="16.5" hidden="1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313">
        <f>参数调整!$K$42*怪物掉落配置方案!$D4281</f>
        <v>0</v>
      </c>
    </row>
    <row r="11464" spans="1:4" ht="16.5" hidden="1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313">
        <f>参数调整!$K$42*怪物掉落配置方案!$D4282</f>
        <v>0</v>
      </c>
    </row>
    <row r="11465" spans="1:4" ht="16.5" hidden="1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313">
        <f>参数调整!$K$42*怪物掉落配置方案!$D4283</f>
        <v>0</v>
      </c>
    </row>
    <row r="11466" spans="1:4" ht="16.5" hidden="1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313">
        <f>参数调整!$K$42*怪物掉落配置方案!$D4284</f>
        <v>0</v>
      </c>
    </row>
    <row r="11467" spans="1:4" ht="16.5" hidden="1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313">
        <f>参数调整!$K$42*怪物掉落配置方案!$D4285</f>
        <v>0</v>
      </c>
    </row>
    <row r="11468" spans="1:4" ht="16.5" hidden="1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313">
        <f>参数调整!$K$42*怪物掉落配置方案!$D4286</f>
        <v>0</v>
      </c>
    </row>
    <row r="11469" spans="1:4" ht="16.5" hidden="1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313">
        <f>参数调整!$K$42*怪物掉落配置方案!$D4287</f>
        <v>0</v>
      </c>
    </row>
    <row r="11470" spans="1:4" ht="16.5" hidden="1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313">
        <f>参数调整!$K$42*怪物掉落配置方案!$D4288</f>
        <v>0</v>
      </c>
    </row>
    <row r="11471" spans="1:4" ht="16.5" hidden="1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313">
        <f>参数调整!$K$42*怪物掉落配置方案!$D4289</f>
        <v>0</v>
      </c>
    </row>
    <row r="11472" spans="1:4" ht="16.5" hidden="1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313">
        <f>参数调整!$K$42*怪物掉落配置方案!$D4290</f>
        <v>0</v>
      </c>
    </row>
    <row r="11473" spans="1:4" ht="16.5" hidden="1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313">
        <f>参数调整!$K$42*怪物掉落配置方案!$D4291</f>
        <v>0</v>
      </c>
    </row>
    <row r="11474" spans="1:4" ht="16.5" hidden="1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313">
        <f>参数调整!$K$42*怪物掉落配置方案!$D4292</f>
        <v>0</v>
      </c>
    </row>
    <row r="11475" spans="1:4" ht="16.5" hidden="1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313">
        <f>参数调整!$K$42*怪物掉落配置方案!$D4293</f>
        <v>0</v>
      </c>
    </row>
    <row r="11476" spans="1:4" ht="16.5" hidden="1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313">
        <f>参数调整!$K$42*怪物掉落配置方案!$D4294</f>
        <v>0</v>
      </c>
    </row>
    <row r="11477" spans="1:4" ht="16.5" hidden="1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313">
        <f>参数调整!$K$42*怪物掉落配置方案!$D4295</f>
        <v>0</v>
      </c>
    </row>
    <row r="11478" spans="1:4" ht="16.5" hidden="1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313">
        <f>参数调整!$K$42*怪物掉落配置方案!$D4296</f>
        <v>0</v>
      </c>
    </row>
    <row r="11479" spans="1:4" ht="16.5" hidden="1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313">
        <f>参数调整!$K$42*怪物掉落配置方案!$D4297</f>
        <v>0</v>
      </c>
    </row>
    <row r="11480" spans="1:4" ht="16.5" hidden="1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313">
        <f>参数调整!$K$42*怪物掉落配置方案!$D4298</f>
        <v>0</v>
      </c>
    </row>
    <row r="11481" spans="1:4" ht="16.5" hidden="1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313">
        <f>参数调整!$K$42*怪物掉落配置方案!$D4299</f>
        <v>0</v>
      </c>
    </row>
    <row r="11482" spans="1:4" ht="16.5" hidden="1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313">
        <f>参数调整!$K$42*怪物掉落配置方案!$D4300</f>
        <v>0</v>
      </c>
    </row>
    <row r="11483" spans="1:4" ht="16.5" hidden="1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313">
        <f>参数调整!$K$42*怪物掉落配置方案!$D4301</f>
        <v>0</v>
      </c>
    </row>
    <row r="11484" spans="1:4" ht="16.5" hidden="1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313">
        <f>参数调整!$K$42*怪物掉落配置方案!$D4302</f>
        <v>0</v>
      </c>
    </row>
    <row r="11485" spans="1:4" ht="16.5" hidden="1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313">
        <f>参数调整!$K$42*怪物掉落配置方案!$D4303</f>
        <v>0</v>
      </c>
    </row>
    <row r="11486" spans="1:4" ht="16.5" hidden="1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313">
        <f>参数调整!$K$42*怪物掉落配置方案!$D4304</f>
        <v>0</v>
      </c>
    </row>
    <row r="11487" spans="1:4" ht="16.5" hidden="1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313">
        <f>参数调整!$K$42*怪物掉落配置方案!$D4305</f>
        <v>0</v>
      </c>
    </row>
    <row r="11488" spans="1:4" ht="16.5" hidden="1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313">
        <f>参数调整!$K$42*怪物掉落配置方案!$D4306</f>
        <v>0</v>
      </c>
    </row>
    <row r="11489" spans="1:4" ht="16.5" hidden="1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313">
        <f>参数调整!$K$42*怪物掉落配置方案!$D4307</f>
        <v>0</v>
      </c>
    </row>
    <row r="11490" spans="1:4" ht="16.5" hidden="1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313">
        <f>参数调整!$K$42*怪物掉落配置方案!$D4308</f>
        <v>0</v>
      </c>
    </row>
    <row r="11491" spans="1:4" ht="16.5" hidden="1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313">
        <f>参数调整!$K$42*怪物掉落配置方案!$D4309</f>
        <v>0</v>
      </c>
    </row>
    <row r="11492" spans="1:4" ht="16.5" hidden="1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313">
        <f>参数调整!$K$42*怪物掉落配置方案!$D4310</f>
        <v>0</v>
      </c>
    </row>
    <row r="11493" spans="1:4" ht="16.5" hidden="1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313">
        <f>参数调整!$K$42*怪物掉落配置方案!$D4311</f>
        <v>0</v>
      </c>
    </row>
    <row r="11494" spans="1:4" ht="16.5" hidden="1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313">
        <f>参数调整!$K$42*怪物掉落配置方案!$D4312</f>
        <v>0</v>
      </c>
    </row>
    <row r="11495" spans="1:4" ht="16.5" hidden="1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313">
        <f>参数调整!$K$42*怪物掉落配置方案!$D4313</f>
        <v>0</v>
      </c>
    </row>
    <row r="11496" spans="1:4" ht="16.5" hidden="1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313">
        <f>参数调整!$K$42*怪物掉落配置方案!$D4314</f>
        <v>0</v>
      </c>
    </row>
    <row r="11497" spans="1:4" ht="16.5" hidden="1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313">
        <f>参数调整!$K$42*怪物掉落配置方案!$D4315</f>
        <v>0</v>
      </c>
    </row>
    <row r="11498" spans="1:4" ht="16.5" hidden="1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313">
        <f>参数调整!$K$42*怪物掉落配置方案!$D4316</f>
        <v>0</v>
      </c>
    </row>
    <row r="11499" spans="1:4" ht="16.5" hidden="1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313">
        <f>参数调整!$K$42*怪物掉落配置方案!$D4317</f>
        <v>0</v>
      </c>
    </row>
    <row r="11500" spans="1:4" ht="16.5" hidden="1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313">
        <f>参数调整!$K$42*怪物掉落配置方案!$D4318</f>
        <v>0</v>
      </c>
    </row>
    <row r="11501" spans="1:4" ht="16.5" hidden="1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313">
        <f>参数调整!$K$42*怪物掉落配置方案!$D4319</f>
        <v>0</v>
      </c>
    </row>
    <row r="11502" spans="1:4" ht="16.5" hidden="1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313">
        <f>参数调整!$K$42*怪物掉落配置方案!$D4320</f>
        <v>0</v>
      </c>
    </row>
    <row r="11503" spans="1:4" ht="16.5" hidden="1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313">
        <f>参数调整!$K$42*怪物掉落配置方案!$D4321</f>
        <v>0</v>
      </c>
    </row>
    <row r="11504" spans="1:4" ht="16.5" hidden="1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313">
        <f>参数调整!$K$42*怪物掉落配置方案!$D4322</f>
        <v>0</v>
      </c>
    </row>
    <row r="11505" spans="1:4" ht="16.5" hidden="1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313">
        <f>参数调整!$K$42*怪物掉落配置方案!$D4323</f>
        <v>0</v>
      </c>
    </row>
    <row r="11506" spans="1:4" ht="16.5" hidden="1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313">
        <f>参数调整!$K$42*怪物掉落配置方案!$D4324</f>
        <v>0</v>
      </c>
    </row>
    <row r="11507" spans="1:4" ht="16.5" hidden="1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313">
        <f>参数调整!$K$42*怪物掉落配置方案!$D4325</f>
        <v>0</v>
      </c>
    </row>
    <row r="11508" spans="1:4" ht="16.5" hidden="1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313">
        <f>参数调整!$K$42*怪物掉落配置方案!$D4326</f>
        <v>0</v>
      </c>
    </row>
    <row r="11509" spans="1:4" ht="16.5" hidden="1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313">
        <f>参数调整!$K$42*怪物掉落配置方案!$D4327</f>
        <v>0</v>
      </c>
    </row>
    <row r="11510" spans="1:4" ht="16.5" hidden="1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313">
        <f>参数调整!$K$42*怪物掉落配置方案!$D4328</f>
        <v>0</v>
      </c>
    </row>
    <row r="11511" spans="1:4" ht="16.5" hidden="1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313">
        <f>参数调整!$K$42*怪物掉落配置方案!$D4329</f>
        <v>0</v>
      </c>
    </row>
    <row r="11512" spans="1:4" ht="16.5" hidden="1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313">
        <f>参数调整!$K$42*怪物掉落配置方案!$D4330</f>
        <v>0</v>
      </c>
    </row>
    <row r="11513" spans="1:4" ht="16.5" hidden="1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313">
        <f>参数调整!$K$42*怪物掉落配置方案!$D4331</f>
        <v>0</v>
      </c>
    </row>
    <row r="11514" spans="1:4" ht="16.5" hidden="1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313">
        <f>参数调整!$K$42*怪物掉落配置方案!$D4332</f>
        <v>0</v>
      </c>
    </row>
    <row r="11515" spans="1:4" ht="16.5" hidden="1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313">
        <f>参数调整!$K$42*怪物掉落配置方案!$D4333</f>
        <v>0</v>
      </c>
    </row>
    <row r="11516" spans="1:4" ht="16.5" hidden="1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313">
        <f>参数调整!$K$42*怪物掉落配置方案!$D4334</f>
        <v>0</v>
      </c>
    </row>
    <row r="11517" spans="1:4" ht="16.5" hidden="1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313">
        <f>参数调整!$K$42*怪物掉落配置方案!$D4335</f>
        <v>0</v>
      </c>
    </row>
    <row r="11518" spans="1:4" ht="16.5" hidden="1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313">
        <f>参数调整!$K$42*怪物掉落配置方案!$D4336</f>
        <v>0</v>
      </c>
    </row>
    <row r="11519" spans="1:4" ht="16.5" hidden="1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313">
        <f>参数调整!$K$42*怪物掉落配置方案!$D4337</f>
        <v>0</v>
      </c>
    </row>
    <row r="11520" spans="1:4" ht="16.5" hidden="1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313">
        <f>参数调整!$K$42*怪物掉落配置方案!$D4338</f>
        <v>0</v>
      </c>
    </row>
    <row r="11521" spans="1:4" ht="16.5" hidden="1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313">
        <f>参数调整!$K$42*怪物掉落配置方案!$D4339</f>
        <v>0</v>
      </c>
    </row>
    <row r="11522" spans="1:4" ht="16.5" hidden="1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313">
        <f>参数调整!$K$42*怪物掉落配置方案!$D4340</f>
        <v>0</v>
      </c>
    </row>
    <row r="11523" spans="1:4" ht="16.5" hidden="1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313">
        <f>参数调整!$K$42*怪物掉落配置方案!$D4341</f>
        <v>0</v>
      </c>
    </row>
    <row r="11524" spans="1:4" ht="16.5" hidden="1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313">
        <f>参数调整!$K$42*怪物掉落配置方案!$D4342</f>
        <v>0</v>
      </c>
    </row>
    <row r="11525" spans="1:4" ht="16.5" hidden="1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313">
        <f>参数调整!$K$42*怪物掉落配置方案!$D4343</f>
        <v>0</v>
      </c>
    </row>
    <row r="11526" spans="1:4" ht="16.5" hidden="1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313">
        <f>参数调整!$K$42*怪物掉落配置方案!$D4344</f>
        <v>0</v>
      </c>
    </row>
    <row r="11527" spans="1:4" ht="16.5" hidden="1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313">
        <f>参数调整!$K$42*怪物掉落配置方案!$D4345</f>
        <v>0</v>
      </c>
    </row>
    <row r="11528" spans="1:4" ht="16.5" hidden="1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313">
        <f>参数调整!$K$42*怪物掉落配置方案!$D4346</f>
        <v>0</v>
      </c>
    </row>
    <row r="11529" spans="1:4" ht="16.5" hidden="1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313">
        <f>参数调整!$K$42*怪物掉落配置方案!$D4347</f>
        <v>0</v>
      </c>
    </row>
    <row r="11530" spans="1:4" ht="16.5" hidden="1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313">
        <f>参数调整!$K$42*怪物掉落配置方案!$D4348</f>
        <v>0</v>
      </c>
    </row>
    <row r="11531" spans="1:4" ht="16.5" hidden="1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313">
        <f>参数调整!$K$42*怪物掉落配置方案!$D4349</f>
        <v>0</v>
      </c>
    </row>
    <row r="11532" spans="1:4" ht="16.5" hidden="1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313">
        <f>参数调整!$K$42*怪物掉落配置方案!$D4350</f>
        <v>0</v>
      </c>
    </row>
    <row r="11533" spans="1:4" ht="16.5" hidden="1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313">
        <f>参数调整!$K$42*怪物掉落配置方案!$D4351</f>
        <v>0</v>
      </c>
    </row>
    <row r="11534" spans="1:4" ht="16.5" hidden="1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313">
        <f>参数调整!$K$42*怪物掉落配置方案!$D4352</f>
        <v>0</v>
      </c>
    </row>
    <row r="11535" spans="1:4" ht="16.5" hidden="1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313">
        <f>参数调整!$K$42*怪物掉落配置方案!$D4353</f>
        <v>0</v>
      </c>
    </row>
    <row r="11536" spans="1:4" ht="16.5" hidden="1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313">
        <f>参数调整!$K$42*怪物掉落配置方案!$D4354</f>
        <v>0</v>
      </c>
    </row>
    <row r="11537" spans="1:4" ht="16.5" hidden="1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313">
        <f>参数调整!$K$42*怪物掉落配置方案!$D4355</f>
        <v>0</v>
      </c>
    </row>
    <row r="11538" spans="1:4" ht="16.5" hidden="1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313">
        <f>参数调整!$K$42*怪物掉落配置方案!$D4356</f>
        <v>0</v>
      </c>
    </row>
    <row r="11539" spans="1:4" ht="16.5" hidden="1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313">
        <f>参数调整!$K$42*怪物掉落配置方案!$D4357</f>
        <v>0</v>
      </c>
    </row>
    <row r="11540" spans="1:4" ht="16.5" hidden="1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313">
        <f>参数调整!$K$42*怪物掉落配置方案!$D4358</f>
        <v>0</v>
      </c>
    </row>
    <row r="11541" spans="1:4" ht="16.5" hidden="1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313">
        <f>参数调整!$K$42*怪物掉落配置方案!$D4359</f>
        <v>0</v>
      </c>
    </row>
    <row r="11542" spans="1:4" ht="16.5" hidden="1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313">
        <f>参数调整!$K$42*怪物掉落配置方案!$D4360</f>
        <v>0</v>
      </c>
    </row>
    <row r="11543" spans="1:4" ht="16.5" hidden="1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313">
        <f>参数调整!$K$42*怪物掉落配置方案!$D4361</f>
        <v>0</v>
      </c>
    </row>
    <row r="11544" spans="1:4" ht="16.5" hidden="1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313">
        <f>参数调整!$K$42*怪物掉落配置方案!$D4362</f>
        <v>0</v>
      </c>
    </row>
    <row r="11545" spans="1:4" ht="16.5" hidden="1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313">
        <f>参数调整!$K$42*怪物掉落配置方案!$D4363</f>
        <v>0</v>
      </c>
    </row>
    <row r="11546" spans="1:4" ht="16.5" hidden="1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313">
        <f>参数调整!$K$42*怪物掉落配置方案!$D4364</f>
        <v>0</v>
      </c>
    </row>
    <row r="11547" spans="1:4" ht="16.5" hidden="1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313">
        <f>参数调整!$K$42*怪物掉落配置方案!$D4365</f>
        <v>0</v>
      </c>
    </row>
    <row r="11548" spans="1:4" ht="16.5" hidden="1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313">
        <f>参数调整!$K$42*怪物掉落配置方案!$D4366</f>
        <v>0</v>
      </c>
    </row>
    <row r="11549" spans="1:4" ht="16.5" hidden="1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313">
        <f>参数调整!$K$42*怪物掉落配置方案!$D4367</f>
        <v>0</v>
      </c>
    </row>
    <row r="11550" spans="1:4" ht="16.5" hidden="1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313">
        <f>参数调整!$K$42*怪物掉落配置方案!$D4368</f>
        <v>0</v>
      </c>
    </row>
    <row r="11551" spans="1:4" ht="16.5" hidden="1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313">
        <f>参数调整!$K$42*怪物掉落配置方案!$D4369</f>
        <v>0</v>
      </c>
    </row>
    <row r="11552" spans="1:4" ht="16.5" hidden="1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313">
        <f>参数调整!$K$42*怪物掉落配置方案!$D4370</f>
        <v>0</v>
      </c>
    </row>
    <row r="11553" spans="1:4" ht="16.5" hidden="1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313">
        <f>参数调整!$K$42*怪物掉落配置方案!$D4371</f>
        <v>0</v>
      </c>
    </row>
    <row r="11554" spans="1:4" ht="16.5" hidden="1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313">
        <f>参数调整!$K$42*怪物掉落配置方案!$D4372</f>
        <v>0</v>
      </c>
    </row>
    <row r="11555" spans="1:4" ht="16.5" hidden="1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313">
        <f>参数调整!$K$42*怪物掉落配置方案!$D4373</f>
        <v>0</v>
      </c>
    </row>
    <row r="11556" spans="1:4" ht="16.5" hidden="1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313">
        <f>参数调整!$K$42*怪物掉落配置方案!$D4374</f>
        <v>0</v>
      </c>
    </row>
    <row r="11557" spans="1:4" ht="16.5" hidden="1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313">
        <f>参数调整!$K$42*怪物掉落配置方案!$D4375</f>
        <v>0</v>
      </c>
    </row>
    <row r="11558" spans="1:4" ht="16.5" hidden="1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313">
        <f>参数调整!$K$42*怪物掉落配置方案!$D4376</f>
        <v>0</v>
      </c>
    </row>
    <row r="11559" spans="1:4" ht="16.5" hidden="1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313">
        <f>参数调整!$K$42*怪物掉落配置方案!$D4377</f>
        <v>0</v>
      </c>
    </row>
    <row r="11560" spans="1:4" ht="16.5" hidden="1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313">
        <f>参数调整!$K$42*怪物掉落配置方案!$D4378</f>
        <v>0</v>
      </c>
    </row>
    <row r="11561" spans="1:4" ht="16.5" hidden="1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313">
        <f>参数调整!$K$42*怪物掉落配置方案!$D4379</f>
        <v>0</v>
      </c>
    </row>
    <row r="11562" spans="1:4" ht="16.5" hidden="1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313">
        <f>参数调整!$K$42*怪物掉落配置方案!$D4380</f>
        <v>0</v>
      </c>
    </row>
    <row r="11563" spans="1:4" ht="16.5" hidden="1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313">
        <f>参数调整!$K$42*怪物掉落配置方案!$D4381</f>
        <v>0</v>
      </c>
    </row>
    <row r="11564" spans="1:4" ht="16.5" hidden="1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313">
        <f>参数调整!$K$42*怪物掉落配置方案!$D4382</f>
        <v>0</v>
      </c>
    </row>
    <row r="11565" spans="1:4" ht="16.5" hidden="1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313">
        <f>参数调整!$K$42*怪物掉落配置方案!$D4383</f>
        <v>0</v>
      </c>
    </row>
    <row r="11566" spans="1:4" ht="16.5" hidden="1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313">
        <f>参数调整!$K$42*怪物掉落配置方案!$D4384</f>
        <v>0</v>
      </c>
    </row>
    <row r="11567" spans="1:4" ht="16.5" hidden="1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313">
        <f>参数调整!$K$42*怪物掉落配置方案!$D4385</f>
        <v>0</v>
      </c>
    </row>
    <row r="11568" spans="1:4" ht="16.5" hidden="1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313">
        <f>参数调整!$K$42*怪物掉落配置方案!$D4386</f>
        <v>0</v>
      </c>
    </row>
    <row r="11569" spans="1:4" ht="16.5" hidden="1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313">
        <f>参数调整!$K$42*怪物掉落配置方案!$D4387</f>
        <v>0</v>
      </c>
    </row>
    <row r="11570" spans="1:4" ht="16.5" hidden="1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313">
        <f>参数调整!$K$42*怪物掉落配置方案!$D4388</f>
        <v>0</v>
      </c>
    </row>
    <row r="11571" spans="1:4" ht="16.5" hidden="1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313">
        <f>参数调整!$K$42*怪物掉落配置方案!$D4389</f>
        <v>0</v>
      </c>
    </row>
    <row r="11572" spans="1:4" ht="16.5" hidden="1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313">
        <f>参数调整!$K$42*怪物掉落配置方案!$D4390</f>
        <v>0</v>
      </c>
    </row>
    <row r="11573" spans="1:4" ht="16.5" hidden="1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313">
        <f>参数调整!$K$42*怪物掉落配置方案!$D4391</f>
        <v>0</v>
      </c>
    </row>
    <row r="11574" spans="1:4" ht="16.5" hidden="1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313">
        <f>参数调整!$K$42*怪物掉落配置方案!$D4392</f>
        <v>0</v>
      </c>
    </row>
    <row r="11575" spans="1:4" ht="16.5" hidden="1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313">
        <f>参数调整!$K$42*怪物掉落配置方案!$D4393</f>
        <v>0</v>
      </c>
    </row>
    <row r="11576" spans="1:4" ht="16.5" hidden="1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313">
        <f>参数调整!$K$42*怪物掉落配置方案!$D4394</f>
        <v>0</v>
      </c>
    </row>
    <row r="11577" spans="1:4" ht="16.5" hidden="1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313">
        <f>参数调整!$K$42*怪物掉落配置方案!$D4395</f>
        <v>0</v>
      </c>
    </row>
    <row r="11578" spans="1:4" ht="16.5" hidden="1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313">
        <f>参数调整!$K$42*怪物掉落配置方案!$D4396</f>
        <v>0</v>
      </c>
    </row>
    <row r="11579" spans="1:4" ht="16.5" hidden="1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313">
        <f>参数调整!$K$42*怪物掉落配置方案!$D4397</f>
        <v>0</v>
      </c>
    </row>
    <row r="11580" spans="1:4" ht="16.5" hidden="1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313">
        <f>参数调整!$K$42*怪物掉落配置方案!$D4398</f>
        <v>0</v>
      </c>
    </row>
    <row r="11581" spans="1:4" ht="16.5" hidden="1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313">
        <f>参数调整!$K$42*怪物掉落配置方案!$D4399</f>
        <v>0</v>
      </c>
    </row>
    <row r="11582" spans="1:4" ht="16.5" hidden="1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313">
        <f>参数调整!$K$42*怪物掉落配置方案!$D4400</f>
        <v>0</v>
      </c>
    </row>
    <row r="11583" spans="1:4" ht="16.5" hidden="1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313">
        <f>参数调整!$K$42*怪物掉落配置方案!$D4401</f>
        <v>0</v>
      </c>
    </row>
    <row r="11584" spans="1:4" ht="16.5" hidden="1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313">
        <f>参数调整!$K$42*怪物掉落配置方案!$D4402</f>
        <v>0</v>
      </c>
    </row>
    <row r="11585" spans="1:4" ht="16.5" hidden="1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313">
        <f>参数调整!$K$42*怪物掉落配置方案!$D4403</f>
        <v>0</v>
      </c>
    </row>
    <row r="11586" spans="1:4" ht="16.5" hidden="1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313">
        <f>参数调整!$K$42*怪物掉落配置方案!$D4404</f>
        <v>0</v>
      </c>
    </row>
    <row r="11587" spans="1:4" ht="16.5" hidden="1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313">
        <f>参数调整!$K$42*怪物掉落配置方案!$D4405</f>
        <v>0</v>
      </c>
    </row>
    <row r="11588" spans="1:4" ht="16.5" hidden="1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313">
        <f>参数调整!$K$42*怪物掉落配置方案!$D4406</f>
        <v>0</v>
      </c>
    </row>
    <row r="11589" spans="1:4" ht="16.5" hidden="1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313">
        <f>参数调整!$K$42*怪物掉落配置方案!$D4407</f>
        <v>0</v>
      </c>
    </row>
    <row r="11590" spans="1:4" ht="16.5" hidden="1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313">
        <f>参数调整!$K$42*怪物掉落配置方案!$D4408</f>
        <v>0</v>
      </c>
    </row>
    <row r="11591" spans="1:4" ht="16.5" hidden="1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313">
        <f>参数调整!$K$42*怪物掉落配置方案!$D4409</f>
        <v>0</v>
      </c>
    </row>
    <row r="11592" spans="1:4" ht="16.5" hidden="1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313">
        <f>参数调整!$K$42*怪物掉落配置方案!$D4410</f>
        <v>0</v>
      </c>
    </row>
    <row r="11593" spans="1:4" ht="16.5" hidden="1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313">
        <f>参数调整!$K$42*怪物掉落配置方案!$D4411</f>
        <v>0</v>
      </c>
    </row>
    <row r="11594" spans="1:4" ht="16.5" hidden="1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313">
        <f>参数调整!$K$42*怪物掉落配置方案!$D4412</f>
        <v>0</v>
      </c>
    </row>
    <row r="11595" spans="1:4" ht="16.5" hidden="1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313">
        <f>参数调整!$K$42*怪物掉落配置方案!$D4413</f>
        <v>0</v>
      </c>
    </row>
    <row r="11596" spans="1:4" ht="16.5" hidden="1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313">
        <f>参数调整!$K$42*怪物掉落配置方案!$D4414</f>
        <v>0</v>
      </c>
    </row>
    <row r="11597" spans="1:4" ht="16.5" hidden="1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313">
        <f>参数调整!$K$42*怪物掉落配置方案!$D4415</f>
        <v>0</v>
      </c>
    </row>
    <row r="11598" spans="1:4" ht="16.5" hidden="1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313">
        <f>参数调整!$K$42*怪物掉落配置方案!$D4416</f>
        <v>0</v>
      </c>
    </row>
    <row r="11599" spans="1:4" ht="16.5" hidden="1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313">
        <f>参数调整!$K$42*怪物掉落配置方案!$D4417</f>
        <v>0</v>
      </c>
    </row>
    <row r="11600" spans="1:4" ht="16.5" hidden="1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313">
        <f>参数调整!$K$42*怪物掉落配置方案!$D4418</f>
        <v>0</v>
      </c>
    </row>
    <row r="11601" spans="1:4" ht="16.5" hidden="1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313">
        <f>参数调整!$K$42*怪物掉落配置方案!$D4419</f>
        <v>0</v>
      </c>
    </row>
    <row r="11602" spans="1:4" ht="16.5" hidden="1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313">
        <f>参数调整!$K$42*怪物掉落配置方案!$D4420</f>
        <v>0</v>
      </c>
    </row>
    <row r="11603" spans="1:4" ht="16.5" hidden="1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313">
        <f>参数调整!$K$42*怪物掉落配置方案!$D4421</f>
        <v>0</v>
      </c>
    </row>
    <row r="11604" spans="1:4" ht="16.5" hidden="1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313">
        <f>参数调整!$K$42*怪物掉落配置方案!$D4422</f>
        <v>0</v>
      </c>
    </row>
    <row r="11605" spans="1:4" ht="16.5" hidden="1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313">
        <f>参数调整!$K$42*怪物掉落配置方案!$D4423</f>
        <v>0</v>
      </c>
    </row>
    <row r="11606" spans="1:4" ht="16.5" hidden="1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313">
        <f>参数调整!$K$42*怪物掉落配置方案!$D4424</f>
        <v>0</v>
      </c>
    </row>
    <row r="11607" spans="1:4" ht="16.5" hidden="1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313">
        <f>参数调整!$K$42*怪物掉落配置方案!$D4425</f>
        <v>0</v>
      </c>
    </row>
    <row r="11608" spans="1:4" ht="16.5" hidden="1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313">
        <f>参数调整!$K$42*怪物掉落配置方案!$D4426</f>
        <v>0</v>
      </c>
    </row>
    <row r="11609" spans="1:4" ht="16.5" hidden="1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313">
        <f>参数调整!$K$42*怪物掉落配置方案!$D4427</f>
        <v>0</v>
      </c>
    </row>
    <row r="11610" spans="1:4" ht="16.5" hidden="1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313">
        <f>参数调整!$K$42*怪物掉落配置方案!$D4428</f>
        <v>0</v>
      </c>
    </row>
    <row r="11611" spans="1:4" ht="16.5" hidden="1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313">
        <f>参数调整!$K$42*怪物掉落配置方案!$D4429</f>
        <v>0</v>
      </c>
    </row>
    <row r="11612" spans="1:4" ht="16.5" hidden="1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313">
        <f>参数调整!$K$42*怪物掉落配置方案!$D4430</f>
        <v>0</v>
      </c>
    </row>
    <row r="11613" spans="1:4" ht="16.5" hidden="1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313">
        <f>参数调整!$K$42*怪物掉落配置方案!$D4431</f>
        <v>0</v>
      </c>
    </row>
    <row r="11614" spans="1:4" ht="16.5" hidden="1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313">
        <f>参数调整!$K$42*怪物掉落配置方案!$D4432</f>
        <v>0</v>
      </c>
    </row>
    <row r="11615" spans="1:4" ht="16.5" hidden="1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313">
        <f>参数调整!$K$42*怪物掉落配置方案!$D4433</f>
        <v>0</v>
      </c>
    </row>
    <row r="11616" spans="1:4" ht="16.5" hidden="1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313">
        <f>参数调整!$K$42*怪物掉落配置方案!$D4434</f>
        <v>0</v>
      </c>
    </row>
    <row r="11617" spans="1:4" ht="16.5" hidden="1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313">
        <f>参数调整!$K$42*怪物掉落配置方案!$D4435</f>
        <v>0</v>
      </c>
    </row>
    <row r="11618" spans="1:4" ht="16.5" hidden="1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313">
        <f>参数调整!$K$42*怪物掉落配置方案!$D4436</f>
        <v>0</v>
      </c>
    </row>
    <row r="11619" spans="1:4" ht="16.5" hidden="1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313">
        <f>参数调整!$K$42*怪物掉落配置方案!$D4437</f>
        <v>0</v>
      </c>
    </row>
    <row r="11620" spans="1:4" ht="16.5" hidden="1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313">
        <f>参数调整!$K$42*怪物掉落配置方案!$D4438</f>
        <v>0</v>
      </c>
    </row>
    <row r="11621" spans="1:4" ht="16.5" hidden="1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313">
        <f>参数调整!$K$42*怪物掉落配置方案!$D4439</f>
        <v>0</v>
      </c>
    </row>
    <row r="11622" spans="1:4" ht="16.5" hidden="1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313">
        <f>参数调整!$K$42*怪物掉落配置方案!$D4440</f>
        <v>0</v>
      </c>
    </row>
    <row r="11623" spans="1:4" ht="16.5" hidden="1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313">
        <f>参数调整!$K$42*怪物掉落配置方案!$D4441</f>
        <v>0</v>
      </c>
    </row>
    <row r="11624" spans="1:4" ht="16.5" hidden="1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313">
        <f>参数调整!$K$42*怪物掉落配置方案!$D4442</f>
        <v>0</v>
      </c>
    </row>
    <row r="11625" spans="1:4" ht="16.5" hidden="1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313">
        <f>参数调整!$K$42*怪物掉落配置方案!$D4443</f>
        <v>0</v>
      </c>
    </row>
    <row r="11626" spans="1:4" ht="16.5" hidden="1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313">
        <f>参数调整!$K$42*怪物掉落配置方案!$D4444</f>
        <v>0</v>
      </c>
    </row>
    <row r="11627" spans="1:4" ht="16.5" hidden="1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313">
        <f>参数调整!$K$42*怪物掉落配置方案!$D4445</f>
        <v>0</v>
      </c>
    </row>
    <row r="11628" spans="1:4" ht="16.5" hidden="1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313">
        <f>参数调整!$K$42*怪物掉落配置方案!$D4446</f>
        <v>0</v>
      </c>
    </row>
    <row r="11629" spans="1:4" ht="16.5" hidden="1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313">
        <f>参数调整!$K$42*怪物掉落配置方案!$D4447</f>
        <v>0</v>
      </c>
    </row>
    <row r="11630" spans="1:4" ht="16.5" hidden="1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313">
        <f>参数调整!$K$42*怪物掉落配置方案!$D4448</f>
        <v>0</v>
      </c>
    </row>
    <row r="11631" spans="1:4" ht="16.5" hidden="1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313">
        <f>参数调整!$K$42*怪物掉落配置方案!$D4449</f>
        <v>0</v>
      </c>
    </row>
    <row r="11632" spans="1:4" ht="16.5" hidden="1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313">
        <f>参数调整!$K$42*怪物掉落配置方案!$D4450</f>
        <v>0</v>
      </c>
    </row>
    <row r="11633" spans="1:4" ht="16.5" hidden="1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313">
        <f>参数调整!$K$42*怪物掉落配置方案!$D4451</f>
        <v>0</v>
      </c>
    </row>
    <row r="11634" spans="1:4" ht="16.5" hidden="1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313">
        <f>参数调整!$K$42*怪物掉落配置方案!$D4452</f>
        <v>0</v>
      </c>
    </row>
    <row r="11635" spans="1:4" ht="16.5" hidden="1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313">
        <f>参数调整!$K$42*怪物掉落配置方案!$D4453</f>
        <v>0</v>
      </c>
    </row>
    <row r="11636" spans="1:4" ht="16.5" hidden="1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313">
        <f>参数调整!$K$42*怪物掉落配置方案!$D4454</f>
        <v>0</v>
      </c>
    </row>
    <row r="11637" spans="1:4" ht="16.5" hidden="1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313">
        <f>参数调整!$K$42*怪物掉落配置方案!$D4455</f>
        <v>0</v>
      </c>
    </row>
    <row r="11638" spans="1:4" ht="16.5" hidden="1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313">
        <f>参数调整!$K$42*怪物掉落配置方案!$D4456</f>
        <v>0</v>
      </c>
    </row>
    <row r="11639" spans="1:4" ht="16.5" hidden="1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313">
        <f>参数调整!$K$42*怪物掉落配置方案!$D4457</f>
        <v>0</v>
      </c>
    </row>
    <row r="11640" spans="1:4" ht="16.5" hidden="1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313">
        <f>参数调整!$K$42*怪物掉落配置方案!$D4458</f>
        <v>0</v>
      </c>
    </row>
    <row r="11641" spans="1:4" ht="16.5" hidden="1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313">
        <f>参数调整!$K$42*怪物掉落配置方案!$D4459</f>
        <v>0</v>
      </c>
    </row>
    <row r="11642" spans="1:4" ht="16.5" hidden="1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313">
        <f>参数调整!$K$42*怪物掉落配置方案!$D4460</f>
        <v>0</v>
      </c>
    </row>
    <row r="11643" spans="1:4" ht="16.5" hidden="1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313">
        <f>参数调整!$K$42*怪物掉落配置方案!$D4461</f>
        <v>0</v>
      </c>
    </row>
    <row r="11644" spans="1:4" ht="16.5" hidden="1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313">
        <f>参数调整!$K$42*怪物掉落配置方案!$D4462</f>
        <v>0</v>
      </c>
    </row>
    <row r="11645" spans="1:4" ht="16.5" hidden="1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313">
        <f>参数调整!$K$42*怪物掉落配置方案!$D4463</f>
        <v>0</v>
      </c>
    </row>
    <row r="11646" spans="1:4" ht="16.5" hidden="1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313">
        <f>参数调整!$K$42*怪物掉落配置方案!$D4464</f>
        <v>0</v>
      </c>
    </row>
    <row r="11647" spans="1:4" ht="16.5" hidden="1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313">
        <f>参数调整!$K$42*怪物掉落配置方案!$D4465</f>
        <v>0</v>
      </c>
    </row>
    <row r="11648" spans="1:4" ht="16.5" hidden="1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313">
        <f>参数调整!$K$42*怪物掉落配置方案!$D4466</f>
        <v>0</v>
      </c>
    </row>
    <row r="11649" spans="1:4" ht="16.5" hidden="1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313">
        <f>参数调整!$K$42*怪物掉落配置方案!$D4467</f>
        <v>0</v>
      </c>
    </row>
    <row r="11650" spans="1:4" ht="16.5" hidden="1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313">
        <f>参数调整!$K$42*怪物掉落配置方案!$D4468</f>
        <v>0</v>
      </c>
    </row>
    <row r="11651" spans="1:4" ht="16.5" hidden="1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313">
        <f>参数调整!$K$42*怪物掉落配置方案!$D4469</f>
        <v>0</v>
      </c>
    </row>
    <row r="11652" spans="1:4" ht="16.5" hidden="1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313">
        <f>参数调整!$K$42*怪物掉落配置方案!$D4470</f>
        <v>0</v>
      </c>
    </row>
    <row r="11653" spans="1:4" ht="16.5" hidden="1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313">
        <f>参数调整!$K$42*怪物掉落配置方案!$D4471</f>
        <v>0</v>
      </c>
    </row>
    <row r="11654" spans="1:4" ht="16.5" hidden="1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313">
        <f>参数调整!$K$42*怪物掉落配置方案!$D4472</f>
        <v>0</v>
      </c>
    </row>
    <row r="11655" spans="1:4" ht="16.5" hidden="1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313">
        <f>参数调整!$K$42*怪物掉落配置方案!$D4473</f>
        <v>0</v>
      </c>
    </row>
    <row r="11656" spans="1:4" ht="16.5" hidden="1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313">
        <f>参数调整!$K$42*怪物掉落配置方案!$D4474</f>
        <v>0</v>
      </c>
    </row>
    <row r="11657" spans="1:4" ht="16.5" hidden="1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313">
        <f>参数调整!$K$42*怪物掉落配置方案!$D4475</f>
        <v>0</v>
      </c>
    </row>
    <row r="11658" spans="1:4" ht="16.5" hidden="1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313">
        <f>参数调整!$K$42*怪物掉落配置方案!$D4476</f>
        <v>0</v>
      </c>
    </row>
    <row r="11659" spans="1:4" ht="16.5" hidden="1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313">
        <f>参数调整!$K$42*怪物掉落配置方案!$D4477</f>
        <v>0</v>
      </c>
    </row>
    <row r="11660" spans="1:4" ht="16.5" hidden="1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313">
        <f>参数调整!$K$42*怪物掉落配置方案!$D4478</f>
        <v>0</v>
      </c>
    </row>
    <row r="11661" spans="1:4" ht="16.5" hidden="1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313">
        <f>参数调整!$K$42*怪物掉落配置方案!$D4479</f>
        <v>0</v>
      </c>
    </row>
    <row r="11662" spans="1:4" ht="16.5" hidden="1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313">
        <f>参数调整!$K$42*怪物掉落配置方案!$D4480</f>
        <v>0</v>
      </c>
    </row>
    <row r="11663" spans="1:4" ht="16.5" hidden="1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313">
        <f>参数调整!$K$42*怪物掉落配置方案!$D4481</f>
        <v>0</v>
      </c>
    </row>
    <row r="11664" spans="1:4" ht="16.5" hidden="1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313">
        <f>参数调整!$K$42*怪物掉落配置方案!$D4482</f>
        <v>0</v>
      </c>
    </row>
    <row r="11665" spans="1:4" ht="16.5" hidden="1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313">
        <f>参数调整!$K$42*怪物掉落配置方案!$D4483</f>
        <v>0</v>
      </c>
    </row>
    <row r="11666" spans="1:4" ht="16.5" hidden="1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313">
        <f>参数调整!$K$42*怪物掉落配置方案!$D4484</f>
        <v>0</v>
      </c>
    </row>
    <row r="11667" spans="1:4" ht="16.5" hidden="1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313">
        <f>参数调整!$K$42*怪物掉落配置方案!$D4485</f>
        <v>1.5890324528372538E-2</v>
      </c>
    </row>
    <row r="11668" spans="1:4" ht="16.5" hidden="1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313">
        <f>参数调整!$K$42*怪物掉落配置方案!$D4486</f>
        <v>2.0111191981221493E-2</v>
      </c>
    </row>
    <row r="11669" spans="1:4" ht="16.5" hidden="1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313">
        <f>参数调整!$K$42*怪物掉落配置方案!$D4487</f>
        <v>2.4828632075582089E-2</v>
      </c>
    </row>
    <row r="11670" spans="1:4" ht="16.5" hidden="1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313">
        <f>参数调整!$K$42*怪物掉落配置方案!$D4488</f>
        <v>3.0042644811454331E-2</v>
      </c>
    </row>
    <row r="11671" spans="1:4" ht="16.5" hidden="1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313">
        <f>参数调整!$K$42*怪物掉落配置方案!$D4489</f>
        <v>3.5753230188838199E-2</v>
      </c>
    </row>
    <row r="11672" spans="1:4" ht="16.5" hidden="1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313">
        <f>参数调整!$K$42*怪物掉落配置方案!$D4490</f>
        <v>4.1960388207733734E-2</v>
      </c>
    </row>
    <row r="11673" spans="1:4" ht="16.5" hidden="1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313">
        <f>参数调整!$K$42*怪物掉落配置方案!$D4491</f>
        <v>4.8664118868140892E-2</v>
      </c>
    </row>
    <row r="11674" spans="1:4" ht="16.5" hidden="1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313">
        <f>参数调整!$K$42*怪物掉落配置方案!$D4492</f>
        <v>5.5864422170059706E-2</v>
      </c>
    </row>
    <row r="11675" spans="1:4" ht="16.5" hidden="1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313">
        <f>参数调整!$K$42*怪物掉落配置方案!$D4493</f>
        <v>6.3561298113490164E-2</v>
      </c>
    </row>
    <row r="11676" spans="1:4" ht="16.5" hidden="1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313">
        <f>参数调整!$K$42*怪物掉落配置方案!$D4494</f>
        <v>8.0444767924885988E-2</v>
      </c>
    </row>
    <row r="11677" spans="1:4" ht="16.5" hidden="1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313">
        <f>参数调整!$K$42*怪物掉落配置方案!$D4495</f>
        <v>9.9314528302328356E-2</v>
      </c>
    </row>
    <row r="11678" spans="1:4" ht="16.5" hidden="1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313">
        <f>参数调整!$K$42*怪物掉落配置方案!$D4496</f>
        <v>0.12017057924581732</v>
      </c>
    </row>
    <row r="11679" spans="1:4" ht="16.5" hidden="1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313">
        <f>参数调整!$K$42*怪物掉落配置方案!$D4497</f>
        <v>0.15517895047238806</v>
      </c>
    </row>
    <row r="11680" spans="1:4" ht="16.5" hidden="1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313">
        <f>参数调整!$K$42*怪物掉落配置方案!$D4498</f>
        <v>0.22345768868023877</v>
      </c>
    </row>
    <row r="11681" spans="1:4" ht="16.5" hidden="1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313">
        <f>参数调整!$K$42*怪物掉落配置方案!$D4499</f>
        <v>0.30415074292588057</v>
      </c>
    </row>
    <row r="11682" spans="1:4" ht="16.5" hidden="1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313">
        <f>参数调整!$K$42*怪物掉落配置方案!$D4500</f>
        <v>0.33990397311471887</v>
      </c>
    </row>
    <row r="11683" spans="1:4" ht="16.5" hidden="1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313">
        <f>参数调整!$K$42*怪物掉落配置方案!$D4501</f>
        <v>0.39725811320931342</v>
      </c>
    </row>
    <row r="11684" spans="1:4" ht="16.5" hidden="1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313">
        <f>参数调整!$K$42*怪物掉落配置方案!$D4502</f>
        <v>0.45908140707751277</v>
      </c>
    </row>
    <row r="11685" spans="1:4" ht="16.5" hidden="1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313">
        <f>参数调整!$K$42*怪物掉落配置方案!$D4503</f>
        <v>0.52537385471931697</v>
      </c>
    </row>
    <row r="11686" spans="1:4" ht="16.5" hidden="1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313">
        <f>参数调整!$K$42*怪物掉落配置方案!$D4504</f>
        <v>0.59613545613472618</v>
      </c>
    </row>
    <row r="11687" spans="1:4" ht="16.5" hidden="1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313">
        <f>参数调整!$K$42*怪物掉落配置方案!$D4505</f>
        <v>0.67136621132373964</v>
      </c>
    </row>
    <row r="11688" spans="1:4" ht="16.5" hidden="1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313">
        <f>参数调整!$K$42*怪物掉落配置方案!$D4506</f>
        <v>0.75106612028635822</v>
      </c>
    </row>
    <row r="11689" spans="1:4" ht="16.5" hidden="1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313">
        <f>参数调整!$K$42*怪物掉落配置方案!$D4507</f>
        <v>0.83523518302258148</v>
      </c>
    </row>
    <row r="11690" spans="1:4" ht="16.5" hidden="1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313">
        <f>参数调整!$K$42*怪物掉落配置方案!$D4508</f>
        <v>0.92387339953240932</v>
      </c>
    </row>
    <row r="11691" spans="1:4" ht="16.5" hidden="1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313">
        <f>参数调整!$K$42*怪物掉落配置方案!$D4509</f>
        <v>1.0169807698158426</v>
      </c>
    </row>
    <row r="11692" spans="1:4" ht="16.5" hidden="1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313">
        <f>参数调整!$K$42*怪物掉落配置方案!$D4510</f>
        <v>1.1145572938728801</v>
      </c>
    </row>
    <row r="11693" spans="1:4" ht="16.5" hidden="1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313">
        <f>参数调整!$K$42*怪物掉落配置方案!$D4511</f>
        <v>1.2166029717035225</v>
      </c>
    </row>
    <row r="11694" spans="1:4" ht="16.5" hidden="1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313">
        <f>参数调整!$K$42*怪物掉落配置方案!$D4512</f>
        <v>4.1384751019611695E-3</v>
      </c>
    </row>
    <row r="11695" spans="1:4" ht="16.5" hidden="1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313">
        <f>参数调整!$K$42*怪物掉落配置方案!$D4513</f>
        <v>5.2377575509196042E-3</v>
      </c>
    </row>
    <row r="11696" spans="1:4" ht="16.5" hidden="1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313">
        <f>参数调整!$K$42*怪物掉落配置方案!$D4514</f>
        <v>6.4663673468143253E-3</v>
      </c>
    </row>
    <row r="11697" spans="1:4" ht="16.5" hidden="1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313">
        <f>参数调整!$K$42*怪物掉落配置方案!$D4515</f>
        <v>7.8243044896453354E-3</v>
      </c>
    </row>
    <row r="11698" spans="1:4" ht="16.5" hidden="1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313">
        <f>参数调整!$K$42*怪物掉落配置方案!$D4516</f>
        <v>9.3115689794126266E-3</v>
      </c>
    </row>
    <row r="11699" spans="1:4" ht="16.5" hidden="1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313">
        <f>参数调整!$K$42*怪物掉落配置方案!$D4517</f>
        <v>1.0928160816116212E-2</v>
      </c>
    </row>
    <row r="11700" spans="1:4" ht="16.5" hidden="1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313">
        <f>参数调整!$K$42*怪物掉落配置方案!$D4518</f>
        <v>1.2674079999756074E-2</v>
      </c>
    </row>
    <row r="11701" spans="1:4" ht="16.5" hidden="1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313">
        <f>参数调整!$K$42*怪物掉落配置方案!$D4519</f>
        <v>1.4549326530332234E-2</v>
      </c>
    </row>
    <row r="11702" spans="1:4" ht="16.5" hidden="1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313">
        <f>参数调整!$K$42*怪物掉落配置方案!$D4520</f>
        <v>1.6553900407844678E-2</v>
      </c>
    </row>
    <row r="11703" spans="1:4" ht="16.5" hidden="1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313">
        <f>参数调整!$K$42*怪物掉落配置方案!$D4521</f>
        <v>2.0951030203678417E-2</v>
      </c>
    </row>
    <row r="11704" spans="1:4" ht="16.5" hidden="1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313">
        <f>参数调整!$K$42*怪物掉落配置方案!$D4522</f>
        <v>2.5865469387257298E-2</v>
      </c>
    </row>
    <row r="11705" spans="1:4" ht="16.5" hidden="1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313">
        <f>参数调整!$K$42*怪物掉落配置方案!$D4523</f>
        <v>3.1297217958581341E-2</v>
      </c>
    </row>
    <row r="11706" spans="1:4" ht="16.5" hidden="1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313">
        <f>参数调整!$K$42*怪物掉落配置方案!$D4524</f>
        <v>4.0414795917589529E-2</v>
      </c>
    </row>
    <row r="11707" spans="1:4" ht="16.5" hidden="1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313">
        <f>参数调整!$K$42*怪物掉落配置方案!$D4525</f>
        <v>5.8197306121328923E-2</v>
      </c>
    </row>
    <row r="11708" spans="1:4" ht="16.5" hidden="1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313">
        <f>参数调整!$K$42*怪物掉落配置方案!$D4526</f>
        <v>7.9212999998475475E-2</v>
      </c>
    </row>
    <row r="11709" spans="1:4" ht="16.5" hidden="1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313">
        <f>参数调整!$K$42*怪物掉落配置方案!$D4527</f>
        <v>8.852456897788813E-2</v>
      </c>
    </row>
    <row r="11710" spans="1:4" ht="16.5" hidden="1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313">
        <f>参数调整!$K$42*怪物掉落配置方案!$D4528</f>
        <v>0.10346187754902919</v>
      </c>
    </row>
    <row r="11711" spans="1:4" ht="16.5" hidden="1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313">
        <f>参数调整!$K$42*怪物掉落配置方案!$D4529</f>
        <v>0.11956313224259685</v>
      </c>
    </row>
    <row r="11712" spans="1:4" ht="16.5" hidden="1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313">
        <f>参数调整!$K$42*怪物掉落配置方案!$D4530</f>
        <v>0.1368283330585911</v>
      </c>
    </row>
    <row r="11713" spans="1:4" ht="16.5" hidden="1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313">
        <f>参数调整!$K$42*怪物掉落配置方案!$D4531</f>
        <v>0.15525747999701198</v>
      </c>
    </row>
    <row r="11714" spans="1:4" ht="16.5" hidden="1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313">
        <f>参数调整!$K$42*怪物掉落配置方案!$D4532</f>
        <v>0.17485057305785937</v>
      </c>
    </row>
    <row r="11715" spans="1:4" ht="16.5" hidden="1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313">
        <f>参数调整!$K$42*怪物掉落配置方案!$D4533</f>
        <v>0.19560761224113338</v>
      </c>
    </row>
    <row r="11716" spans="1:4" ht="16.5" hidden="1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313">
        <f>参数调整!$K$42*怪物掉落配置方案!$D4534</f>
        <v>0.2175285975468339</v>
      </c>
    </row>
    <row r="11717" spans="1:4" ht="16.5" hidden="1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313">
        <f>参数调整!$K$42*怪物掉落配置方案!$D4535</f>
        <v>0.24061352897496099</v>
      </c>
    </row>
    <row r="11718" spans="1:4" ht="16.5" hidden="1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313">
        <f>参数调整!$K$42*怪物掉落配置方案!$D4536</f>
        <v>0.26486240652551479</v>
      </c>
    </row>
    <row r="11719" spans="1:4" ht="16.5" hidden="1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313">
        <f>参数调整!$K$42*怪物掉落配置方案!$D4537</f>
        <v>0.2902752301984951</v>
      </c>
    </row>
    <row r="11720" spans="1:4" ht="16.5" hidden="1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313">
        <f>参数调整!$K$42*怪物掉落配置方案!$D4538</f>
        <v>0.31685199999390196</v>
      </c>
    </row>
    <row r="11721" spans="1:4" ht="16.5" hidden="1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313">
        <f>参数调整!$K$42*怪物掉落配置方案!$D4539</f>
        <v>5.6861823684624206E-5</v>
      </c>
    </row>
    <row r="11722" spans="1:4" ht="16.5" hidden="1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313">
        <f>参数调整!$K$42*怪物掉落配置方案!$D4540</f>
        <v>7.1965745600852522E-5</v>
      </c>
    </row>
    <row r="11723" spans="1:4" ht="16.5" hidden="1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313">
        <f>参数调整!$K$42*怪物掉落配置方案!$D4541</f>
        <v>8.8846599507225312E-5</v>
      </c>
    </row>
    <row r="11724" spans="1:4" ht="16.5" hidden="1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313">
        <f>参数调整!$K$42*怪物掉落配置方案!$D4542</f>
        <v>1.0750438540374263E-4</v>
      </c>
    </row>
    <row r="11725" spans="1:4" ht="16.5" hidden="1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313">
        <f>参数调整!$K$42*怪物掉落配置方案!$D4543</f>
        <v>1.2793910329040442E-4</v>
      </c>
    </row>
    <row r="11726" spans="1:4" ht="16.5" hidden="1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313">
        <f>参数调整!$K$42*怪物掉落配置方案!$D4544</f>
        <v>1.5015075316721077E-4</v>
      </c>
    </row>
    <row r="11727" spans="1:4" ht="16.5" hidden="1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313">
        <f>参数调整!$K$42*怪物掉落配置方案!$D4545</f>
        <v>1.7413933503416159E-4</v>
      </c>
    </row>
    <row r="11728" spans="1:4" ht="16.5" hidden="1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313">
        <f>参数调整!$K$42*怪物掉落配置方案!$D4546</f>
        <v>1.9990484889125692E-4</v>
      </c>
    </row>
    <row r="11729" spans="1:4" ht="16.5" hidden="1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313">
        <f>参数调整!$K$42*怪物掉落配置方案!$D4547</f>
        <v>2.2744729473849688E-4</v>
      </c>
    </row>
    <row r="11730" spans="1:4" ht="16.5" hidden="1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313">
        <f>参数调整!$K$42*怪物掉落配置方案!$D4548</f>
        <v>2.8786298240340998E-4</v>
      </c>
    </row>
    <row r="11731" spans="1:4" ht="16.5" hidden="1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313">
        <f>参数调整!$K$42*怪物掉落配置方案!$D4549</f>
        <v>3.553863980289012E-4</v>
      </c>
    </row>
    <row r="11732" spans="1:4" ht="16.5" hidden="1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313">
        <f>参数调整!$K$42*怪物掉落配置方案!$D4550</f>
        <v>4.3001754161497052E-4</v>
      </c>
    </row>
    <row r="11733" spans="1:4" ht="16.5" hidden="1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313">
        <f>参数调整!$K$42*怪物掉落配置方案!$D4551</f>
        <v>5.5529124692015822E-4</v>
      </c>
    </row>
    <row r="11734" spans="1:4" ht="16.5" hidden="1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313">
        <f>参数调整!$K$42*怪物掉落配置方案!$D4552</f>
        <v>7.9961939556502757E-4</v>
      </c>
    </row>
    <row r="11735" spans="1:4" ht="16.5" hidden="1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313">
        <f>参数调整!$K$42*怪物掉落配置方案!$D4553</f>
        <v>1.0883708439635099E-3</v>
      </c>
    </row>
    <row r="11736" spans="1:4" ht="16.5" hidden="1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313">
        <f>参数调整!$K$42*怪物掉落配置方案!$D4554</f>
        <v>1.2163099472539147E-3</v>
      </c>
    </row>
    <row r="11737" spans="1:4" ht="16.5" hidden="1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313">
        <f>参数调整!$K$42*怪物掉落配置方案!$D4555</f>
        <v>1.4215455921156048E-3</v>
      </c>
    </row>
    <row r="11738" spans="1:4" ht="16.5" hidden="1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313">
        <f>参数调整!$K$42*怪物掉落配置方案!$D4556</f>
        <v>1.6427736248885954E-3</v>
      </c>
    </row>
    <row r="11739" spans="1:4" ht="16.5" hidden="1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313">
        <f>参数调整!$K$42*怪物掉落配置方案!$D4557</f>
        <v>1.8799940455728875E-3</v>
      </c>
    </row>
    <row r="11740" spans="1:4" ht="16.5" hidden="1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313">
        <f>参数调整!$K$42*怪物掉落配置方案!$D4558</f>
        <v>2.1332068541684802E-3</v>
      </c>
    </row>
    <row r="11741" spans="1:4" ht="16.5" hidden="1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313">
        <f>参数调整!$K$42*怪物掉落配置方案!$D4559</f>
        <v>2.4024120506753724E-3</v>
      </c>
    </row>
    <row r="11742" spans="1:4" ht="16.5" hidden="1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313">
        <f>参数调整!$K$42*怪物掉落配置方案!$D4560</f>
        <v>2.6876096350935659E-3</v>
      </c>
    </row>
    <row r="11743" spans="1:4" ht="16.5" hidden="1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313">
        <f>参数调整!$K$42*怪物掉落配置方案!$D4561</f>
        <v>2.9887996074230588E-3</v>
      </c>
    </row>
    <row r="11744" spans="1:4" ht="16.5" hidden="1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313">
        <f>参数调整!$K$42*怪物掉落配置方案!$D4562</f>
        <v>3.3059819676638531E-3</v>
      </c>
    </row>
    <row r="11745" spans="1:4" ht="16.5" hidden="1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313">
        <f>参数调整!$K$42*怪物掉落配置方案!$D4563</f>
        <v>3.6391567158159492E-3</v>
      </c>
    </row>
    <row r="11746" spans="1:4" ht="16.5" hidden="1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313">
        <f>参数调整!$K$42*怪物掉落配置方案!$D4564</f>
        <v>3.9883238518793442E-3</v>
      </c>
    </row>
    <row r="11747" spans="1:4" ht="16.5" hidden="1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313">
        <f>参数调整!$K$42*怪物掉落配置方案!$D4565</f>
        <v>4.3534833758540406E-3</v>
      </c>
    </row>
    <row r="11748" spans="1:4" ht="16.5" hidden="1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313">
        <f>参数调整!$K$42*怪物掉落配置方案!$D4566</f>
        <v>0</v>
      </c>
    </row>
    <row r="11749" spans="1:4" ht="16.5" hidden="1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313">
        <f>参数调整!$K$42*怪物掉落配置方案!$D4567</f>
        <v>0</v>
      </c>
    </row>
    <row r="11750" spans="1:4" ht="16.5" hidden="1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313">
        <f>参数调整!$K$42*怪物掉落配置方案!$D4568</f>
        <v>0</v>
      </c>
    </row>
    <row r="11751" spans="1:4" ht="16.5" hidden="1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313">
        <f>参数调整!$K$42*怪物掉落配置方案!$D4569</f>
        <v>0</v>
      </c>
    </row>
    <row r="11752" spans="1:4" ht="16.5" hidden="1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313">
        <f>参数调整!$K$42*怪物掉落配置方案!$D4570</f>
        <v>0</v>
      </c>
    </row>
    <row r="11753" spans="1:4" ht="16.5" hidden="1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313">
        <f>参数调整!$K$42*怪物掉落配置方案!$D4571</f>
        <v>0</v>
      </c>
    </row>
    <row r="11754" spans="1:4" ht="16.5" hidden="1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313">
        <f>参数调整!$K$42*怪物掉落配置方案!$D4572</f>
        <v>0</v>
      </c>
    </row>
    <row r="11755" spans="1:4" ht="16.5" hidden="1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313">
        <f>参数调整!$K$42*怪物掉落配置方案!$D4573</f>
        <v>0</v>
      </c>
    </row>
    <row r="11756" spans="1:4" ht="16.5" hidden="1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313">
        <f>参数调整!$K$42*怪物掉落配置方案!$D4574</f>
        <v>0</v>
      </c>
    </row>
    <row r="11757" spans="1:4" ht="16.5" hidden="1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313">
        <f>参数调整!$K$42*怪物掉落配置方案!$D4575</f>
        <v>0</v>
      </c>
    </row>
    <row r="11758" spans="1:4" ht="16.5" hidden="1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313">
        <f>参数调整!$K$42*怪物掉落配置方案!$D4576</f>
        <v>0</v>
      </c>
    </row>
    <row r="11759" spans="1:4" ht="16.5" hidden="1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313">
        <f>参数调整!$K$42*怪物掉落配置方案!$D4577</f>
        <v>0</v>
      </c>
    </row>
    <row r="11760" spans="1:4" ht="16.5" hidden="1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313">
        <f>参数调整!$K$42*怪物掉落配置方案!$D4578</f>
        <v>0</v>
      </c>
    </row>
    <row r="11761" spans="1:4" ht="16.5" hidden="1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313">
        <f>参数调整!$K$42*怪物掉落配置方案!$D4579</f>
        <v>0</v>
      </c>
    </row>
    <row r="11762" spans="1:4" ht="16.5" hidden="1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313">
        <f>参数调整!$K$42*怪物掉落配置方案!$D4580</f>
        <v>0</v>
      </c>
    </row>
    <row r="11763" spans="1:4" ht="16.5" hidden="1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313">
        <f>参数调整!$K$42*怪物掉落配置方案!$D4581</f>
        <v>0</v>
      </c>
    </row>
    <row r="11764" spans="1:4" ht="16.5" hidden="1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313">
        <f>参数调整!$K$42*怪物掉落配置方案!$D4582</f>
        <v>0</v>
      </c>
    </row>
    <row r="11765" spans="1:4" ht="16.5" hidden="1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313">
        <f>参数调整!$K$42*怪物掉落配置方案!$D4583</f>
        <v>0</v>
      </c>
    </row>
    <row r="11766" spans="1:4" ht="16.5" hidden="1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313">
        <f>参数调整!$K$42*怪物掉落配置方案!$D4584</f>
        <v>0</v>
      </c>
    </row>
    <row r="11767" spans="1:4" ht="16.5" hidden="1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313">
        <f>参数调整!$K$42*怪物掉落配置方案!$D4585</f>
        <v>0</v>
      </c>
    </row>
    <row r="11768" spans="1:4" ht="16.5" hidden="1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313">
        <f>参数调整!$K$42*怪物掉落配置方案!$D4586</f>
        <v>0</v>
      </c>
    </row>
    <row r="11769" spans="1:4" ht="16.5" hidden="1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313">
        <f>参数调整!$K$42*怪物掉落配置方案!$D4587</f>
        <v>0</v>
      </c>
    </row>
    <row r="11770" spans="1:4" ht="16.5" hidden="1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313">
        <f>参数调整!$K$42*怪物掉落配置方案!$D4588</f>
        <v>0</v>
      </c>
    </row>
    <row r="11771" spans="1:4" ht="16.5" hidden="1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313">
        <f>参数调整!$K$42*怪物掉落配置方案!$D4589</f>
        <v>0</v>
      </c>
    </row>
    <row r="11772" spans="1:4" ht="16.5" hidden="1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313">
        <f>参数调整!$K$42*怪物掉落配置方案!$D4590</f>
        <v>0</v>
      </c>
    </row>
    <row r="11773" spans="1:4" ht="16.5" hidden="1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313">
        <f>参数调整!$K$42*怪物掉落配置方案!$D4591</f>
        <v>0</v>
      </c>
    </row>
    <row r="11774" spans="1:4" ht="16.5" hidden="1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313">
        <f>参数调整!$K$42*怪物掉落配置方案!$D4592</f>
        <v>0</v>
      </c>
    </row>
    <row r="11775" spans="1:4" ht="16.5" hidden="1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313">
        <f>参数调整!$K$42*怪物掉落配置方案!$D4593</f>
        <v>2.8430911842312103E-4</v>
      </c>
    </row>
    <row r="11776" spans="1:4" ht="16.5" hidden="1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313">
        <f>参数调整!$K$42*怪物掉落配置方案!$D4594</f>
        <v>3.5982872800426258E-4</v>
      </c>
    </row>
    <row r="11777" spans="1:4" ht="16.5" hidden="1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313">
        <f>参数调整!$K$42*怪物掉落配置方案!$D4595</f>
        <v>4.4423299753612653E-4</v>
      </c>
    </row>
    <row r="11778" spans="1:4" ht="16.5" hidden="1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313">
        <f>参数调整!$K$42*怪物掉落配置方案!$D4596</f>
        <v>5.375219270187131E-4</v>
      </c>
    </row>
    <row r="11779" spans="1:4" ht="16.5" hidden="1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313">
        <f>参数调整!$K$42*怪物掉落配置方案!$D4597</f>
        <v>6.3969551645202212E-4</v>
      </c>
    </row>
    <row r="11780" spans="1:4" ht="16.5" hidden="1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313">
        <f>参数调整!$K$42*怪物掉落配置方案!$D4598</f>
        <v>7.5075376583605392E-4</v>
      </c>
    </row>
    <row r="11781" spans="1:4" ht="16.5" hidden="1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313">
        <f>参数调整!$K$42*怪物掉落配置方案!$D4599</f>
        <v>8.7069667517080795E-4</v>
      </c>
    </row>
    <row r="11782" spans="1:4" ht="16.5" hidden="1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313">
        <f>参数调整!$K$42*怪物掉落配置方案!$D4600</f>
        <v>9.9952424445628476E-4</v>
      </c>
    </row>
    <row r="11783" spans="1:4" ht="16.5" hidden="1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313">
        <f>参数调整!$K$42*怪物掉落配置方案!$D4601</f>
        <v>1.1372364736924843E-3</v>
      </c>
    </row>
    <row r="11784" spans="1:4" ht="16.5" hidden="1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313">
        <f>参数调整!$K$42*怪物掉落配置方案!$D4602</f>
        <v>1.4393149120170501E-3</v>
      </c>
    </row>
    <row r="11785" spans="1:4" ht="16.5" hidden="1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313">
        <f>参数调整!$K$42*怪物掉落配置方案!$D4603</f>
        <v>1.7769319901445061E-3</v>
      </c>
    </row>
    <row r="11786" spans="1:4" ht="16.5" hidden="1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313">
        <f>参数调整!$K$42*怪物掉落配置方案!$D4604</f>
        <v>2.1500877080748524E-3</v>
      </c>
    </row>
    <row r="11787" spans="1:4" ht="16.5" hidden="1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313">
        <f>参数调整!$K$42*怪物掉落配置方案!$D4605</f>
        <v>2.7764562346007911E-3</v>
      </c>
    </row>
    <row r="11788" spans="1:4" ht="16.5" hidden="1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313">
        <f>参数调整!$K$42*怪物掉落配置方案!$D4606</f>
        <v>3.9980969778251382E-3</v>
      </c>
    </row>
    <row r="11789" spans="1:4" ht="16.5" hidden="1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313">
        <f>参数调整!$K$42*怪物掉落配置方案!$D4607</f>
        <v>5.4418542198175499E-3</v>
      </c>
    </row>
    <row r="11790" spans="1:4" ht="16.5" hidden="1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313">
        <f>参数调整!$K$42*怪物掉落配置方案!$D4608</f>
        <v>6.0815497362695734E-3</v>
      </c>
    </row>
    <row r="11791" spans="1:4" ht="16.5" hidden="1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313">
        <f>参数调整!$K$42*怪物掉落配置方案!$D4609</f>
        <v>7.1077279605780246E-3</v>
      </c>
    </row>
    <row r="11792" spans="1:4" ht="16.5" hidden="1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313">
        <f>参数调整!$K$42*怪物掉落配置方案!$D4610</f>
        <v>8.2138681244429794E-3</v>
      </c>
    </row>
    <row r="11793" spans="1:4" ht="16.5" hidden="1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313">
        <f>参数调整!$K$42*怪物掉落配置方案!$D4611</f>
        <v>9.3999702278644362E-3</v>
      </c>
    </row>
    <row r="11794" spans="1:4" ht="16.5" hidden="1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313">
        <f>参数调整!$K$42*怪物掉落配置方案!$D4612</f>
        <v>1.06660342708424E-2</v>
      </c>
    </row>
    <row r="11795" spans="1:4" ht="16.5" hidden="1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313">
        <f>参数调整!$K$42*怪物掉落配置方案!$D4613</f>
        <v>1.2012060253376863E-2</v>
      </c>
    </row>
    <row r="11796" spans="1:4" ht="16.5" hidden="1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313">
        <f>参数调整!$K$42*怪物掉落配置方案!$D4614</f>
        <v>1.3438048175467829E-2</v>
      </c>
    </row>
    <row r="11797" spans="1:4" ht="16.5" hidden="1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313">
        <f>参数调整!$K$42*怪物掉落配置方案!$D4615</f>
        <v>1.4943998037115295E-2</v>
      </c>
    </row>
    <row r="11798" spans="1:4" ht="16.5" hidden="1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313">
        <f>参数调整!$K$42*怪物掉落配置方案!$D4616</f>
        <v>1.6529909838319267E-2</v>
      </c>
    </row>
    <row r="11799" spans="1:4" ht="16.5" hidden="1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313">
        <f>参数调整!$K$42*怪物掉落配置方案!$D4617</f>
        <v>1.819578357907975E-2</v>
      </c>
    </row>
    <row r="11800" spans="1:4" ht="16.5" hidden="1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313">
        <f>参数调整!$K$42*怪物掉落配置方案!$D4618</f>
        <v>1.9941619259396724E-2</v>
      </c>
    </row>
    <row r="11801" spans="1:4" ht="16.5" hidden="1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313">
        <f>参数调整!$K$42*怪物掉落配置方案!$D4619</f>
        <v>2.1767416879270203E-2</v>
      </c>
    </row>
    <row r="11802" spans="1:4" ht="16.5" hidden="1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313">
        <f>参数调整!$K$42*怪物掉落配置方案!$D4620</f>
        <v>4.5501029338687923E-2</v>
      </c>
    </row>
    <row r="11803" spans="1:4" ht="16.5" hidden="1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313">
        <f>参数调整!$K$42*怪物掉落配置方案!$D4621</f>
        <v>5.7587240256776917E-2</v>
      </c>
    </row>
    <row r="11804" spans="1:4" ht="16.5" hidden="1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313">
        <f>参数调整!$K$42*怪物掉落配置方案!$D4622</f>
        <v>7.1095358341699888E-2</v>
      </c>
    </row>
    <row r="11805" spans="1:4" ht="16.5" hidden="1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313">
        <f>参数调整!$K$42*怪物掉落配置方案!$D4623</f>
        <v>8.6025383593456864E-2</v>
      </c>
    </row>
    <row r="11806" spans="1:4" ht="16.5" hidden="1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313">
        <f>参数调整!$K$42*怪物掉落配置方案!$D4624</f>
        <v>0.1023773160120478</v>
      </c>
    </row>
    <row r="11807" spans="1:4" ht="16.5" hidden="1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313">
        <f>参数调整!$K$42*怪物掉落配置方案!$D4625</f>
        <v>0.12015115559747282</v>
      </c>
    </row>
    <row r="11808" spans="1:4" ht="16.5" hidden="1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313">
        <f>参数调整!$K$42*怪物掉落配置方案!$D4626</f>
        <v>0.13934690234973177</v>
      </c>
    </row>
    <row r="11809" spans="1:4" ht="16.5" hidden="1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313">
        <f>参数调整!$K$42*怪物掉落配置方案!$D4627</f>
        <v>0.15996455626882475</v>
      </c>
    </row>
    <row r="11810" spans="1:4" ht="16.5" hidden="1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313">
        <f>参数调整!$K$42*怪物掉落配置方案!$D4628</f>
        <v>0.18200411735475175</v>
      </c>
    </row>
    <row r="11811" spans="1:4" ht="16.5" hidden="1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313">
        <f>参数调整!$K$42*怪物掉落配置方案!$D4629</f>
        <v>0.23034896102710767</v>
      </c>
    </row>
    <row r="11812" spans="1:4" ht="16.5" hidden="1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313">
        <f>参数调整!$K$42*怪物掉落配置方案!$D4630</f>
        <v>0.28438143336679944</v>
      </c>
    </row>
    <row r="11813" spans="1:4" ht="16.5" hidden="1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313">
        <f>参数调整!$K$42*怪物掉落配置方案!$D4631</f>
        <v>0.34410153437382746</v>
      </c>
    </row>
    <row r="11814" spans="1:4" ht="16.5" hidden="1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313">
        <f>参数调整!$K$42*怪物掉落配置方案!$D4632</f>
        <v>0.44434598963562422</v>
      </c>
    </row>
    <row r="11815" spans="1:4" ht="16.5" hidden="1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313">
        <f>参数调整!$K$42*怪物掉落配置方案!$D4633</f>
        <v>0.63985822507529877</v>
      </c>
    </row>
    <row r="11816" spans="1:4" ht="16.5" hidden="1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313">
        <f>参数调整!$K$42*怪物掉落配置方案!$D4634</f>
        <v>0.87091813968582343</v>
      </c>
    </row>
    <row r="11817" spans="1:4" ht="16.5" hidden="1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313">
        <f>参数调整!$K$42*怪物掉落配置方案!$D4635</f>
        <v>0.97329545569787146</v>
      </c>
    </row>
    <row r="11818" spans="1:4" ht="16.5" hidden="1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313">
        <f>参数调整!$K$42*怪物掉落配置方案!$D4636</f>
        <v>1.1375257334671978</v>
      </c>
    </row>
    <row r="11819" spans="1:4" ht="16.5" hidden="1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313">
        <f>参数调整!$K$42*怪物掉落配置方案!$D4637</f>
        <v>1.3145531757380304</v>
      </c>
    </row>
    <row r="11820" spans="1:4" ht="16.5" hidden="1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313">
        <f>参数调整!$K$42*怪物掉落配置方案!$D4638</f>
        <v>1.5043777825103692</v>
      </c>
    </row>
    <row r="11821" spans="1:4" ht="16.5" hidden="1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313">
        <f>参数调整!$K$42*怪物掉落配置方案!$D4639</f>
        <v>1.7069995537842142</v>
      </c>
    </row>
    <row r="11822" spans="1:4" ht="16.5" hidden="1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313">
        <f>参数调整!$K$42*怪物掉落配置方案!$D4640</f>
        <v>1.9224184895595648</v>
      </c>
    </row>
    <row r="11823" spans="1:4" ht="16.5" hidden="1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313">
        <f>参数调整!$K$42*怪物掉落配置方案!$D4641</f>
        <v>2.1506345898364212</v>
      </c>
    </row>
    <row r="11824" spans="1:4" ht="16.5" hidden="1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313">
        <f>参数调整!$K$42*怪物掉落配置方案!$D4642</f>
        <v>2.3916478546147841</v>
      </c>
    </row>
    <row r="11825" spans="1:4" ht="16.5" hidden="1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313">
        <f>参数调整!$K$42*怪物掉落配置方案!$D4643</f>
        <v>2.6454582838946523</v>
      </c>
    </row>
    <row r="11826" spans="1:4" ht="16.5" hidden="1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313">
        <f>参数调整!$K$42*怪物掉落配置方案!$D4644</f>
        <v>2.9120658776760271</v>
      </c>
    </row>
    <row r="11827" spans="1:4" ht="16.5" hidden="1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313">
        <f>参数调整!$K$42*怪物掉落配置方案!$D4645</f>
        <v>3.1914706359589071</v>
      </c>
    </row>
    <row r="11828" spans="1:4" ht="16.5" hidden="1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313">
        <f>参数调整!$K$42*怪物掉落配置方案!$D4646</f>
        <v>3.4836725587432946</v>
      </c>
    </row>
    <row r="11829" spans="1:4" ht="16.5" hidden="1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313">
        <f>参数调整!$K$42*怪物掉落配置方案!$D4647</f>
        <v>2.0470256526464709E-4</v>
      </c>
    </row>
    <row r="11830" spans="1:4" ht="16.5" hidden="1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313">
        <f>参数调整!$K$42*怪物掉落配置方案!$D4648</f>
        <v>2.5907668416306904E-4</v>
      </c>
    </row>
    <row r="11831" spans="1:4" ht="16.5" hidden="1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313">
        <f>参数调整!$K$42*怪物掉落配置方案!$D4649</f>
        <v>3.1984775822601106E-4</v>
      </c>
    </row>
    <row r="11832" spans="1:4" ht="16.5" hidden="1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313">
        <f>参数调整!$K$42*怪物掉落配置方案!$D4650</f>
        <v>3.8701578745347341E-4</v>
      </c>
    </row>
    <row r="11833" spans="1:4" ht="16.5" hidden="1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313">
        <f>参数调整!$K$42*怪物掉落配置方案!$D4651</f>
        <v>4.6058077184545581E-4</v>
      </c>
    </row>
    <row r="11834" spans="1:4" ht="16.5" hidden="1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313">
        <f>参数调整!$K$42*怪物掉落配置方案!$D4652</f>
        <v>5.4054271140195869E-4</v>
      </c>
    </row>
    <row r="11835" spans="1:4" ht="16.5" hidden="1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313">
        <f>参数调整!$K$42*怪物掉落配置方案!$D4653</f>
        <v>6.2690160612298158E-4</v>
      </c>
    </row>
    <row r="11836" spans="1:4" ht="16.5" hidden="1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313">
        <f>参数调整!$K$42*怪物掉落配置方案!$D4654</f>
        <v>7.1965745600852506E-4</v>
      </c>
    </row>
    <row r="11837" spans="1:4" ht="16.5" hidden="1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313">
        <f>参数调整!$K$42*怪物掉落配置方案!$D4655</f>
        <v>8.1881026105858838E-4</v>
      </c>
    </row>
    <row r="11838" spans="1:4" ht="16.5" hidden="1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313">
        <f>参数调整!$K$42*怪物掉落配置方案!$D4656</f>
        <v>1.0363067366522761E-3</v>
      </c>
    </row>
    <row r="11839" spans="1:4" ht="16.5" hidden="1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313">
        <f>参数调整!$K$42*怪物掉落配置方案!$D4657</f>
        <v>1.2793910329040442E-3</v>
      </c>
    </row>
    <row r="11840" spans="1:4" ht="16.5" hidden="1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313">
        <f>参数调整!$K$42*怪物掉落配置方案!$D4658</f>
        <v>1.5480631498138936E-3</v>
      </c>
    </row>
    <row r="11841" spans="1:4" ht="16.5" hidden="1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313">
        <f>参数调整!$K$42*怪物掉落配置方案!$D4659</f>
        <v>1.9990484889125691E-3</v>
      </c>
    </row>
    <row r="11842" spans="1:4" ht="16.5" hidden="1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313">
        <f>参数调整!$K$42*怪物掉落配置方案!$D4660</f>
        <v>2.8786298240340994E-3</v>
      </c>
    </row>
    <row r="11843" spans="1:4" ht="16.5" hidden="1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313">
        <f>参数调整!$K$42*怪物掉落配置方案!$D4661</f>
        <v>3.9181350382686353E-3</v>
      </c>
    </row>
    <row r="11844" spans="1:4" ht="16.5" hidden="1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313">
        <f>参数调整!$K$42*怪物掉落配置方案!$D4662</f>
        <v>4.3787158101140922E-3</v>
      </c>
    </row>
    <row r="11845" spans="1:4" ht="16.5" hidden="1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313">
        <f>参数调整!$K$42*怪物掉落配置方案!$D4663</f>
        <v>5.117564131616177E-3</v>
      </c>
    </row>
    <row r="11846" spans="1:4" ht="16.5" hidden="1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313">
        <f>参数调整!$K$42*怪物掉落配置方案!$D4664</f>
        <v>5.913985049598944E-3</v>
      </c>
    </row>
    <row r="11847" spans="1:4" ht="16.5" hidden="1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313">
        <f>参数调整!$K$42*怪物掉落配置方案!$D4665</f>
        <v>6.7679785640623932E-3</v>
      </c>
    </row>
    <row r="11848" spans="1:4" ht="16.5" hidden="1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313">
        <f>参数调整!$K$42*怪物掉落配置方案!$D4666</f>
        <v>7.6795446750065272E-3</v>
      </c>
    </row>
    <row r="11849" spans="1:4" ht="16.5" hidden="1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313">
        <f>参数调整!$K$42*怪物掉落配置方案!$D4667</f>
        <v>8.6486833824313391E-3</v>
      </c>
    </row>
    <row r="11850" spans="1:4" ht="16.5" hidden="1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313">
        <f>参数调整!$K$42*怪物掉落配置方案!$D4668</f>
        <v>9.6753946863368384E-3</v>
      </c>
    </row>
    <row r="11851" spans="1:4" ht="16.5" hidden="1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313">
        <f>参数调整!$K$42*怪物掉落配置方案!$D4669</f>
        <v>1.0759678586723012E-2</v>
      </c>
    </row>
    <row r="11852" spans="1:4" ht="16.5" hidden="1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313">
        <f>参数调整!$K$42*怪物掉落配置方案!$D4670</f>
        <v>1.1901535083589869E-2</v>
      </c>
    </row>
    <row r="11853" spans="1:4" ht="16.5" hidden="1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313">
        <f>参数调整!$K$42*怪物掉落配置方案!$D4671</f>
        <v>1.3100964176937414E-2</v>
      </c>
    </row>
    <row r="11854" spans="1:4" ht="16.5" hidden="1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313">
        <f>参数调整!$K$42*怪物掉落配置方案!$D4672</f>
        <v>1.4357965866765637E-2</v>
      </c>
    </row>
    <row r="11855" spans="1:4" ht="16.5" hidden="1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313">
        <f>参数调整!$K$42*怪物掉落配置方案!$D4673</f>
        <v>1.5672540153074545E-2</v>
      </c>
    </row>
    <row r="11856" spans="1:4" ht="16.5" hidden="1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313">
        <f>参数调整!$K$42*怪物掉落配置方案!$D4674</f>
        <v>3.1780649056745076E-3</v>
      </c>
    </row>
    <row r="11857" spans="1:4" ht="16.5" hidden="1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313">
        <f>参数调整!$K$42*怪物掉落配置方案!$D4675</f>
        <v>4.0222383962442996E-3</v>
      </c>
    </row>
    <row r="11858" spans="1:4" ht="16.5" hidden="1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313">
        <f>参数调整!$K$42*怪物掉落配置方案!$D4676</f>
        <v>4.965726415116418E-3</v>
      </c>
    </row>
    <row r="11859" spans="1:4" ht="16.5" hidden="1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313">
        <f>参数调整!$K$42*怪物掉落配置方案!$D4677</f>
        <v>6.0085289622908659E-3</v>
      </c>
    </row>
    <row r="11860" spans="1:4" ht="16.5" hidden="1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313">
        <f>参数调整!$K$42*怪物掉落配置方案!$D4678</f>
        <v>7.1506460377676407E-3</v>
      </c>
    </row>
    <row r="11861" spans="1:4" ht="16.5" hidden="1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313">
        <f>参数调整!$K$42*怪物掉落配置方案!$D4679</f>
        <v>8.3920776415467475E-3</v>
      </c>
    </row>
    <row r="11862" spans="1:4" ht="16.5" hidden="1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313">
        <f>参数调整!$K$42*怪物掉落配置方案!$D4680</f>
        <v>9.7328237736281787E-3</v>
      </c>
    </row>
    <row r="11863" spans="1:4" ht="16.5" hidden="1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313">
        <f>参数调整!$K$42*怪物掉落配置方案!$D4681</f>
        <v>1.1172884434011942E-2</v>
      </c>
    </row>
    <row r="11864" spans="1:4" ht="16.5" hidden="1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313">
        <f>参数调整!$K$42*怪物掉落配置方案!$D4682</f>
        <v>1.271225962269803E-2</v>
      </c>
    </row>
    <row r="11865" spans="1:4" ht="16.5" hidden="1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313">
        <f>参数调整!$K$42*怪物掉落配置方案!$D4683</f>
        <v>1.6088953584977195E-2</v>
      </c>
    </row>
    <row r="11866" spans="1:4" ht="16.5" hidden="1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313">
        <f>参数调整!$K$42*怪物掉落配置方案!$D4684</f>
        <v>1.9862905660465672E-2</v>
      </c>
    </row>
    <row r="11867" spans="1:4" ht="16.5" hidden="1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313">
        <f>参数调整!$K$42*怪物掉落配置方案!$D4685</f>
        <v>2.4034115849163463E-2</v>
      </c>
    </row>
    <row r="11868" spans="1:4" ht="16.5" hidden="1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313">
        <f>参数调整!$K$42*怪物掉落配置方案!$D4686</f>
        <v>3.1035790094477614E-2</v>
      </c>
    </row>
    <row r="11869" spans="1:4" ht="16.5" hidden="1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313">
        <f>参数调整!$K$42*怪物掉落配置方案!$D4687</f>
        <v>4.4691537736047754E-2</v>
      </c>
    </row>
    <row r="11870" spans="1:4" ht="16.5" hidden="1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313">
        <f>参数调整!$K$42*怪物掉落配置方案!$D4688</f>
        <v>6.0830148585176123E-2</v>
      </c>
    </row>
    <row r="11871" spans="1:4" ht="16.5" hidden="1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313">
        <f>参数调整!$K$42*怪物掉落配置方案!$D4689</f>
        <v>6.7980794622943763E-2</v>
      </c>
    </row>
    <row r="11872" spans="1:4" ht="16.5" hidden="1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313">
        <f>参数调整!$K$42*怪物掉落配置方案!$D4690</f>
        <v>7.9451622641862688E-2</v>
      </c>
    </row>
    <row r="11873" spans="1:4" ht="16.5" hidden="1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313">
        <f>参数调整!$K$42*怪物掉落配置方案!$D4691</f>
        <v>9.1816281415502563E-2</v>
      </c>
    </row>
    <row r="11874" spans="1:4" ht="16.5" hidden="1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313">
        <f>参数调整!$K$42*怪物掉落配置方案!$D4692</f>
        <v>0.10507477094386339</v>
      </c>
    </row>
    <row r="11875" spans="1:4" ht="16.5" hidden="1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313">
        <f>参数调整!$K$42*怪物掉落配置方案!$D4693</f>
        <v>0.11922709122694522</v>
      </c>
    </row>
    <row r="11876" spans="1:4" ht="16.5" hidden="1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313">
        <f>参数调整!$K$42*怪物掉落配置方案!$D4694</f>
        <v>0.13427324226474791</v>
      </c>
    </row>
    <row r="11877" spans="1:4" ht="16.5" hidden="1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313">
        <f>参数调整!$K$42*怪物掉落配置方案!$D4695</f>
        <v>0.15021322405727167</v>
      </c>
    </row>
    <row r="11878" spans="1:4" ht="16.5" hidden="1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313">
        <f>参数调整!$K$42*怪物掉落配置方案!$D4696</f>
        <v>0.16704703660451628</v>
      </c>
    </row>
    <row r="11879" spans="1:4" ht="16.5" hidden="1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313">
        <f>参数调整!$K$42*怪物掉落配置方案!$D4697</f>
        <v>0.18477467990648186</v>
      </c>
    </row>
    <row r="11880" spans="1:4" ht="16.5" hidden="1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313">
        <f>参数调整!$K$42*怪物掉落配置方案!$D4698</f>
        <v>0.20339615396316849</v>
      </c>
    </row>
    <row r="11881" spans="1:4" ht="16.5" hidden="1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313">
        <f>参数调整!$K$42*怪物掉落配置方案!$D4699</f>
        <v>0.22291145877457602</v>
      </c>
    </row>
    <row r="11882" spans="1:4" ht="16.5" hidden="1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313">
        <f>参数调整!$K$42*怪物掉落配置方案!$D4700</f>
        <v>0.24332059434070449</v>
      </c>
    </row>
    <row r="11883" spans="1:4" ht="16.5" hidden="1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313">
        <f>参数调整!$K$42*怪物掉落配置方案!$D4701</f>
        <v>1.8159789395693782E-2</v>
      </c>
    </row>
    <row r="11884" spans="1:4" ht="16.5" hidden="1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313">
        <f>参数调整!$K$42*怪物掉落配置方案!$D4702</f>
        <v>2.2983483453924942E-2</v>
      </c>
    </row>
    <row r="11885" spans="1:4" ht="16.5" hidden="1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313">
        <f>参数调整!$K$42*怪物掉落配置方案!$D4703</f>
        <v>2.8374670930771527E-2</v>
      </c>
    </row>
    <row r="11886" spans="1:4" ht="16.5" hidden="1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313">
        <f>参数调整!$K$42*怪物掉落配置方案!$D4704</f>
        <v>3.4333351826233552E-2</v>
      </c>
    </row>
    <row r="11887" spans="1:4" ht="16.5" hidden="1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313">
        <f>参数调整!$K$42*怪物掉落配置方案!$D4705</f>
        <v>4.0859526140310985E-2</v>
      </c>
    </row>
    <row r="11888" spans="1:4" ht="16.5" hidden="1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313">
        <f>参数调整!$K$42*怪物掉落配置方案!$D4706</f>
        <v>4.795319387300389E-2</v>
      </c>
    </row>
    <row r="11889" spans="1:4" ht="16.5" hidden="1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313">
        <f>参数调整!$K$42*怪物掉落配置方案!$D4707</f>
        <v>5.5614355024312181E-2</v>
      </c>
    </row>
    <row r="11890" spans="1:4" ht="16.5" hidden="1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313">
        <f>参数调整!$K$42*怪物掉落配置方案!$D4708</f>
        <v>6.384300959423593E-2</v>
      </c>
    </row>
    <row r="11891" spans="1:4" ht="16.5" hidden="1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313">
        <f>参数调整!$K$42*怪物掉落配置方案!$D4709</f>
        <v>7.263915758277513E-2</v>
      </c>
    </row>
    <row r="11892" spans="1:4" ht="16.5" hidden="1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313">
        <f>参数调整!$K$42*怪物掉落配置方案!$D4710</f>
        <v>9.1933933815699753E-2</v>
      </c>
    </row>
    <row r="11893" spans="1:4" ht="16.5" hidden="1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313">
        <f>参数调整!$K$42*怪物掉落配置方案!$D4711</f>
        <v>0.11349868372308608</v>
      </c>
    </row>
    <row r="11894" spans="1:4" ht="16.5" hidden="1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313">
        <f>参数调整!$K$42*怪物掉落配置方案!$D4712</f>
        <v>0.13733340730493421</v>
      </c>
    </row>
    <row r="11895" spans="1:4" ht="16.5" hidden="1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313">
        <f>参数调整!$K$42*怪物掉落配置方案!$D4713</f>
        <v>0.17734169331732202</v>
      </c>
    </row>
    <row r="11896" spans="1:4" ht="16.5" hidden="1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313">
        <f>参数调整!$K$42*怪物掉落配置方案!$D4714</f>
        <v>0.25537203837694372</v>
      </c>
    </row>
    <row r="11897" spans="1:4" ht="16.5" hidden="1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313">
        <f>参数调整!$K$42*怪物掉落配置方案!$D4715</f>
        <v>0.34758971890195112</v>
      </c>
    </row>
    <row r="11898" spans="1:4" ht="16.5" hidden="1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313">
        <f>参数调整!$K$42*怪物掉落配置方案!$D4716</f>
        <v>0.38844924504226225</v>
      </c>
    </row>
    <row r="11899" spans="1:4" ht="16.5" hidden="1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313">
        <f>参数调整!$K$42*怪物掉落配置方案!$D4717</f>
        <v>0.45399473489234432</v>
      </c>
    </row>
    <row r="11900" spans="1:4" ht="16.5" hidden="1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313">
        <f>参数调整!$K$42*怪物掉落配置方案!$D4718</f>
        <v>0.52464766550996544</v>
      </c>
    </row>
    <row r="11901" spans="1:4" ht="16.5" hidden="1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313">
        <f>参数调整!$K$42*怪物掉落配置方案!$D4719</f>
        <v>0.60040803689512545</v>
      </c>
    </row>
    <row r="11902" spans="1:4" ht="16.5" hidden="1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313">
        <f>参数调整!$K$42*怪物掉落配置方案!$D4720</f>
        <v>0.68127584904782446</v>
      </c>
    </row>
    <row r="11903" spans="1:4" ht="16.5" hidden="1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313">
        <f>参数调整!$K$42*怪物掉落配置方案!$D4721</f>
        <v>0.76725110196806201</v>
      </c>
    </row>
    <row r="11904" spans="1:4" ht="16.5" hidden="1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313">
        <f>参数调整!$K$42*怪物掉落配置方案!$D4722</f>
        <v>0.85833379565583878</v>
      </c>
    </row>
    <row r="11905" spans="1:4" ht="16.5" hidden="1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313">
        <f>参数调整!$K$42*怪物掉落配置方案!$D4723</f>
        <v>0.95452393011115411</v>
      </c>
    </row>
    <row r="11906" spans="1:4" ht="16.5" hidden="1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313">
        <f>参数调整!$K$42*怪物掉落配置方案!$D4724</f>
        <v>1.0558215053340083</v>
      </c>
    </row>
    <row r="11907" spans="1:4" ht="16.5" hidden="1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313">
        <f>参数调整!$K$42*怪物掉落配置方案!$D4725</f>
        <v>1.1622265213244019</v>
      </c>
    </row>
    <row r="11908" spans="1:4" ht="16.5" hidden="1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313">
        <f>参数调整!$K$42*怪物掉落配置方案!$D4726</f>
        <v>1.2737389780823338</v>
      </c>
    </row>
    <row r="11909" spans="1:4" ht="16.5" hidden="1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313">
        <f>参数调整!$K$42*怪物掉落配置方案!$D4727</f>
        <v>1.3903588756078047</v>
      </c>
    </row>
    <row r="11910" spans="1:4" ht="16.5" hidden="1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313">
        <f>参数调整!$K$42*怪物掉落配置方案!$D4728</f>
        <v>2.2744729473849684E-5</v>
      </c>
    </row>
    <row r="11911" spans="1:4" ht="16.5" hidden="1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313">
        <f>参数调整!$K$42*怪物掉落配置方案!$D4729</f>
        <v>2.8786298240341005E-5</v>
      </c>
    </row>
    <row r="11912" spans="1:4" ht="16.5" hidden="1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313">
        <f>参数调整!$K$42*怪物掉落配置方案!$D4730</f>
        <v>3.5538639802890129E-5</v>
      </c>
    </row>
    <row r="11913" spans="1:4" ht="16.5" hidden="1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313">
        <f>参数调整!$K$42*怪物掉落配置方案!$D4731</f>
        <v>4.3001754161497056E-5</v>
      </c>
    </row>
    <row r="11914" spans="1:4" ht="16.5" hidden="1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313">
        <f>参数调整!$K$42*怪物掉落配置方案!$D4732</f>
        <v>5.1175641316161774E-5</v>
      </c>
    </row>
    <row r="11915" spans="1:4" ht="16.5" hidden="1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313">
        <f>参数调整!$K$42*怪物掉落配置方案!$D4733</f>
        <v>6.0060301266884328E-5</v>
      </c>
    </row>
    <row r="11916" spans="1:4" ht="16.5" hidden="1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313">
        <f>参数调整!$K$42*怪物掉落配置方案!$D4734</f>
        <v>6.9655734013664638E-5</v>
      </c>
    </row>
    <row r="11917" spans="1:4" ht="16.5" hidden="1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313">
        <f>参数调整!$K$42*怪物掉落配置方案!$D4735</f>
        <v>7.9961939556502778E-5</v>
      </c>
    </row>
    <row r="11918" spans="1:4" ht="16.5" hidden="1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313">
        <f>参数调整!$K$42*怪物掉落配置方案!$D4736</f>
        <v>9.0978917895398736E-5</v>
      </c>
    </row>
    <row r="11919" spans="1:4" ht="16.5" hidden="1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313">
        <f>参数调整!$K$42*怪物掉落配置方案!$D4737</f>
        <v>1.1514519296136402E-4</v>
      </c>
    </row>
    <row r="11920" spans="1:4" ht="16.5" hidden="1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313">
        <f>参数调整!$K$42*怪物掉落配置方案!$D4738</f>
        <v>1.4215455921156052E-4</v>
      </c>
    </row>
    <row r="11921" spans="1:4" ht="16.5" hidden="1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313">
        <f>参数调整!$K$42*怪物掉落配置方案!$D4739</f>
        <v>1.7200701664598823E-4</v>
      </c>
    </row>
    <row r="11922" spans="1:4" ht="16.5" hidden="1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313">
        <f>参数调整!$K$42*怪物掉落配置方案!$D4740</f>
        <v>2.2211649876806327E-4</v>
      </c>
    </row>
    <row r="11923" spans="1:4" ht="16.5" hidden="1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313">
        <f>参数调整!$K$42*怪物掉落配置方案!$D4741</f>
        <v>3.1984775822601106E-4</v>
      </c>
    </row>
    <row r="11924" spans="1:4" ht="16.5" hidden="1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313">
        <f>参数调整!$K$42*怪物掉落配置方案!$D4742</f>
        <v>4.3534833758540387E-4</v>
      </c>
    </row>
    <row r="11925" spans="1:4" ht="16.5" hidden="1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313">
        <f>参数调整!$K$42*怪物掉落配置方案!$D4743</f>
        <v>4.8652397890156592E-4</v>
      </c>
    </row>
    <row r="11926" spans="1:4" ht="16.5" hidden="1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313">
        <f>参数调整!$K$42*怪物掉落配置方案!$D4744</f>
        <v>5.6861823684624206E-4</v>
      </c>
    </row>
    <row r="11927" spans="1:4" ht="16.5" hidden="1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313">
        <f>参数调整!$K$42*怪物掉落配置方案!$D4745</f>
        <v>6.5710944995543837E-4</v>
      </c>
    </row>
    <row r="11928" spans="1:4" ht="16.5" hidden="1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313">
        <f>参数调整!$K$42*怪物掉落配置方案!$D4746</f>
        <v>7.5199761822915495E-4</v>
      </c>
    </row>
    <row r="11929" spans="1:4" ht="16.5" hidden="1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313">
        <f>参数调整!$K$42*怪物掉落配置方案!$D4747</f>
        <v>8.5328274166739213E-4</v>
      </c>
    </row>
    <row r="11930" spans="1:4" ht="16.5" hidden="1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313">
        <f>参数调整!$K$42*怪物掉落配置方案!$D4748</f>
        <v>9.6096482027014903E-4</v>
      </c>
    </row>
    <row r="11931" spans="1:4" ht="16.5" hidden="1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313">
        <f>参数调整!$K$42*怪物掉落配置方案!$D4749</f>
        <v>1.0750438540374262E-3</v>
      </c>
    </row>
    <row r="11932" spans="1:4" ht="16.5" hidden="1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313">
        <f>参数调整!$K$42*怪物掉落配置方案!$D4750</f>
        <v>1.1955198429692236E-3</v>
      </c>
    </row>
    <row r="11933" spans="1:4" ht="16.5" hidden="1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313">
        <f>参数调整!$K$42*怪物掉落配置方案!$D4751</f>
        <v>1.3223927870655411E-3</v>
      </c>
    </row>
    <row r="11934" spans="1:4" ht="16.5" hidden="1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313">
        <f>参数调整!$K$42*怪物掉落配置方案!$D4752</f>
        <v>1.4556626863263798E-3</v>
      </c>
    </row>
    <row r="11935" spans="1:4" ht="16.5" hidden="1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313">
        <f>参数调整!$K$42*怪物掉落配置方案!$D4753</f>
        <v>1.5953295407517376E-3</v>
      </c>
    </row>
    <row r="11936" spans="1:4" ht="16.5" hidden="1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313">
        <f>参数调整!$K$42*怪物掉落配置方案!$D4754</f>
        <v>1.7413933503416163E-3</v>
      </c>
    </row>
    <row r="11937" spans="1:4" ht="16.5" hidden="1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313">
        <f>参数调整!$K$42*怪物掉落配置方案!$D4755</f>
        <v>4.1384751019611695E-3</v>
      </c>
    </row>
    <row r="11938" spans="1:4" ht="16.5" hidden="1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313">
        <f>参数调整!$K$42*怪物掉落配置方案!$D4756</f>
        <v>5.2377575509196042E-3</v>
      </c>
    </row>
    <row r="11939" spans="1:4" ht="16.5" hidden="1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313">
        <f>参数调整!$K$42*怪物掉落配置方案!$D4757</f>
        <v>6.4663673468143253E-3</v>
      </c>
    </row>
    <row r="11940" spans="1:4" ht="16.5" hidden="1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313">
        <f>参数调整!$K$42*怪物掉落配置方案!$D4758</f>
        <v>7.8243044896453354E-3</v>
      </c>
    </row>
    <row r="11941" spans="1:4" ht="16.5" hidden="1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313">
        <f>参数调整!$K$42*怪物掉落配置方案!$D4759</f>
        <v>9.3115689794126266E-3</v>
      </c>
    </row>
    <row r="11942" spans="1:4" ht="16.5" hidden="1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313">
        <f>参数调整!$K$42*怪物掉落配置方案!$D4760</f>
        <v>1.0928160816116212E-2</v>
      </c>
    </row>
    <row r="11943" spans="1:4" ht="16.5" hidden="1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313">
        <f>参数调整!$K$42*怪物掉落配置方案!$D4761</f>
        <v>1.2674079999756074E-2</v>
      </c>
    </row>
    <row r="11944" spans="1:4" ht="16.5" hidden="1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313">
        <f>参数调整!$K$42*怪物掉落配置方案!$D4762</f>
        <v>1.4549326530332234E-2</v>
      </c>
    </row>
    <row r="11945" spans="1:4" ht="16.5" hidden="1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313">
        <f>参数调整!$K$42*怪物掉落配置方案!$D4763</f>
        <v>1.6553900407844678E-2</v>
      </c>
    </row>
    <row r="11946" spans="1:4" ht="16.5" hidden="1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313">
        <f>参数调整!$K$42*怪物掉落配置方案!$D4764</f>
        <v>2.0951030203678417E-2</v>
      </c>
    </row>
    <row r="11947" spans="1:4" ht="16.5" hidden="1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313">
        <f>参数调整!$K$42*怪物掉落配置方案!$D4765</f>
        <v>2.5865469387257298E-2</v>
      </c>
    </row>
    <row r="11948" spans="1:4" ht="16.5" hidden="1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313">
        <f>参数调整!$K$42*怪物掉落配置方案!$D4766</f>
        <v>3.1297217958581341E-2</v>
      </c>
    </row>
    <row r="11949" spans="1:4" ht="16.5" hidden="1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313">
        <f>参数调整!$K$42*怪物掉落配置方案!$D4767</f>
        <v>4.0414795917589529E-2</v>
      </c>
    </row>
    <row r="11950" spans="1:4" ht="16.5" hidden="1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313">
        <f>参数调整!$K$42*怪物掉落配置方案!$D4768</f>
        <v>5.8197306121328923E-2</v>
      </c>
    </row>
    <row r="11951" spans="1:4" ht="16.5" hidden="1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313">
        <f>参数调整!$K$42*怪物掉落配置方案!$D4769</f>
        <v>7.9212999998475475E-2</v>
      </c>
    </row>
    <row r="11952" spans="1:4" ht="16.5" hidden="1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313">
        <f>参数调整!$K$42*怪物掉落配置方案!$D4770</f>
        <v>8.852456897788813E-2</v>
      </c>
    </row>
    <row r="11953" spans="1:4" ht="16.5" hidden="1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313">
        <f>参数调整!$K$42*怪物掉落配置方案!$D4771</f>
        <v>0.10346187754902919</v>
      </c>
    </row>
    <row r="11954" spans="1:4" ht="16.5" hidden="1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313">
        <f>参数调整!$K$42*怪物掉落配置方案!$D4772</f>
        <v>0.11956313224259685</v>
      </c>
    </row>
    <row r="11955" spans="1:4" ht="16.5" hidden="1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313">
        <f>参数调整!$K$42*怪物掉落配置方案!$D4773</f>
        <v>0.1368283330585911</v>
      </c>
    </row>
    <row r="11956" spans="1:4" ht="16.5" hidden="1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313">
        <f>参数调整!$K$42*怪物掉落配置方案!$D4774</f>
        <v>0.15525747999701198</v>
      </c>
    </row>
    <row r="11957" spans="1:4" ht="16.5" hidden="1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313">
        <f>参数调整!$K$42*怪物掉落配置方案!$D4775</f>
        <v>0.17485057305785937</v>
      </c>
    </row>
    <row r="11958" spans="1:4" ht="16.5" hidden="1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313">
        <f>参数调整!$K$42*怪物掉落配置方案!$D4776</f>
        <v>0.19560761224113338</v>
      </c>
    </row>
    <row r="11959" spans="1:4" ht="16.5" hidden="1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313">
        <f>参数调整!$K$42*怪物掉落配置方案!$D4777</f>
        <v>0.2175285975468339</v>
      </c>
    </row>
    <row r="11960" spans="1:4" ht="16.5" hidden="1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313">
        <f>参数调整!$K$42*怪物掉落配置方案!$D4778</f>
        <v>0.24061352897496099</v>
      </c>
    </row>
    <row r="11961" spans="1:4" ht="16.5" hidden="1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313">
        <f>参数调整!$K$42*怪物掉落配置方案!$D4779</f>
        <v>0.26486240652551479</v>
      </c>
    </row>
    <row r="11962" spans="1:4" ht="16.5" hidden="1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313">
        <f>参数调整!$K$42*怪物掉落配置方案!$D4780</f>
        <v>0.2902752301984951</v>
      </c>
    </row>
    <row r="11963" spans="1:4" ht="16.5" hidden="1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313">
        <f>参数调整!$K$42*怪物掉落配置方案!$D4781</f>
        <v>0.31685199999390196</v>
      </c>
    </row>
    <row r="11964" spans="1:4" ht="16.5" hidden="1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313">
        <f>参数调整!$K$42*怪物掉落配置方案!$D4782</f>
        <v>4.1384751019611695E-3</v>
      </c>
    </row>
    <row r="11965" spans="1:4" ht="16.5" hidden="1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313">
        <f>参数调整!$K$42*怪物掉落配置方案!$D4783</f>
        <v>5.2377575509196042E-3</v>
      </c>
    </row>
    <row r="11966" spans="1:4" ht="16.5" hidden="1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313">
        <f>参数调整!$K$42*怪物掉落配置方案!$D4784</f>
        <v>6.4663673468143253E-3</v>
      </c>
    </row>
    <row r="11967" spans="1:4" ht="16.5" hidden="1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313">
        <f>参数调整!$K$42*怪物掉落配置方案!$D4785</f>
        <v>7.8243044896453354E-3</v>
      </c>
    </row>
    <row r="11968" spans="1:4" ht="16.5" hidden="1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313">
        <f>参数调整!$K$42*怪物掉落配置方案!$D4786</f>
        <v>9.3115689794126266E-3</v>
      </c>
    </row>
    <row r="11969" spans="1:4" ht="16.5" hidden="1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313">
        <f>参数调整!$K$42*怪物掉落配置方案!$D4787</f>
        <v>1.0928160816116212E-2</v>
      </c>
    </row>
    <row r="11970" spans="1:4" ht="16.5" hidden="1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313">
        <f>参数调整!$K$42*怪物掉落配置方案!$D4788</f>
        <v>1.2674079999756074E-2</v>
      </c>
    </row>
    <row r="11971" spans="1:4" ht="16.5" hidden="1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313">
        <f>参数调整!$K$42*怪物掉落配置方案!$D4789</f>
        <v>1.4549326530332234E-2</v>
      </c>
    </row>
    <row r="11972" spans="1:4" ht="16.5" hidden="1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313">
        <f>参数调整!$K$42*怪物掉落配置方案!$D4790</f>
        <v>1.6553900407844678E-2</v>
      </c>
    </row>
    <row r="11973" spans="1:4" ht="16.5" hidden="1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313">
        <f>参数调整!$K$42*怪物掉落配置方案!$D4791</f>
        <v>2.0951030203678417E-2</v>
      </c>
    </row>
    <row r="11974" spans="1:4" ht="16.5" hidden="1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313">
        <f>参数调整!$K$42*怪物掉落配置方案!$D4792</f>
        <v>2.5865469387257298E-2</v>
      </c>
    </row>
    <row r="11975" spans="1:4" ht="16.5" hidden="1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313">
        <f>参数调整!$K$42*怪物掉落配置方案!$D4793</f>
        <v>3.1297217958581341E-2</v>
      </c>
    </row>
    <row r="11976" spans="1:4" ht="16.5" hidden="1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313">
        <f>参数调整!$K$42*怪物掉落配置方案!$D4794</f>
        <v>4.0414795917589529E-2</v>
      </c>
    </row>
    <row r="11977" spans="1:4" ht="16.5" hidden="1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313">
        <f>参数调整!$K$42*怪物掉落配置方案!$D4795</f>
        <v>5.8197306121328923E-2</v>
      </c>
    </row>
    <row r="11978" spans="1:4" ht="16.5" hidden="1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313">
        <f>参数调整!$K$42*怪物掉落配置方案!$D4796</f>
        <v>7.9212999998475475E-2</v>
      </c>
    </row>
    <row r="11979" spans="1:4" ht="16.5" hidden="1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313">
        <f>参数调整!$K$42*怪物掉落配置方案!$D4797</f>
        <v>8.852456897788813E-2</v>
      </c>
    </row>
    <row r="11980" spans="1:4" ht="16.5" hidden="1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313">
        <f>参数调整!$K$42*怪物掉落配置方案!$D4798</f>
        <v>0.10346187754902919</v>
      </c>
    </row>
    <row r="11981" spans="1:4" ht="16.5" hidden="1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313">
        <f>参数调整!$K$42*怪物掉落配置方案!$D4799</f>
        <v>0.11956313224259685</v>
      </c>
    </row>
    <row r="11982" spans="1:4" ht="16.5" hidden="1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313">
        <f>参数调整!$K$42*怪物掉落配置方案!$D4800</f>
        <v>0.1368283330585911</v>
      </c>
    </row>
    <row r="11983" spans="1:4" ht="16.5" hidden="1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313">
        <f>参数调整!$K$42*怪物掉落配置方案!$D4801</f>
        <v>0.15525747999701198</v>
      </c>
    </row>
    <row r="11984" spans="1:4" ht="16.5" hidden="1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313">
        <f>参数调整!$K$42*怪物掉落配置方案!$D4802</f>
        <v>0.17485057305785937</v>
      </c>
    </row>
    <row r="11985" spans="1:4" ht="16.5" hidden="1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313">
        <f>参数调整!$K$42*怪物掉落配置方案!$D4803</f>
        <v>0.19560761224113338</v>
      </c>
    </row>
    <row r="11986" spans="1:4" ht="16.5" hidden="1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313">
        <f>参数调整!$K$42*怪物掉落配置方案!$D4804</f>
        <v>0.2175285975468339</v>
      </c>
    </row>
    <row r="11987" spans="1:4" ht="16.5" hidden="1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313">
        <f>参数调整!$K$42*怪物掉落配置方案!$D4805</f>
        <v>0.24061352897496099</v>
      </c>
    </row>
    <row r="11988" spans="1:4" ht="16.5" hidden="1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313">
        <f>参数调整!$K$42*怪物掉落配置方案!$D4806</f>
        <v>0.26486240652551479</v>
      </c>
    </row>
    <row r="11989" spans="1:4" ht="16.5" hidden="1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313">
        <f>参数调整!$K$42*怪物掉落配置方案!$D4807</f>
        <v>0.2902752301984951</v>
      </c>
    </row>
    <row r="11990" spans="1:4" ht="16.5" hidden="1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313">
        <f>参数调整!$K$42*怪物掉落配置方案!$D4808</f>
        <v>0.31685199999390196</v>
      </c>
    </row>
    <row r="11991" spans="1:4" ht="16.5" hidden="1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313">
        <f>参数调整!$K$42*怪物掉落配置方案!$D4809</f>
        <v>0.10608577484357096</v>
      </c>
    </row>
    <row r="11992" spans="1:4" ht="16.5" hidden="1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313">
        <f>参数调整!$K$42*怪物掉落配置方案!$D4810</f>
        <v>0.13426480878639449</v>
      </c>
    </row>
    <row r="11993" spans="1:4" ht="16.5" hidden="1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313">
        <f>参数调整!$K$42*怪物掉落配置方案!$D4811</f>
        <v>0.16575902319307961</v>
      </c>
    </row>
    <row r="11994" spans="1:4" ht="16.5" hidden="1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313">
        <f>参数调整!$K$42*怪物掉落配置方案!$D4812</f>
        <v>0.20056841806362635</v>
      </c>
    </row>
    <row r="11995" spans="1:4" ht="16.5" hidden="1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313">
        <f>参数调整!$K$42*怪物掉落配置方案!$D4813</f>
        <v>0.23869299339803457</v>
      </c>
    </row>
    <row r="11996" spans="1:4" ht="16.5" hidden="1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313">
        <f>参数调整!$K$42*怪物掉落配置方案!$D4814</f>
        <v>0.28013274919630449</v>
      </c>
    </row>
    <row r="11997" spans="1:4" ht="16.5" hidden="1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313">
        <f>参数调整!$K$42*怪物掉落配置方案!$D4815</f>
        <v>0.32488768545843594</v>
      </c>
    </row>
    <row r="11998" spans="1:4" ht="16.5" hidden="1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313">
        <f>参数调整!$K$42*怪物掉落配置方案!$D4816</f>
        <v>0.37295780218442909</v>
      </c>
    </row>
    <row r="11999" spans="1:4" ht="16.5" hidden="1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313">
        <f>参数调整!$K$42*怪物掉落配置方案!$D4817</f>
        <v>0.42434309937428383</v>
      </c>
    </row>
    <row r="12000" spans="1:4" ht="16.5" hidden="1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313">
        <f>参数调整!$K$42*怪物掉落配置方案!$D4818</f>
        <v>0.53705923514557796</v>
      </c>
    </row>
    <row r="12001" spans="1:4" ht="16.5" hidden="1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313">
        <f>参数调整!$K$42*怪物掉落配置方案!$D4819</f>
        <v>0.66303609277231834</v>
      </c>
    </row>
    <row r="12002" spans="1:4" ht="16.5" hidden="1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313">
        <f>参数调整!$K$42*怪物掉落配置方案!$D4820</f>
        <v>0.80227367225450541</v>
      </c>
    </row>
    <row r="12003" spans="1:4" ht="16.5" hidden="1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313">
        <f>参数调整!$K$42*怪物掉落配置方案!$D4821</f>
        <v>1.0359938949567473</v>
      </c>
    </row>
    <row r="12004" spans="1:4" ht="16.5" hidden="1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313">
        <f>参数调整!$K$42*怪物掉落配置方案!$D4822</f>
        <v>1.4918312087377159</v>
      </c>
    </row>
    <row r="12005" spans="1:4" ht="16.5" hidden="1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313">
        <f>参数调整!$K$42*怪物掉落配置方案!$D4823</f>
        <v>2.0305480341152249</v>
      </c>
    </row>
    <row r="12006" spans="1:4" ht="16.5" hidden="1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313">
        <f>参数调整!$K$42*怪物掉落配置方案!$D4824</f>
        <v>2.2692410275132597</v>
      </c>
    </row>
    <row r="12007" spans="1:4" ht="16.5" hidden="1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313">
        <f>参数调整!$K$42*怪物掉落配置方案!$D4825</f>
        <v>2.6521443710892734</v>
      </c>
    </row>
    <row r="12008" spans="1:4" ht="16.5" hidden="1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313">
        <f>参数调整!$K$42*怪物掉落配置方案!$D4826</f>
        <v>3.0648843388400411</v>
      </c>
    </row>
    <row r="12009" spans="1:4" ht="16.5" hidden="1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313">
        <f>参数调整!$K$42*怪物掉落配置方案!$D4827</f>
        <v>3.5074609307655633</v>
      </c>
    </row>
    <row r="12010" spans="1:4" ht="16.5" hidden="1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313">
        <f>参数调整!$K$42*怪物掉落配置方案!$D4828</f>
        <v>3.9798741468658414</v>
      </c>
    </row>
    <row r="12011" spans="1:4" ht="16.5" hidden="1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313">
        <f>参数调整!$K$42*怪物掉落配置方案!$D4829</f>
        <v>4.4821239871408718</v>
      </c>
    </row>
    <row r="12012" spans="1:4" ht="16.5" hidden="1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313">
        <f>参数调整!$K$42*怪物掉落配置方案!$D4830</f>
        <v>5.0142104515906594</v>
      </c>
    </row>
    <row r="12013" spans="1:4" ht="16.5" hidden="1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313">
        <f>参数调整!$K$42*怪物掉落配置方案!$D4831</f>
        <v>5.5761335402151975</v>
      </c>
    </row>
    <row r="12014" spans="1:4" ht="16.5" hidden="1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313">
        <f>参数调整!$K$42*怪物掉落配置方案!$D4832</f>
        <v>6.1678932530144914</v>
      </c>
    </row>
    <row r="12015" spans="1:4" ht="16.5" hidden="1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313">
        <f>参数调整!$K$42*怪物掉落配置方案!$D4833</f>
        <v>6.7894895899885412</v>
      </c>
    </row>
    <row r="12016" spans="1:4" ht="16.5" hidden="1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313">
        <f>参数调整!$K$42*怪物掉落配置方案!$D4834</f>
        <v>7.4409225511373442</v>
      </c>
    </row>
    <row r="12017" spans="1:4" ht="16.5" hidden="1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313">
        <f>参数调整!$K$42*怪物掉落配置方案!$D4835</f>
        <v>8.1221921364609013</v>
      </c>
    </row>
    <row r="12018" spans="1:4" ht="16.5" hidden="1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313">
        <f>参数调整!$K$42*怪物掉落配置方案!$D4836</f>
        <v>6.2548006053086622E-4</v>
      </c>
    </row>
    <row r="12019" spans="1:4" ht="16.5" hidden="1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313">
        <f>参数调整!$K$42*怪物掉落配置方案!$D4837</f>
        <v>7.9162320160937772E-4</v>
      </c>
    </row>
    <row r="12020" spans="1:4" ht="16.5" hidden="1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313">
        <f>参数调整!$K$42*怪物掉落配置方案!$D4838</f>
        <v>9.7731259457947846E-4</v>
      </c>
    </row>
    <row r="12021" spans="1:4" ht="16.5" hidden="1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313">
        <f>参数调整!$K$42*怪物掉落配置方案!$D4839</f>
        <v>1.1825482394411692E-3</v>
      </c>
    </row>
    <row r="12022" spans="1:4" ht="16.5" hidden="1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313">
        <f>参数调整!$K$42*怪物掉落配置方案!$D4840</f>
        <v>1.4073301361944483E-3</v>
      </c>
    </row>
    <row r="12023" spans="1:4" ht="16.5" hidden="1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313">
        <f>参数调整!$K$42*怪物掉落配置方案!$D4841</f>
        <v>1.6516582848393187E-3</v>
      </c>
    </row>
    <row r="12024" spans="1:4" ht="16.5" hidden="1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313">
        <f>参数调整!$K$42*怪物掉落配置方案!$D4842</f>
        <v>1.9155326853757774E-3</v>
      </c>
    </row>
    <row r="12025" spans="1:4" ht="16.5" hidden="1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313">
        <f>参数调整!$K$42*怪物掉落配置方案!$D4843</f>
        <v>2.1989533378038266E-3</v>
      </c>
    </row>
    <row r="12026" spans="1:4" ht="16.5" hidden="1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313">
        <f>参数调整!$K$42*怪物掉落配置方案!$D4844</f>
        <v>2.5019202421234649E-3</v>
      </c>
    </row>
    <row r="12027" spans="1:4" ht="16.5" hidden="1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313">
        <f>参数调整!$K$42*怪物掉落配置方案!$D4845</f>
        <v>3.1664928064375104E-3</v>
      </c>
    </row>
    <row r="12028" spans="1:4" ht="16.5" hidden="1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313">
        <f>参数调整!$K$42*怪物掉落配置方案!$D4846</f>
        <v>3.909250378317913E-3</v>
      </c>
    </row>
    <row r="12029" spans="1:4" ht="16.5" hidden="1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313">
        <f>参数调整!$K$42*怪物掉落配置方案!$D4847</f>
        <v>4.7301929577646751E-3</v>
      </c>
    </row>
    <row r="12030" spans="1:4" ht="16.5" hidden="1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313">
        <f>参数调整!$K$42*怪物掉落配置方案!$D4848</f>
        <v>6.1082037161217396E-3</v>
      </c>
    </row>
    <row r="12031" spans="1:4" ht="16.5" hidden="1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313">
        <f>参数调整!$K$42*怪物掉落配置方案!$D4849</f>
        <v>8.7958133512153047E-3</v>
      </c>
    </row>
    <row r="12032" spans="1:4" ht="16.5" hidden="1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313">
        <f>参数调整!$K$42*怪物掉落配置方案!$D4850</f>
        <v>1.1972079283598608E-2</v>
      </c>
    </row>
    <row r="12033" spans="1:4" ht="16.5" hidden="1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313">
        <f>参数调整!$K$42*怪物掉落配置方案!$D4851</f>
        <v>1.3379409419793062E-2</v>
      </c>
    </row>
    <row r="12034" spans="1:4" ht="16.5" hidden="1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313">
        <f>参数调整!$K$42*怪物掉落配置方案!$D4852</f>
        <v>1.5637001513271652E-2</v>
      </c>
    </row>
    <row r="12035" spans="1:4" ht="16.5" hidden="1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313">
        <f>参数调整!$K$42*怪物掉落配置方案!$D4853</f>
        <v>1.8070509873774555E-2</v>
      </c>
    </row>
    <row r="12036" spans="1:4" ht="16.5" hidden="1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313">
        <f>参数调整!$K$42*怪物掉落配置方案!$D4854</f>
        <v>2.0679934501301761E-2</v>
      </c>
    </row>
    <row r="12037" spans="1:4" ht="16.5" hidden="1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313">
        <f>参数调整!$K$42*怪物掉落配置方案!$D4855</f>
        <v>2.3465275395853281E-2</v>
      </c>
    </row>
    <row r="12038" spans="1:4" ht="16.5" hidden="1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313">
        <f>参数调整!$K$42*怪物掉落配置方案!$D4856</f>
        <v>2.6426532557429095E-2</v>
      </c>
    </row>
    <row r="12039" spans="1:4" ht="16.5" hidden="1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313">
        <f>参数调整!$K$42*怪物掉落配置方案!$D4857</f>
        <v>2.9563705986029219E-2</v>
      </c>
    </row>
    <row r="12040" spans="1:4" ht="16.5" hidden="1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313">
        <f>参数调整!$K$42*怪物掉落配置方案!$D4858</f>
        <v>3.2876795681653651E-2</v>
      </c>
    </row>
    <row r="12041" spans="1:4" ht="16.5" hidden="1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313">
        <f>参数调整!$K$42*怪物掉落配置方案!$D4859</f>
        <v>3.6365801644302378E-2</v>
      </c>
    </row>
    <row r="12042" spans="1:4" ht="16.5" hidden="1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313">
        <f>参数调整!$K$42*怪物掉落配置方案!$D4860</f>
        <v>4.0030723873975438E-2</v>
      </c>
    </row>
    <row r="12043" spans="1:4" ht="16.5" hidden="1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313">
        <f>参数调整!$K$42*怪物掉落配置方案!$D4861</f>
        <v>4.387156237067278E-2</v>
      </c>
    </row>
    <row r="12044" spans="1:4" ht="16.5" hidden="1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313">
        <f>参数调整!$K$42*怪物掉落配置方案!$D4862</f>
        <v>4.788831713439444E-2</v>
      </c>
    </row>
    <row r="12045" spans="1:4" ht="16.5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313">
        <f>参数调整!$K$42*怪物掉落配置方案!$D4863</f>
        <v>11669</v>
      </c>
    </row>
    <row r="12046" spans="1:4" ht="16.5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313">
        <f>参数调整!$K$42*怪物掉落配置方案!$D4864</f>
        <v>18634</v>
      </c>
    </row>
    <row r="12047" spans="1:4" ht="16.5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313">
        <f>参数调整!$K$42*怪物掉落配置方案!$D4865</f>
        <v>30331</v>
      </c>
    </row>
    <row r="12048" spans="1:4" ht="16.5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313">
        <f>参数调整!$K$42*怪物掉落配置方案!$D4866</f>
        <v>37919</v>
      </c>
    </row>
    <row r="12049" spans="1:4" ht="16.5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313">
        <f>参数调整!$K$42*怪物掉落配置方案!$D4867</f>
        <v>38108</v>
      </c>
    </row>
    <row r="12050" spans="1:4" ht="16.5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313">
        <f>参数调整!$K$42*怪物掉落配置方案!$D4868</f>
        <v>39018</v>
      </c>
    </row>
    <row r="12051" spans="1:4" ht="16.5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313">
        <f>参数调整!$K$42*怪物掉落配置方案!$D4869</f>
        <v>44037</v>
      </c>
    </row>
    <row r="12052" spans="1:4" ht="16.5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313">
        <f>参数调整!$K$42*怪物掉落配置方案!$D4870</f>
        <v>70567</v>
      </c>
    </row>
    <row r="12053" spans="1:4" ht="16.5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313">
        <f>参数调整!$K$42*怪物掉落配置方案!$D4871</f>
        <v>121345</v>
      </c>
    </row>
    <row r="12054" spans="1:4" ht="16.5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313">
        <f>参数调整!$K$42*怪物掉落配置方案!$D4872</f>
        <v>142779</v>
      </c>
    </row>
    <row r="12055" spans="1:4" ht="16.5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313">
        <f>参数调整!$K$42*怪物掉落配置方案!$D4873</f>
        <v>220500</v>
      </c>
    </row>
    <row r="12056" spans="1:4" ht="16.5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313">
        <f>参数调整!$K$42*怪物掉落配置方案!$D4874</f>
        <v>227892</v>
      </c>
    </row>
    <row r="12057" spans="1:4" ht="16.5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313">
        <f>参数调整!$K$42*怪物掉落配置方案!$D4875</f>
        <v>908698</v>
      </c>
    </row>
    <row r="12058" spans="1:4" ht="16.5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313">
        <f>参数调整!$K$42*怪物掉落配置方案!$D4876</f>
        <v>3110919</v>
      </c>
    </row>
    <row r="12059" spans="1:4" ht="16.5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313">
        <f>参数调整!$K$42*怪物掉落配置方案!$D4877</f>
        <v>37578723</v>
      </c>
    </row>
    <row r="12060" spans="1:4" ht="16.5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313">
        <f>参数调整!$K$42*怪物掉落配置方案!$D4878</f>
        <v>34170269</v>
      </c>
    </row>
    <row r="12061" spans="1:4" ht="16.5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313">
        <f>参数调整!$K$42*怪物掉落配置方案!$D4879</f>
        <v>40833331</v>
      </c>
    </row>
    <row r="12062" spans="1:4" ht="16.5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313">
        <f>参数调整!$K$42*怪物掉落配置方案!$D4880</f>
        <v>8166669</v>
      </c>
    </row>
    <row r="12063" spans="1:4" ht="16.5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313">
        <f>参数调整!$K$42*怪物掉落配置方案!$D4881</f>
        <v>8166669</v>
      </c>
    </row>
    <row r="12064" spans="1:4" ht="16.5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313">
        <f>参数调整!$K$42*怪物掉落配置方案!$D4882</f>
        <v>8166669</v>
      </c>
    </row>
    <row r="12065" spans="1:4" ht="16.5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313">
        <f>参数调整!$K$42*怪物掉落配置方案!$D4883</f>
        <v>8166669</v>
      </c>
    </row>
    <row r="12066" spans="1:4" ht="16.5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313">
        <f>参数调整!$K$42*怪物掉落配置方案!$D4884</f>
        <v>8166669</v>
      </c>
    </row>
    <row r="12067" spans="1:4" ht="16.5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313">
        <f>参数调整!$K$42*怪物掉落配置方案!$D4885</f>
        <v>4083331</v>
      </c>
    </row>
    <row r="12068" spans="1:4" ht="16.5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313">
        <f>参数调整!$K$42*怪物掉落配置方案!$D4886</f>
        <v>4083331</v>
      </c>
    </row>
    <row r="12069" spans="1:4" ht="16.5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313">
        <f>参数调整!$K$42*怪物掉落配置方案!$D4887</f>
        <v>4083331</v>
      </c>
    </row>
    <row r="12070" spans="1:4" ht="16.5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313">
        <f>参数调整!$K$42*怪物掉落配置方案!$D4888</f>
        <v>4083331</v>
      </c>
    </row>
    <row r="12071" spans="1:4" ht="16.5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313">
        <f>参数调整!$K$42*怪物掉落配置方案!$D4889</f>
        <v>4083331</v>
      </c>
    </row>
    <row r="12072" spans="1:4" ht="16.5" hidden="1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313">
        <f>参数调整!$K$42*怪物掉落配置方案!$D4890</f>
        <v>3.6319578791387556E-3</v>
      </c>
    </row>
    <row r="12073" spans="1:4" ht="16.5" hidden="1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313">
        <f>参数调整!$K$42*怪物掉落配置方案!$D4891</f>
        <v>4.596696690784989E-3</v>
      </c>
    </row>
    <row r="12074" spans="1:4" ht="16.5" hidden="1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313">
        <f>参数调整!$K$42*怪物掉落配置方案!$D4892</f>
        <v>5.674934186154305E-3</v>
      </c>
    </row>
    <row r="12075" spans="1:4" ht="16.5" hidden="1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313">
        <f>参数调整!$K$42*怪物掉落配置方案!$D4893</f>
        <v>6.8666703652467097E-3</v>
      </c>
    </row>
    <row r="12076" spans="1:4" ht="16.5" hidden="1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313">
        <f>参数调整!$K$42*怪物掉落配置方案!$D4894</f>
        <v>8.1719052280621977E-3</v>
      </c>
    </row>
    <row r="12077" spans="1:4" ht="16.5" hidden="1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313">
        <f>参数调整!$K$42*怪物掉落配置方案!$D4895</f>
        <v>9.5906387746007779E-3</v>
      </c>
    </row>
    <row r="12078" spans="1:4" ht="16.5" hidden="1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313">
        <f>参数调整!$K$42*怪物掉落配置方案!$D4896</f>
        <v>1.1122871004862436E-2</v>
      </c>
    </row>
    <row r="12079" spans="1:4" ht="16.5" hidden="1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313">
        <f>参数调整!$K$42*怪物掉落配置方案!$D4897</f>
        <v>1.2768601918847187E-2</v>
      </c>
    </row>
    <row r="12080" spans="1:4" ht="16.5" hidden="1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313">
        <f>参数调整!$K$42*怪物掉落配置方案!$D4898</f>
        <v>1.4527831516555026E-2</v>
      </c>
    </row>
    <row r="12081" spans="1:4" ht="16.5" hidden="1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313">
        <f>参数调整!$K$42*怪物掉落配置方案!$D4899</f>
        <v>1.8386786763139953E-2</v>
      </c>
    </row>
    <row r="12082" spans="1:4" ht="16.5" hidden="1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313">
        <f>参数调整!$K$42*怪物掉落配置方案!$D4900</f>
        <v>2.269973674461722E-2</v>
      </c>
    </row>
    <row r="12083" spans="1:4" ht="16.5" hidden="1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313">
        <f>参数调整!$K$42*怪物掉落配置方案!$D4901</f>
        <v>2.7466681460986839E-2</v>
      </c>
    </row>
    <row r="12084" spans="1:4" ht="16.5" hidden="1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313">
        <f>参数调整!$K$42*怪物掉落配置方案!$D4902</f>
        <v>3.546833866346441E-2</v>
      </c>
    </row>
    <row r="12085" spans="1:4" ht="16.5" hidden="1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313">
        <f>参数调整!$K$42*怪物掉落配置方案!$D4903</f>
        <v>5.1074407675388733E-2</v>
      </c>
    </row>
    <row r="12086" spans="1:4" ht="16.5" hidden="1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313">
        <f>参数调整!$K$42*怪物掉落配置方案!$D4904</f>
        <v>6.9517943780390237E-2</v>
      </c>
    </row>
    <row r="12087" spans="1:4" ht="16.5" hidden="1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313">
        <f>参数调整!$K$42*怪物掉落配置方案!$D4905</f>
        <v>7.7689849008452452E-2</v>
      </c>
    </row>
    <row r="12088" spans="1:4" ht="16.5" hidden="1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313">
        <f>参数调整!$K$42*怪物掉落配置方案!$D4906</f>
        <v>9.0798946978468881E-2</v>
      </c>
    </row>
    <row r="12089" spans="1:4" ht="16.5" hidden="1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313">
        <f>参数调整!$K$42*怪物掉落配置方案!$D4907</f>
        <v>0.1049295331019931</v>
      </c>
    </row>
    <row r="12090" spans="1:4" ht="16.5" hidden="1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313">
        <f>参数调整!$K$42*怪物掉落配置方案!$D4908</f>
        <v>0.1200816073790251</v>
      </c>
    </row>
    <row r="12091" spans="1:4" ht="16.5" hidden="1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313">
        <f>参数调整!$K$42*怪物掉落配置方案!$D4909</f>
        <v>0.13625516980956492</v>
      </c>
    </row>
    <row r="12092" spans="1:4" ht="16.5" hidden="1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313">
        <f>参数调整!$K$42*怪物掉落配置方案!$D4910</f>
        <v>0.15345022039361239</v>
      </c>
    </row>
    <row r="12093" spans="1:4" ht="16.5" hidden="1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313">
        <f>参数调整!$K$42*怪物掉落配置方案!$D4911</f>
        <v>0.17166675913116775</v>
      </c>
    </row>
    <row r="12094" spans="1:4" ht="16.5" hidden="1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313">
        <f>参数调整!$K$42*怪物掉落配置方案!$D4912</f>
        <v>0.19090478602223082</v>
      </c>
    </row>
    <row r="12095" spans="1:4" ht="16.5" hidden="1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313">
        <f>参数调整!$K$42*怪物掉落配置方案!$D4913</f>
        <v>0.21116430106680167</v>
      </c>
    </row>
    <row r="12096" spans="1:4" ht="16.5" hidden="1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313">
        <f>参数调整!$K$42*怪物掉落配置方案!$D4914</f>
        <v>0.23244530426488036</v>
      </c>
    </row>
    <row r="12097" spans="1:4" ht="16.5" hidden="1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313">
        <f>参数调整!$K$42*怪物掉落配置方案!$D4915</f>
        <v>0.25474779561646677</v>
      </c>
    </row>
    <row r="12098" spans="1:4" ht="16.5" hidden="1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313">
        <f>参数调整!$K$42*怪物掉落配置方案!$D4916</f>
        <v>0.278071775121561</v>
      </c>
    </row>
    <row r="12099" spans="1:4" ht="16.5" hidden="1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313">
        <f>参数调整!$K$42*怪物掉落配置方案!$D4917</f>
        <v>0</v>
      </c>
    </row>
    <row r="12100" spans="1:4" ht="16.5" hidden="1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313">
        <f>参数调整!$K$42*怪物掉落配置方案!$D4918</f>
        <v>0</v>
      </c>
    </row>
    <row r="12101" spans="1:4" ht="16.5" hidden="1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313">
        <f>参数调整!$K$42*怪物掉落配置方案!$D4919</f>
        <v>0</v>
      </c>
    </row>
    <row r="12102" spans="1:4" ht="16.5" hidden="1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313">
        <f>参数调整!$K$42*怪物掉落配置方案!$D4920</f>
        <v>0</v>
      </c>
    </row>
    <row r="12103" spans="1:4" ht="16.5" hidden="1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313">
        <f>参数调整!$K$42*怪物掉落配置方案!$D4921</f>
        <v>0</v>
      </c>
    </row>
    <row r="12104" spans="1:4" ht="16.5" hidden="1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313">
        <f>参数调整!$K$42*怪物掉落配置方案!$D4922</f>
        <v>0</v>
      </c>
    </row>
    <row r="12105" spans="1:4" ht="16.5" hidden="1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313">
        <f>参数调整!$K$42*怪物掉落配置方案!$D4923</f>
        <v>0</v>
      </c>
    </row>
    <row r="12106" spans="1:4" ht="16.5" hidden="1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313">
        <f>参数调整!$K$42*怪物掉落配置方案!$D4924</f>
        <v>0</v>
      </c>
    </row>
    <row r="12107" spans="1:4" ht="16.5" hidden="1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313">
        <f>参数调整!$K$42*怪物掉落配置方案!$D4925</f>
        <v>0</v>
      </c>
    </row>
    <row r="12108" spans="1:4" ht="16.5" hidden="1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313">
        <f>参数调整!$K$42*怪物掉落配置方案!$D4926</f>
        <v>0</v>
      </c>
    </row>
    <row r="12109" spans="1:4" ht="16.5" hidden="1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313">
        <f>参数调整!$K$42*怪物掉落配置方案!$D4927</f>
        <v>0</v>
      </c>
    </row>
    <row r="12110" spans="1:4" ht="16.5" hidden="1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313">
        <f>参数调整!$K$42*怪物掉落配置方案!$D4928</f>
        <v>0</v>
      </c>
    </row>
    <row r="12111" spans="1:4" ht="16.5" hidden="1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313">
        <f>参数调整!$K$42*怪物掉落配置方案!$D4929</f>
        <v>0</v>
      </c>
    </row>
    <row r="12112" spans="1:4" ht="16.5" hidden="1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313">
        <f>参数调整!$K$42*怪物掉落配置方案!$D4930</f>
        <v>0</v>
      </c>
    </row>
    <row r="12113" spans="1:4" ht="16.5" hidden="1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313">
        <f>参数调整!$K$42*怪物掉落配置方案!$D4931</f>
        <v>0</v>
      </c>
    </row>
    <row r="12114" spans="1:4" ht="16.5" hidden="1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313">
        <f>参数调整!$K$42*怪物掉落配置方案!$D4932</f>
        <v>0</v>
      </c>
    </row>
    <row r="12115" spans="1:4" ht="16.5" hidden="1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313">
        <f>参数调整!$K$42*怪物掉落配置方案!$D4933</f>
        <v>0</v>
      </c>
    </row>
    <row r="12116" spans="1:4" ht="16.5" hidden="1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313">
        <f>参数调整!$K$42*怪物掉落配置方案!$D4934</f>
        <v>0</v>
      </c>
    </row>
    <row r="12117" spans="1:4" ht="16.5" hidden="1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313">
        <f>参数调整!$K$42*怪物掉落配置方案!$D4935</f>
        <v>0</v>
      </c>
    </row>
    <row r="12118" spans="1:4" ht="16.5" hidden="1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313">
        <f>参数调整!$K$42*怪物掉落配置方案!$D4936</f>
        <v>0</v>
      </c>
    </row>
    <row r="12119" spans="1:4" ht="16.5" hidden="1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313">
        <f>参数调整!$K$42*怪物掉落配置方案!$D4937</f>
        <v>0</v>
      </c>
    </row>
    <row r="12120" spans="1:4" ht="16.5" hidden="1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313">
        <f>参数调整!$K$42*怪物掉落配置方案!$D4938</f>
        <v>0</v>
      </c>
    </row>
    <row r="12121" spans="1:4" ht="16.5" hidden="1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313">
        <f>参数调整!$K$42*怪物掉落配置方案!$D4939</f>
        <v>0</v>
      </c>
    </row>
    <row r="12122" spans="1:4" ht="16.5" hidden="1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313">
        <f>参数调整!$K$42*怪物掉落配置方案!$D4940</f>
        <v>0</v>
      </c>
    </row>
    <row r="12123" spans="1:4" ht="16.5" hidden="1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313">
        <f>参数调整!$K$42*怪物掉落配置方案!$D4941</f>
        <v>0</v>
      </c>
    </row>
    <row r="12124" spans="1:4" ht="16.5" hidden="1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313">
        <f>参数调整!$K$42*怪物掉落配置方案!$D4942</f>
        <v>0</v>
      </c>
    </row>
    <row r="12125" spans="1:4" ht="16.5" hidden="1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313">
        <f>参数调整!$K$42*怪物掉落配置方案!$D4943</f>
        <v>0</v>
      </c>
    </row>
    <row r="12126" spans="1:4" ht="16.5" hidden="1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313">
        <f>参数调整!$K$42*怪物掉落配置方案!$D4944</f>
        <v>1.72314057820805E-3</v>
      </c>
    </row>
    <row r="12127" spans="1:4" ht="16.5" hidden="1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313">
        <f>参数调整!$K$42*怪物掉落配置方案!$D4945</f>
        <v>2.1808497942945636E-3</v>
      </c>
    </row>
    <row r="12128" spans="1:4" ht="16.5" hidden="1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313">
        <f>参数调整!$K$42*怪物掉落配置方案!$D4946</f>
        <v>2.6924071534500777E-3</v>
      </c>
    </row>
    <row r="12129" spans="1:4" ht="16.5" hidden="1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313">
        <f>参数调整!$K$42*怪物掉落配置方案!$D4947</f>
        <v>3.2578126556745946E-3</v>
      </c>
    </row>
    <row r="12130" spans="1:4" ht="16.5" hidden="1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313">
        <f>参数调整!$K$42*怪物掉落配置方案!$D4948</f>
        <v>3.8770663009681117E-3</v>
      </c>
    </row>
    <row r="12131" spans="1:4" ht="16.5" hidden="1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313">
        <f>参数调整!$K$42*怪物掉落配置方案!$D4949</f>
        <v>4.5501680893306317E-3</v>
      </c>
    </row>
    <row r="12132" spans="1:4" ht="16.5" hidden="1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313">
        <f>参数调整!$K$42*怪物掉落配置方案!$D4950</f>
        <v>5.2771180207621515E-3</v>
      </c>
    </row>
    <row r="12133" spans="1:4" ht="16.5" hidden="1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313">
        <f>参数调整!$K$42*怪物掉落配置方案!$D4951</f>
        <v>6.0579160952626745E-3</v>
      </c>
    </row>
    <row r="12134" spans="1:4" ht="16.5" hidden="1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313">
        <f>参数调整!$K$42*怪物掉落配置方案!$D4952</f>
        <v>6.8925623128322008E-3</v>
      </c>
    </row>
    <row r="12135" spans="1:4" ht="16.5" hidden="1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313">
        <f>参数调整!$K$42*怪物掉落配置方案!$D4953</f>
        <v>8.723399177178251E-3</v>
      </c>
    </row>
    <row r="12136" spans="1:4" ht="16.5" hidden="1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313">
        <f>参数调整!$K$42*怪物掉落配置方案!$D4954</f>
        <v>1.0769628613800311E-2</v>
      </c>
    </row>
    <row r="12137" spans="1:4" ht="16.5" hidden="1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313">
        <f>参数调整!$K$42*怪物掉落配置方案!$D4955</f>
        <v>1.3031250622698378E-2</v>
      </c>
    </row>
    <row r="12138" spans="1:4" ht="16.5" hidden="1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313">
        <f>参数调整!$K$42*怪物掉落配置方案!$D4956</f>
        <v>1.6827544709062985E-2</v>
      </c>
    </row>
    <row r="12139" spans="1:4" ht="16.5" hidden="1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313">
        <f>参数调整!$K$42*怪物掉落配置方案!$D4957</f>
        <v>2.4231664381050698E-2</v>
      </c>
    </row>
    <row r="12140" spans="1:4" ht="16.5" hidden="1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313">
        <f>参数调整!$K$42*怪物掉落配置方案!$D4958</f>
        <v>3.2981987629763447E-2</v>
      </c>
    </row>
    <row r="12141" spans="1:4" ht="16.5" hidden="1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313">
        <f>参数调整!$K$42*怪物掉落配置方案!$D4959</f>
        <v>3.6859053930731564E-2</v>
      </c>
    </row>
    <row r="12142" spans="1:4" ht="16.5" hidden="1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313">
        <f>参数调整!$K$42*怪物掉落配置方案!$D4960</f>
        <v>4.3078514455201243E-2</v>
      </c>
    </row>
    <row r="12143" spans="1:4" ht="16.5" hidden="1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313">
        <f>参数调整!$K$42*怪物掉落配置方案!$D4961</f>
        <v>4.9782608267291931E-2</v>
      </c>
    </row>
    <row r="12144" spans="1:4" ht="16.5" hidden="1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313">
        <f>参数调整!$K$42*怪物掉落配置方案!$D4962</f>
        <v>5.6971335367003641E-2</v>
      </c>
    </row>
    <row r="12145" spans="1:4" ht="16.5" hidden="1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313">
        <f>参数调整!$K$42*怪物掉落配置方案!$D4963</f>
        <v>6.4644695754336373E-2</v>
      </c>
    </row>
    <row r="12146" spans="1:4" ht="16.5" hidden="1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313">
        <f>参数调整!$K$42*怪物掉落配置方案!$D4964</f>
        <v>7.2802689429290107E-2</v>
      </c>
    </row>
    <row r="12147" spans="1:4" ht="16.5" hidden="1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313">
        <f>参数调整!$K$42*怪物掉落配置方案!$D4965</f>
        <v>8.1445316391864864E-2</v>
      </c>
    </row>
    <row r="12148" spans="1:4" ht="16.5" hidden="1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313">
        <f>参数调整!$K$42*怪物掉落配置方案!$D4966</f>
        <v>9.0572576642060601E-2</v>
      </c>
    </row>
    <row r="12149" spans="1:4" ht="16.5" hidden="1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313">
        <f>参数调整!$K$42*怪物掉落配置方案!$D4967</f>
        <v>0.10018447017987737</v>
      </c>
    </row>
    <row r="12150" spans="1:4" ht="16.5" hidden="1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313">
        <f>参数调整!$K$42*怪物掉落配置方案!$D4968</f>
        <v>0.1102809970053152</v>
      </c>
    </row>
    <row r="12151" spans="1:4" ht="16.5" hidden="1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313">
        <f>参数调整!$K$42*怪物掉落配置方案!$D4969</f>
        <v>0.120862157118374</v>
      </c>
    </row>
    <row r="12152" spans="1:4" ht="16.5" hidden="1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313">
        <f>参数调整!$K$42*怪物掉落配置方案!$D4970</f>
        <v>0.13192795051905382</v>
      </c>
    </row>
    <row r="12153" spans="1:4" ht="16.5" hidden="1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313">
        <f>参数调整!$K$42*怪物掉落配置方案!$D4971</f>
        <v>4.5501029338687923E-2</v>
      </c>
    </row>
    <row r="12154" spans="1:4" ht="16.5" hidden="1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313">
        <f>参数调整!$K$42*怪物掉落配置方案!$D4972</f>
        <v>5.7587240256776917E-2</v>
      </c>
    </row>
    <row r="12155" spans="1:4" ht="16.5" hidden="1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313">
        <f>参数调整!$K$42*怪物掉落配置方案!$D4973</f>
        <v>7.1095358341699888E-2</v>
      </c>
    </row>
    <row r="12156" spans="1:4" ht="16.5" hidden="1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313">
        <f>参数调整!$K$42*怪物掉落配置方案!$D4974</f>
        <v>8.6025383593456864E-2</v>
      </c>
    </row>
    <row r="12157" spans="1:4" ht="16.5" hidden="1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313">
        <f>参数调整!$K$42*怪物掉落配置方案!$D4975</f>
        <v>0.1023773160120478</v>
      </c>
    </row>
    <row r="12158" spans="1:4" ht="16.5" hidden="1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313">
        <f>参数调整!$K$42*怪物掉落配置方案!$D4976</f>
        <v>0.12015115559747282</v>
      </c>
    </row>
    <row r="12159" spans="1:4" ht="16.5" hidden="1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313">
        <f>参数调整!$K$42*怪物掉落配置方案!$D4977</f>
        <v>0.13934690234973177</v>
      </c>
    </row>
    <row r="12160" spans="1:4" ht="16.5" hidden="1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313">
        <f>参数调整!$K$42*怪物掉落配置方案!$D4978</f>
        <v>0.15996455626882475</v>
      </c>
    </row>
    <row r="12161" spans="1:4" ht="16.5" hidden="1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313">
        <f>参数调整!$K$42*怪物掉落配置方案!$D4979</f>
        <v>0.18200411735475175</v>
      </c>
    </row>
    <row r="12162" spans="1:4" ht="16.5" hidden="1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313">
        <f>参数调整!$K$42*怪物掉落配置方案!$D4980</f>
        <v>0.23034896102710767</v>
      </c>
    </row>
    <row r="12163" spans="1:4" ht="16.5" hidden="1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313">
        <f>参数调整!$K$42*怪物掉落配置方案!$D4981</f>
        <v>0.28438143336679944</v>
      </c>
    </row>
    <row r="12164" spans="1:4" ht="16.5" hidden="1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313">
        <f>参数调整!$K$42*怪物掉落配置方案!$D4982</f>
        <v>0.34410153437382746</v>
      </c>
    </row>
    <row r="12165" spans="1:4" ht="16.5" hidden="1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313">
        <f>参数调整!$K$42*怪物掉落配置方案!$D4983</f>
        <v>0.44434598963562422</v>
      </c>
    </row>
    <row r="12166" spans="1:4" ht="16.5" hidden="1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313">
        <f>参数调整!$K$42*怪物掉落配置方案!$D4984</f>
        <v>0.63985822507529877</v>
      </c>
    </row>
    <row r="12167" spans="1:4" ht="16.5" hidden="1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313">
        <f>参数调整!$K$42*怪物掉落配置方案!$D4985</f>
        <v>0.87091813968582343</v>
      </c>
    </row>
    <row r="12168" spans="1:4" ht="16.5" hidden="1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313">
        <f>参数调整!$K$42*怪物掉落配置方案!$D4986</f>
        <v>0.97329545569787146</v>
      </c>
    </row>
    <row r="12169" spans="1:4" ht="16.5" hidden="1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313">
        <f>参数调整!$K$42*怪物掉落配置方案!$D4987</f>
        <v>1.1375257334671978</v>
      </c>
    </row>
    <row r="12170" spans="1:4" ht="16.5" hidden="1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313">
        <f>参数调整!$K$42*怪物掉落配置方案!$D4988</f>
        <v>1.3145531757380304</v>
      </c>
    </row>
    <row r="12171" spans="1:4" ht="16.5" hidden="1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313">
        <f>参数调整!$K$42*怪物掉落配置方案!$D4989</f>
        <v>1.5043777825103692</v>
      </c>
    </row>
    <row r="12172" spans="1:4" ht="16.5" hidden="1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313">
        <f>参数调整!$K$42*怪物掉落配置方案!$D4990</f>
        <v>1.7069995537842142</v>
      </c>
    </row>
    <row r="12173" spans="1:4" ht="16.5" hidden="1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313">
        <f>参数调整!$K$42*怪物掉落配置方案!$D4991</f>
        <v>1.9224184895595648</v>
      </c>
    </row>
    <row r="12174" spans="1:4" ht="16.5" hidden="1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313">
        <f>参数调整!$K$42*怪物掉落配置方案!$D4992</f>
        <v>2.1506345898364212</v>
      </c>
    </row>
    <row r="12175" spans="1:4" ht="16.5" hidden="1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313">
        <f>参数调整!$K$42*怪物掉落配置方案!$D4993</f>
        <v>2.3916478546147841</v>
      </c>
    </row>
    <row r="12176" spans="1:4" ht="16.5" hidden="1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313">
        <f>参数调整!$K$42*怪物掉落配置方案!$D4994</f>
        <v>2.6454582838946523</v>
      </c>
    </row>
    <row r="12177" spans="1:4" ht="16.5" hidden="1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313">
        <f>参数调整!$K$42*怪物掉落配置方案!$D4995</f>
        <v>2.9120658776760271</v>
      </c>
    </row>
    <row r="12178" spans="1:4" ht="16.5" hidden="1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313">
        <f>参数调整!$K$42*怪物掉落配置方案!$D4996</f>
        <v>3.1914706359589071</v>
      </c>
    </row>
    <row r="12179" spans="1:4" ht="16.5" hidden="1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313">
        <f>参数调整!$K$42*怪物掉落配置方案!$D4997</f>
        <v>3.4836725587432946</v>
      </c>
    </row>
    <row r="12180" spans="1:4" ht="16.5" hidden="1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313">
        <f>参数调整!$K$42*怪物掉落配置方案!$D4998</f>
        <v>2.2744729473849684E-5</v>
      </c>
    </row>
    <row r="12181" spans="1:4" ht="16.5" hidden="1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313">
        <f>参数调整!$K$42*怪物掉落配置方案!$D4999</f>
        <v>2.8786298240341005E-5</v>
      </c>
    </row>
    <row r="12182" spans="1:4" ht="16.5" hidden="1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313">
        <f>参数调整!$K$42*怪物掉落配置方案!$D5000</f>
        <v>3.5538639802890129E-5</v>
      </c>
    </row>
    <row r="12183" spans="1:4" ht="16.5" hidden="1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313">
        <f>参数调整!$K$42*怪物掉落配置方案!$D5001</f>
        <v>4.3001754161497056E-5</v>
      </c>
    </row>
    <row r="12184" spans="1:4" ht="16.5" hidden="1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313">
        <f>参数调整!$K$42*怪物掉落配置方案!$D5002</f>
        <v>5.1175641316161774E-5</v>
      </c>
    </row>
    <row r="12185" spans="1:4" ht="16.5" hidden="1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313">
        <f>参数调整!$K$42*怪物掉落配置方案!$D5003</f>
        <v>6.0060301266884328E-5</v>
      </c>
    </row>
    <row r="12186" spans="1:4" ht="16.5" hidden="1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313">
        <f>参数调整!$K$42*怪物掉落配置方案!$D5004</f>
        <v>6.9655734013664638E-5</v>
      </c>
    </row>
    <row r="12187" spans="1:4" ht="16.5" hidden="1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313">
        <f>参数调整!$K$42*怪物掉落配置方案!$D5005</f>
        <v>7.9961939556502778E-5</v>
      </c>
    </row>
    <row r="12188" spans="1:4" ht="16.5" hidden="1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313">
        <f>参数调整!$K$42*怪物掉落配置方案!$D5006</f>
        <v>9.0978917895398736E-5</v>
      </c>
    </row>
    <row r="12189" spans="1:4" ht="16.5" hidden="1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313">
        <f>参数调整!$K$42*怪物掉落配置方案!$D5007</f>
        <v>1.1514519296136402E-4</v>
      </c>
    </row>
    <row r="12190" spans="1:4" ht="16.5" hidden="1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313">
        <f>参数调整!$K$42*怪物掉落配置方案!$D5008</f>
        <v>1.4215455921156052E-4</v>
      </c>
    </row>
    <row r="12191" spans="1:4" ht="16.5" hidden="1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313">
        <f>参数调整!$K$42*怪物掉落配置方案!$D5009</f>
        <v>1.7200701664598823E-4</v>
      </c>
    </row>
    <row r="12192" spans="1:4" ht="16.5" hidden="1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313">
        <f>参数调整!$K$42*怪物掉落配置方案!$D5010</f>
        <v>2.2211649876806327E-4</v>
      </c>
    </row>
    <row r="12193" spans="1:4" ht="16.5" hidden="1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313">
        <f>参数调整!$K$42*怪物掉落配置方案!$D5011</f>
        <v>3.1984775822601106E-4</v>
      </c>
    </row>
    <row r="12194" spans="1:4" ht="16.5" hidden="1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313">
        <f>参数调整!$K$42*怪物掉落配置方案!$D5012</f>
        <v>4.3534833758540387E-4</v>
      </c>
    </row>
    <row r="12195" spans="1:4" ht="16.5" hidden="1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313">
        <f>参数调整!$K$42*怪物掉落配置方案!$D5013</f>
        <v>4.8652397890156592E-4</v>
      </c>
    </row>
    <row r="12196" spans="1:4" ht="16.5" hidden="1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313">
        <f>参数调整!$K$42*怪物掉落配置方案!$D5014</f>
        <v>5.6861823684624206E-4</v>
      </c>
    </row>
    <row r="12197" spans="1:4" ht="16.5" hidden="1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313">
        <f>参数调整!$K$42*怪物掉落配置方案!$D5015</f>
        <v>6.5710944995543837E-4</v>
      </c>
    </row>
    <row r="12198" spans="1:4" ht="16.5" hidden="1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313">
        <f>参数调整!$K$42*怪物掉落配置方案!$D5016</f>
        <v>7.5199761822915495E-4</v>
      </c>
    </row>
    <row r="12199" spans="1:4" ht="16.5" hidden="1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313">
        <f>参数调整!$K$42*怪物掉落配置方案!$D5017</f>
        <v>8.5328274166739213E-4</v>
      </c>
    </row>
    <row r="12200" spans="1:4" ht="16.5" hidden="1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313">
        <f>参数调整!$K$42*怪物掉落配置方案!$D5018</f>
        <v>9.6096482027014903E-4</v>
      </c>
    </row>
    <row r="12201" spans="1:4" ht="16.5" hidden="1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313">
        <f>参数调整!$K$42*怪物掉落配置方案!$D5019</f>
        <v>1.0750438540374262E-3</v>
      </c>
    </row>
    <row r="12202" spans="1:4" ht="16.5" hidden="1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313">
        <f>参数调整!$K$42*怪物掉落配置方案!$D5020</f>
        <v>1.1955198429692236E-3</v>
      </c>
    </row>
    <row r="12203" spans="1:4" ht="16.5" hidden="1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313">
        <f>参数调整!$K$42*怪物掉落配置方案!$D5021</f>
        <v>1.3223927870655411E-3</v>
      </c>
    </row>
    <row r="12204" spans="1:4" ht="16.5" hidden="1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313">
        <f>参数调整!$K$42*怪物掉落配置方案!$D5022</f>
        <v>1.4556626863263798E-3</v>
      </c>
    </row>
    <row r="12205" spans="1:4" ht="16.5" hidden="1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313">
        <f>参数调整!$K$42*怪物掉落配置方案!$D5023</f>
        <v>1.5953295407517376E-3</v>
      </c>
    </row>
    <row r="12206" spans="1:4" ht="16.5" hidden="1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313">
        <f>参数调整!$K$42*怪物掉落配置方案!$D5024</f>
        <v>1.7413933503416163E-3</v>
      </c>
    </row>
    <row r="12207" spans="1:4" ht="16.5" hidden="1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313">
        <f>参数调整!$K$42*怪物掉落配置方案!$D5025</f>
        <v>6.2548006053086622E-3</v>
      </c>
    </row>
    <row r="12208" spans="1:4" ht="16.5" hidden="1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313">
        <f>参数调整!$K$42*怪物掉落配置方案!$D5026</f>
        <v>7.9162320160937761E-3</v>
      </c>
    </row>
    <row r="12209" spans="1:4" ht="16.5" hidden="1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313">
        <f>参数调整!$K$42*怪物掉落配置方案!$D5027</f>
        <v>9.7731259457947833E-3</v>
      </c>
    </row>
    <row r="12210" spans="1:4" ht="16.5" hidden="1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313">
        <f>参数调整!$K$42*怪物掉落配置方案!$D5028</f>
        <v>1.1825482394411689E-2</v>
      </c>
    </row>
    <row r="12211" spans="1:4" ht="16.5" hidden="1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313">
        <f>参数调整!$K$42*怪物掉落配置方案!$D5029</f>
        <v>1.4073301361944486E-2</v>
      </c>
    </row>
    <row r="12212" spans="1:4" ht="16.5" hidden="1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313">
        <f>参数调整!$K$42*怪物掉落配置方案!$D5030</f>
        <v>1.6516582848393184E-2</v>
      </c>
    </row>
    <row r="12213" spans="1:4" ht="16.5" hidden="1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313">
        <f>参数调整!$K$42*怪物掉落配置方案!$D5031</f>
        <v>1.9155326853757773E-2</v>
      </c>
    </row>
    <row r="12214" spans="1:4" ht="16.5" hidden="1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313">
        <f>参数调整!$K$42*怪物掉落配置方案!$D5032</f>
        <v>2.1989533378038266E-2</v>
      </c>
    </row>
    <row r="12215" spans="1:4" ht="16.5" hidden="1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313">
        <f>参数调整!$K$42*怪物掉落配置方案!$D5033</f>
        <v>2.5019202421234649E-2</v>
      </c>
    </row>
    <row r="12216" spans="1:4" ht="16.5" hidden="1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313">
        <f>参数调整!$K$42*怪物掉落配置方案!$D5034</f>
        <v>3.1664928064375104E-2</v>
      </c>
    </row>
    <row r="12217" spans="1:4" ht="16.5" hidden="1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313">
        <f>参数调整!$K$42*怪物掉落配置方案!$D5035</f>
        <v>3.9092503783179133E-2</v>
      </c>
    </row>
    <row r="12218" spans="1:4" ht="16.5" hidden="1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313">
        <f>参数调整!$K$42*怪物掉落配置方案!$D5036</f>
        <v>4.7301929577646763E-2</v>
      </c>
    </row>
    <row r="12219" spans="1:4" ht="16.5" hidden="1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313">
        <f>参数调整!$K$42*怪物掉落配置方案!$D5037</f>
        <v>6.1082037161217406E-2</v>
      </c>
    </row>
    <row r="12220" spans="1:4" ht="16.5" hidden="1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313">
        <f>参数调整!$K$42*怪物掉落配置方案!$D5038</f>
        <v>8.7958133512153036E-2</v>
      </c>
    </row>
    <row r="12221" spans="1:4" ht="16.5" hidden="1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313">
        <f>参数调整!$K$42*怪物掉落配置方案!$D5039</f>
        <v>0.11972079283598609</v>
      </c>
    </row>
    <row r="12222" spans="1:4" ht="16.5" hidden="1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313">
        <f>参数调整!$K$42*怪物掉落配置方案!$D5040</f>
        <v>0.13379409419793059</v>
      </c>
    </row>
    <row r="12223" spans="1:4" ht="16.5" hidden="1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313">
        <f>参数调整!$K$42*怪物掉落配置方案!$D5041</f>
        <v>0.15637001513271653</v>
      </c>
    </row>
    <row r="12224" spans="1:4" ht="16.5" hidden="1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313">
        <f>参数调整!$K$42*怪物掉落配置方案!$D5042</f>
        <v>0.18070509873774551</v>
      </c>
    </row>
    <row r="12225" spans="1:4" ht="16.5" hidden="1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313">
        <f>参数调整!$K$42*怪物掉落配置方案!$D5043</f>
        <v>0.20679934501301758</v>
      </c>
    </row>
    <row r="12226" spans="1:4" ht="16.5" hidden="1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313">
        <f>参数调整!$K$42*怪物掉落配置方案!$D5044</f>
        <v>0.23465275395853274</v>
      </c>
    </row>
    <row r="12227" spans="1:4" ht="16.5" hidden="1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313">
        <f>参数调整!$K$42*怪物掉落配置方案!$D5045</f>
        <v>0.26426532557429094</v>
      </c>
    </row>
    <row r="12228" spans="1:4" ht="16.5" hidden="1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313">
        <f>参数调整!$K$42*怪物掉落配置方案!$D5046</f>
        <v>0.29563705986029221</v>
      </c>
    </row>
    <row r="12229" spans="1:4" ht="16.5" hidden="1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313">
        <f>参数调整!$K$42*怪物掉落配置方案!$D5047</f>
        <v>0.32876795681653642</v>
      </c>
    </row>
    <row r="12230" spans="1:4" ht="16.5" hidden="1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313">
        <f>参数调整!$K$42*怪物掉落配置方案!$D5048</f>
        <v>0.36365801644302387</v>
      </c>
    </row>
    <row r="12231" spans="1:4" ht="16.5" hidden="1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313">
        <f>参数调整!$K$42*怪物掉落配置方案!$D5049</f>
        <v>0.40030723873975438</v>
      </c>
    </row>
    <row r="12232" spans="1:4" ht="16.5" hidden="1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313">
        <f>参数调整!$K$42*怪物掉落配置方案!$D5050</f>
        <v>0.43871562370672784</v>
      </c>
    </row>
    <row r="12233" spans="1:4" ht="16.5" hidden="1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313">
        <f>参数调整!$K$42*怪物掉落配置方案!$D5051</f>
        <v>0.47888317134394437</v>
      </c>
    </row>
    <row r="12234" spans="1:4" ht="16.5" hidden="1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313">
        <f>参数调整!$K$42*怪物掉落配置方案!$D5052</f>
        <v>2.2744729473849683E-4</v>
      </c>
    </row>
    <row r="12235" spans="1:4" ht="16.5" hidden="1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313">
        <f>参数调整!$K$42*怪物掉落配置方案!$D5053</f>
        <v>2.8786298240341009E-4</v>
      </c>
    </row>
    <row r="12236" spans="1:4" ht="16.5" hidden="1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313">
        <f>参数调整!$K$42*怪物掉落配置方案!$D5054</f>
        <v>3.5538639802890125E-4</v>
      </c>
    </row>
    <row r="12237" spans="1:4" ht="16.5" hidden="1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313">
        <f>参数调整!$K$42*怪物掉落配置方案!$D5055</f>
        <v>4.3001754161497052E-4</v>
      </c>
    </row>
    <row r="12238" spans="1:4" ht="16.5" hidden="1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313">
        <f>参数调整!$K$42*怪物掉落配置方案!$D5056</f>
        <v>5.117564131616177E-4</v>
      </c>
    </row>
    <row r="12239" spans="1:4" ht="16.5" hidden="1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313">
        <f>参数调整!$K$42*怪物掉落配置方案!$D5057</f>
        <v>6.0060301266884309E-4</v>
      </c>
    </row>
    <row r="12240" spans="1:4" ht="16.5" hidden="1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313">
        <f>参数调整!$K$42*怪物掉落配置方案!$D5058</f>
        <v>6.9655734013664638E-4</v>
      </c>
    </row>
    <row r="12241" spans="1:4" ht="16.5" hidden="1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313">
        <f>参数调整!$K$42*怪物掉落配置方案!$D5059</f>
        <v>7.9961939556502768E-4</v>
      </c>
    </row>
    <row r="12242" spans="1:4" ht="16.5" hidden="1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313">
        <f>参数调整!$K$42*怪物掉落配置方案!$D5060</f>
        <v>9.0978917895398752E-4</v>
      </c>
    </row>
    <row r="12243" spans="1:4" ht="16.5" hidden="1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313">
        <f>参数调整!$K$42*怪物掉落配置方案!$D5061</f>
        <v>1.1514519296136399E-3</v>
      </c>
    </row>
    <row r="12244" spans="1:4" ht="16.5" hidden="1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313">
        <f>参数调整!$K$42*怪物掉落配置方案!$D5062</f>
        <v>1.4215455921156048E-3</v>
      </c>
    </row>
    <row r="12245" spans="1:4" ht="16.5" hidden="1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313">
        <f>参数调整!$K$42*怪物掉落配置方案!$D5063</f>
        <v>1.7200701664598821E-3</v>
      </c>
    </row>
    <row r="12246" spans="1:4" ht="16.5" hidden="1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313">
        <f>参数调整!$K$42*怪物掉落配置方案!$D5064</f>
        <v>2.2211649876806329E-3</v>
      </c>
    </row>
    <row r="12247" spans="1:4" ht="16.5" hidden="1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313">
        <f>参数调整!$K$42*怪物掉落配置方案!$D5065</f>
        <v>3.1984775822601103E-3</v>
      </c>
    </row>
    <row r="12248" spans="1:4" ht="16.5" hidden="1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313">
        <f>参数调整!$K$42*怪物掉落配置方案!$D5066</f>
        <v>4.3534833758540397E-3</v>
      </c>
    </row>
    <row r="12249" spans="1:4" ht="16.5" hidden="1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313">
        <f>参数调整!$K$42*怪物掉落配置方案!$D5067</f>
        <v>4.8652397890156587E-3</v>
      </c>
    </row>
    <row r="12250" spans="1:4" ht="16.5" hidden="1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313">
        <f>参数调整!$K$42*怪物掉落配置方案!$D5068</f>
        <v>5.6861823684624191E-3</v>
      </c>
    </row>
    <row r="12251" spans="1:4" ht="16.5" hidden="1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313">
        <f>参数调整!$K$42*怪物掉落配置方案!$D5069</f>
        <v>6.5710944995543818E-3</v>
      </c>
    </row>
    <row r="12252" spans="1:4" ht="16.5" hidden="1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313">
        <f>参数调整!$K$42*怪物掉落配置方案!$D5070</f>
        <v>7.5199761822915502E-3</v>
      </c>
    </row>
    <row r="12253" spans="1:4" ht="16.5" hidden="1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313">
        <f>参数调整!$K$42*怪物掉落配置方案!$D5071</f>
        <v>8.5328274166739208E-3</v>
      </c>
    </row>
    <row r="12254" spans="1:4" ht="16.5" hidden="1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313">
        <f>参数调整!$K$42*怪物掉落配置方案!$D5072</f>
        <v>9.6096482027014894E-3</v>
      </c>
    </row>
    <row r="12255" spans="1:4" ht="16.5" hidden="1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313">
        <f>参数调整!$K$42*怪物掉落配置方案!$D5073</f>
        <v>1.0750438540374264E-2</v>
      </c>
    </row>
    <row r="12256" spans="1:4" ht="16.5" hidden="1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313">
        <f>参数调整!$K$42*怪物掉落配置方案!$D5074</f>
        <v>1.1955198429692235E-2</v>
      </c>
    </row>
    <row r="12257" spans="1:4" ht="16.5" hidden="1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313">
        <f>参数调整!$K$42*怪物掉落配置方案!$D5075</f>
        <v>1.3223927870655412E-2</v>
      </c>
    </row>
    <row r="12258" spans="1:4" ht="16.5" hidden="1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313">
        <f>参数调整!$K$42*怪物掉落配置方案!$D5076</f>
        <v>1.4556626863263797E-2</v>
      </c>
    </row>
    <row r="12259" spans="1:4" ht="16.5" hidden="1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313">
        <f>参数调整!$K$42*怪物掉落配置方案!$D5077</f>
        <v>1.5953295407517377E-2</v>
      </c>
    </row>
    <row r="12260" spans="1:4" ht="16.5" hidden="1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313">
        <f>参数调整!$K$42*怪物掉落配置方案!$D5078</f>
        <v>1.7413933503416162E-2</v>
      </c>
    </row>
    <row r="12261" spans="1:4" ht="16.5" hidden="1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313">
        <f>参数调整!$K$42*怪物掉落配置方案!$D5079</f>
        <v>3.1780649056745075E-2</v>
      </c>
    </row>
    <row r="12262" spans="1:4" ht="16.5" hidden="1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313">
        <f>参数调整!$K$42*怪物掉落配置方案!$D5080</f>
        <v>4.0222383962442987E-2</v>
      </c>
    </row>
    <row r="12263" spans="1:4" ht="16.5" hidden="1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313">
        <f>参数调整!$K$42*怪物掉落配置方案!$D5081</f>
        <v>4.9657264151164178E-2</v>
      </c>
    </row>
    <row r="12264" spans="1:4" ht="16.5" hidden="1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313">
        <f>参数调整!$K$42*怪物掉落配置方案!$D5082</f>
        <v>6.0085289622908662E-2</v>
      </c>
    </row>
    <row r="12265" spans="1:4" ht="16.5" hidden="1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313">
        <f>参数调整!$K$42*怪物掉落配置方案!$D5083</f>
        <v>7.1506460377676398E-2</v>
      </c>
    </row>
    <row r="12266" spans="1:4" ht="16.5" hidden="1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313">
        <f>参数调整!$K$42*怪物掉落配置方案!$D5084</f>
        <v>8.3920776415467468E-2</v>
      </c>
    </row>
    <row r="12267" spans="1:4" ht="16.5" hidden="1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313">
        <f>参数调整!$K$42*怪物掉落配置方案!$D5085</f>
        <v>9.7328237736281784E-2</v>
      </c>
    </row>
    <row r="12268" spans="1:4" ht="16.5" hidden="1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313">
        <f>参数调整!$K$42*怪物掉落配置方案!$D5086</f>
        <v>0.11172884434011941</v>
      </c>
    </row>
    <row r="12269" spans="1:4" ht="16.5" hidden="1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313">
        <f>参数调整!$K$42*怪物掉落配置方案!$D5087</f>
        <v>0.12712259622698033</v>
      </c>
    </row>
    <row r="12270" spans="1:4" ht="16.5" hidden="1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313">
        <f>参数调整!$K$42*怪物掉落配置方案!$D5088</f>
        <v>0.16088953584977198</v>
      </c>
    </row>
    <row r="12271" spans="1:4" ht="16.5" hidden="1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313">
        <f>参数调整!$K$42*怪物掉落配置方案!$D5089</f>
        <v>0.19862905660465671</v>
      </c>
    </row>
    <row r="12272" spans="1:4" ht="16.5" hidden="1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313">
        <f>参数调整!$K$42*怪物掉落配置方案!$D5090</f>
        <v>0.24034115849163465</v>
      </c>
    </row>
    <row r="12273" spans="1:4" ht="16.5" hidden="1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313">
        <f>参数调整!$K$42*怪物掉落配置方案!$D5091</f>
        <v>0.31035790094477611</v>
      </c>
    </row>
    <row r="12274" spans="1:4" ht="16.5" hidden="1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313">
        <f>参数调整!$K$42*怪物掉落配置方案!$D5092</f>
        <v>0.44691537736047754</v>
      </c>
    </row>
    <row r="12275" spans="1:4" ht="16.5" hidden="1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313">
        <f>参数调整!$K$42*怪物掉落配置方案!$D5093</f>
        <v>0.60830148585176114</v>
      </c>
    </row>
    <row r="12276" spans="1:4" ht="16.5" hidden="1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313">
        <f>参数调整!$K$42*怪物掉落配置方案!$D5094</f>
        <v>0.67980794622943774</v>
      </c>
    </row>
    <row r="12277" spans="1:4" ht="16.5" hidden="1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313">
        <f>参数调整!$K$42*怪物掉落配置方案!$D5095</f>
        <v>0.79451622641862685</v>
      </c>
    </row>
    <row r="12278" spans="1:4" ht="16.5" hidden="1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313">
        <f>参数调整!$K$42*怪物掉落配置方案!$D5096</f>
        <v>0.91816281415502554</v>
      </c>
    </row>
    <row r="12279" spans="1:4" ht="16.5" hidden="1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313">
        <f>参数调整!$K$42*怪物掉落配置方案!$D5097</f>
        <v>1.0507477094386339</v>
      </c>
    </row>
    <row r="12280" spans="1:4" ht="16.5" hidden="1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313">
        <f>参数调整!$K$42*怪物掉落配置方案!$D5098</f>
        <v>1.1922709122694524</v>
      </c>
    </row>
    <row r="12281" spans="1:4" ht="16.5" hidden="1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313">
        <f>参数调整!$K$42*怪物掉落配置方案!$D5099</f>
        <v>1.3427324226474793</v>
      </c>
    </row>
    <row r="12282" spans="1:4" ht="16.5" hidden="1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313">
        <f>参数调整!$K$42*怪物掉落配置方案!$D5100</f>
        <v>1.5021322405727164</v>
      </c>
    </row>
    <row r="12283" spans="1:4" ht="16.5" hidden="1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313">
        <f>参数调整!$K$42*怪物掉落配置方案!$D5101</f>
        <v>1.670470366045163</v>
      </c>
    </row>
    <row r="12284" spans="1:4" ht="16.5" hidden="1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313">
        <f>参数调整!$K$42*怪物掉落配置方案!$D5102</f>
        <v>1.8477467990648186</v>
      </c>
    </row>
    <row r="12285" spans="1:4" ht="16.5" hidden="1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313">
        <f>参数调整!$K$42*怪物掉落配置方案!$D5103</f>
        <v>2.0339615396316852</v>
      </c>
    </row>
    <row r="12286" spans="1:4" ht="16.5" hidden="1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313">
        <f>参数调整!$K$42*怪物掉落配置方案!$D5104</f>
        <v>2.2291145877457601</v>
      </c>
    </row>
    <row r="12287" spans="1:4" ht="16.5" hidden="1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313">
        <f>参数调整!$K$42*怪物掉落配置方案!$D5105</f>
        <v>2.433205943407045</v>
      </c>
    </row>
    <row r="12288" spans="1:4" ht="16.5" hidden="1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313">
        <f>参数调整!$K$42*怪物掉落配置方案!$D5106</f>
        <v>4.1384751019611695E-3</v>
      </c>
    </row>
    <row r="12289" spans="1:4" ht="16.5" hidden="1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313">
        <f>参数调整!$K$42*怪物掉落配置方案!$D5107</f>
        <v>5.2377575509196042E-3</v>
      </c>
    </row>
    <row r="12290" spans="1:4" ht="16.5" hidden="1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313">
        <f>参数调整!$K$42*怪物掉落配置方案!$D5108</f>
        <v>6.4663673468143253E-3</v>
      </c>
    </row>
    <row r="12291" spans="1:4" ht="16.5" hidden="1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313">
        <f>参数调整!$K$42*怪物掉落配置方案!$D5109</f>
        <v>7.8243044896453354E-3</v>
      </c>
    </row>
    <row r="12292" spans="1:4" ht="16.5" hidden="1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313">
        <f>参数调整!$K$42*怪物掉落配置方案!$D5110</f>
        <v>9.3115689794126266E-3</v>
      </c>
    </row>
    <row r="12293" spans="1:4" ht="16.5" hidden="1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313">
        <f>参数调整!$K$42*怪物掉落配置方案!$D5111</f>
        <v>1.0928160816116212E-2</v>
      </c>
    </row>
    <row r="12294" spans="1:4" ht="16.5" hidden="1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313">
        <f>参数调整!$K$42*怪物掉落配置方案!$D5112</f>
        <v>1.2674079999756074E-2</v>
      </c>
    </row>
    <row r="12295" spans="1:4" ht="16.5" hidden="1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313">
        <f>参数调整!$K$42*怪物掉落配置方案!$D5113</f>
        <v>1.4549326530332234E-2</v>
      </c>
    </row>
    <row r="12296" spans="1:4" ht="16.5" hidden="1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313">
        <f>参数调整!$K$42*怪物掉落配置方案!$D5114</f>
        <v>1.6553900407844678E-2</v>
      </c>
    </row>
    <row r="12297" spans="1:4" ht="16.5" hidden="1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313">
        <f>参数调整!$K$42*怪物掉落配置方案!$D5115</f>
        <v>2.0951030203678417E-2</v>
      </c>
    </row>
    <row r="12298" spans="1:4" ht="16.5" hidden="1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313">
        <f>参数调整!$K$42*怪物掉落配置方案!$D5116</f>
        <v>2.5865469387257298E-2</v>
      </c>
    </row>
    <row r="12299" spans="1:4" ht="16.5" hidden="1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313">
        <f>参数调整!$K$42*怪物掉落配置方案!$D5117</f>
        <v>3.1297217958581341E-2</v>
      </c>
    </row>
    <row r="12300" spans="1:4" ht="16.5" hidden="1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313">
        <f>参数调整!$K$42*怪物掉落配置方案!$D5118</f>
        <v>4.0414795917589529E-2</v>
      </c>
    </row>
    <row r="12301" spans="1:4" ht="16.5" hidden="1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313">
        <f>参数调整!$K$42*怪物掉落配置方案!$D5119</f>
        <v>5.8197306121328923E-2</v>
      </c>
    </row>
    <row r="12302" spans="1:4" ht="16.5" hidden="1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313">
        <f>参数调整!$K$42*怪物掉落配置方案!$D5120</f>
        <v>7.9212999998475475E-2</v>
      </c>
    </row>
    <row r="12303" spans="1:4" ht="16.5" hidden="1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313">
        <f>参数调整!$K$42*怪物掉落配置方案!$D5121</f>
        <v>8.852456897788813E-2</v>
      </c>
    </row>
    <row r="12304" spans="1:4" ht="16.5" hidden="1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313">
        <f>参数调整!$K$42*怪物掉落配置方案!$D5122</f>
        <v>0.10346187754902919</v>
      </c>
    </row>
    <row r="12305" spans="1:4" ht="16.5" hidden="1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313">
        <f>参数调整!$K$42*怪物掉落配置方案!$D5123</f>
        <v>0.11956313224259685</v>
      </c>
    </row>
    <row r="12306" spans="1:4" ht="16.5" hidden="1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313">
        <f>参数调整!$K$42*怪物掉落配置方案!$D5124</f>
        <v>0.1368283330585911</v>
      </c>
    </row>
    <row r="12307" spans="1:4" ht="16.5" hidden="1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313">
        <f>参数调整!$K$42*怪物掉落配置方案!$D5125</f>
        <v>0.15525747999701198</v>
      </c>
    </row>
    <row r="12308" spans="1:4" ht="16.5" hidden="1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313">
        <f>参数调整!$K$42*怪物掉落配置方案!$D5126</f>
        <v>0.17485057305785937</v>
      </c>
    </row>
    <row r="12309" spans="1:4" ht="16.5" hidden="1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313">
        <f>参数调整!$K$42*怪物掉落配置方案!$D5127</f>
        <v>0.19560761224113338</v>
      </c>
    </row>
    <row r="12310" spans="1:4" ht="16.5" hidden="1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313">
        <f>参数调整!$K$42*怪物掉落配置方案!$D5128</f>
        <v>0.2175285975468339</v>
      </c>
    </row>
    <row r="12311" spans="1:4" ht="16.5" hidden="1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313">
        <f>参数调整!$K$42*怪物掉落配置方案!$D5129</f>
        <v>0.24061352897496099</v>
      </c>
    </row>
    <row r="12312" spans="1:4" ht="16.5" hidden="1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313">
        <f>参数调整!$K$42*怪物掉落配置方案!$D5130</f>
        <v>0.26486240652551479</v>
      </c>
    </row>
    <row r="12313" spans="1:4" ht="16.5" hidden="1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313">
        <f>参数调整!$K$42*怪物掉落配置方案!$D5131</f>
        <v>0.2902752301984951</v>
      </c>
    </row>
    <row r="12314" spans="1:4" ht="16.5" hidden="1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313">
        <f>参数调整!$K$42*怪物掉落配置方案!$D5132</f>
        <v>0.31685199999390196</v>
      </c>
    </row>
  </sheetData>
  <autoFilter ref="A2:D12314" xr:uid="{44C23F15-DBFA-4A2D-8845-457A1AF2C47C}">
    <filterColumn colId="2">
      <filters>
        <filter val="经验"/>
      </filters>
    </filterColumn>
  </autoFilter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workbookViewId="0">
      <selection activeCell="J11" sqref="J11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3656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3713</v>
      </c>
      <c r="B2" s="153" t="s">
        <v>3657</v>
      </c>
      <c r="C2" s="153" t="s">
        <v>3658</v>
      </c>
      <c r="D2" s="153" t="s">
        <v>3659</v>
      </c>
      <c r="E2" s="153" t="s">
        <v>3660</v>
      </c>
      <c r="F2" s="153" t="s">
        <v>3661</v>
      </c>
      <c r="G2" s="153" t="s">
        <v>3662</v>
      </c>
      <c r="H2" s="153" t="s">
        <v>3663</v>
      </c>
      <c r="I2" s="153" t="s">
        <v>3664</v>
      </c>
      <c r="J2" s="154" t="s">
        <v>3665</v>
      </c>
      <c r="K2" s="154" t="s">
        <v>3666</v>
      </c>
      <c r="L2" s="154" t="s">
        <v>3667</v>
      </c>
      <c r="M2" s="154" t="s">
        <v>3668</v>
      </c>
      <c r="N2" s="154" t="s">
        <v>3669</v>
      </c>
      <c r="O2" s="154" t="s">
        <v>3670</v>
      </c>
      <c r="P2" s="154" t="s">
        <v>3671</v>
      </c>
      <c r="Q2" s="154" t="s">
        <v>3672</v>
      </c>
      <c r="R2" s="153" t="s">
        <v>3673</v>
      </c>
      <c r="S2" s="154" t="s">
        <v>3674</v>
      </c>
      <c r="T2" s="154" t="s">
        <v>3675</v>
      </c>
      <c r="U2" s="154" t="s">
        <v>3676</v>
      </c>
      <c r="V2" s="154" t="s">
        <v>3677</v>
      </c>
      <c r="W2" s="154" t="s">
        <v>3678</v>
      </c>
      <c r="X2" s="154" t="s">
        <v>3679</v>
      </c>
      <c r="Y2" s="154" t="s">
        <v>3680</v>
      </c>
      <c r="Z2" s="154" t="s">
        <v>3681</v>
      </c>
      <c r="AA2" s="154" t="s">
        <v>3682</v>
      </c>
      <c r="AB2" s="154" t="s">
        <v>3683</v>
      </c>
      <c r="AC2" s="154" t="s">
        <v>3684</v>
      </c>
    </row>
    <row r="3" spans="1:32" s="154" customFormat="1" x14ac:dyDescent="0.3">
      <c r="A3" s="154" t="s">
        <v>3685</v>
      </c>
      <c r="B3" s="153" t="s">
        <v>3686</v>
      </c>
      <c r="C3" s="153" t="s">
        <v>3687</v>
      </c>
      <c r="D3" s="153" t="s">
        <v>3688</v>
      </c>
      <c r="E3" s="153" t="s">
        <v>3689</v>
      </c>
      <c r="F3" s="153" t="s">
        <v>3690</v>
      </c>
      <c r="G3" s="153" t="s">
        <v>3691</v>
      </c>
      <c r="H3" s="153" t="s">
        <v>3692</v>
      </c>
      <c r="I3" s="153" t="s">
        <v>3693</v>
      </c>
      <c r="J3" s="154" t="s">
        <v>3694</v>
      </c>
      <c r="K3" s="154" t="s">
        <v>3695</v>
      </c>
      <c r="L3" s="154" t="s">
        <v>3696</v>
      </c>
      <c r="M3" s="154" t="s">
        <v>3697</v>
      </c>
      <c r="N3" s="154" t="s">
        <v>3698</v>
      </c>
      <c r="O3" s="154" t="s">
        <v>3699</v>
      </c>
      <c r="P3" s="154" t="s">
        <v>3700</v>
      </c>
      <c r="Q3" s="154" t="s">
        <v>212</v>
      </c>
      <c r="R3" s="153" t="s">
        <v>3701</v>
      </c>
      <c r="S3" s="154" t="s">
        <v>3702</v>
      </c>
      <c r="T3" s="154" t="s">
        <v>3703</v>
      </c>
      <c r="U3" s="154" t="s">
        <v>3704</v>
      </c>
      <c r="V3" s="154" t="s">
        <v>3705</v>
      </c>
      <c r="W3" s="154" t="s">
        <v>3706</v>
      </c>
      <c r="X3" s="154" t="s">
        <v>3707</v>
      </c>
      <c r="Y3" s="154" t="s">
        <v>3708</v>
      </c>
      <c r="Z3" s="154" t="s">
        <v>3709</v>
      </c>
      <c r="AA3" s="154" t="s">
        <v>3710</v>
      </c>
      <c r="AB3" s="154" t="s">
        <v>3711</v>
      </c>
      <c r="AC3" s="154" t="s">
        <v>3712</v>
      </c>
    </row>
    <row r="4" spans="1:32" s="155" customFormat="1" x14ac:dyDescent="0.3">
      <c r="A4" s="155" t="s">
        <v>3714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1660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3#1#1500|3#3#96|3#4#145|3#5#96|3#6#145|3#7#96|3#8#145|3#9#60|3#10#60|3#11#60|3#12#60</v>
      </c>
      <c r="K5" s="154">
        <f>INT(0.8*基本属性!BX4)</f>
        <v>3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2660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3#1#2500|3#3#148|3#4#223|3#5#148|3#6#223|3#7#148|3#8#223|3#9#90|3#10#90|3#11#90|3#12#90</v>
      </c>
      <c r="K6" s="154">
        <f>INT(0.8*基本属性!BX5)</f>
        <v>6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3#1#3700|3#3#201|3#4#302|3#5#201|3#6#302|3#7#201|3#8#302|3#9#120|3#10#120|3#11#120|3#12#120</v>
      </c>
      <c r="K7" s="154">
        <f>INT(0.8*基本属性!BX6)</f>
        <v>10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3#1#5600|3#3#256|3#4#385|3#5#256|3#6#385|3#7#256|3#8#385|3#9#150|3#10#150|3#11#150|3#12#150</v>
      </c>
      <c r="K8" s="154">
        <f>INT(0.8*基本属性!BX7)</f>
        <v>14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3#1#8000|3#3#340|3#4#511|3#5#340|3#6#511|3#7#340|3#8#511|3#9#195|3#10#195|3#11#195|3#12#195</v>
      </c>
      <c r="K9" s="154">
        <f>INT(0.8*基本属性!BX8)</f>
        <v>18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3#1#10800|3#3#428|3#4#642|3#5#428|3#6#642|3#7#428|3#8#642|3#9#240|3#10#240|3#11#240|3#12#240</v>
      </c>
      <c r="K10" s="154">
        <f>INT(0.8*基本属性!BX9)</f>
        <v>22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3#1#15400|3#3#518|3#4#777|3#5#518|3#6#777|3#7#518|3#8#777|3#9#285|3#10#285|3#11#285|3#12#285</v>
      </c>
      <c r="K11" s="154">
        <f>INT(0.8*基本属性!BX10)</f>
        <v>26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3#1#19600|3#3#614|3#4#921|3#5#614|3#6#921|3#7#614|3#8#921|3#9#330|3#10#330|3#11#330|3#12#330</v>
      </c>
      <c r="K12" s="154">
        <f>INT(0.8*基本属性!BX11)</f>
        <v>30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3#1#27300|3#3#800|3#4#1200|3#5#800|3#6#1200|3#7#800|3#8#1200|3#9#420|3#10#420|3#11#420|3#12#420</v>
      </c>
      <c r="K13" s="154">
        <f>INT(0.8*基本属性!BX12)</f>
        <v>35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3#1#38600|3#3#1052|3#4#1579|3#5#1052|3#6#1579|3#7#1052|3#8#1579|3#9#540|3#10#540|3#11#540|3#12#540</v>
      </c>
      <c r="K14" s="154">
        <f>INT(0.8*基本属性!BX13)</f>
        <v>39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3#1#56100|3#3#1319|3#4#1978|3#5#1319|3#6#1978|3#7#1319|3#8#1978|3#9#660|3#10#660|3#11#660|3#12#660</v>
      </c>
      <c r="K15" s="154">
        <f>INT(0.8*基本属性!BX14)</f>
        <v>44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3#1#71400|3#3#1568|3#4#2353|3#5#1568|3#6#2353|3#7#1568|3#8#2353|3#9#765|3#10#765|3#11#765|3#12#765</v>
      </c>
      <c r="K16" s="154">
        <f>INT(0.8*基本属性!BX15)</f>
        <v>49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3#1#89100|3#3#1832|3#4#2749|3#5#1832|3#6#2749|3#7#1832|3#8#2749|3#9#870|3#10#870|3#11#870|3#12#870</v>
      </c>
      <c r="K17" s="154">
        <f>INT(0.8*基本属性!BX16)</f>
        <v>54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3#1#107700|3#3#2078|3#4#3117|3#5#2078|3#6#3117|3#7#2078|3#8#3117|3#9#960|3#10#960|3#11#960|3#12#960</v>
      </c>
      <c r="K18" s="154">
        <f>INT(0.8*基本属性!BX17)</f>
        <v>59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3#1#139100|3#3#2340|3#4#3510|3#5#2340|3#6#3510|3#7#2340|3#8#3510|3#9#1050|3#10#1050|3#11#1050|3#12#1050</v>
      </c>
      <c r="K19" s="154">
        <f>INT(0.8*基本属性!BX18)</f>
        <v>64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3#1#163300|3#3#2582|3#4#3873|3#5#2582|3#6#3873|3#7#2582|3#8#3873|3#9#1125|3#10#1125|3#11#1125|3#12#1125</v>
      </c>
      <c r="K20" s="154">
        <f>INT(0.8*基本属性!BX19)</f>
        <v>70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3#1#190700|3#3#2840|3#4#4261|3#5#2840|3#6#4261|3#7#2840|3#8#4261|3#9#1200|3#10#1200|3#11#1200|3#12#1200</v>
      </c>
      <c r="K21" s="154">
        <f>INT(0.8*基本属性!BX20)</f>
        <v>75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3#1#229700|3#3#3227|3#4#4840|3#5#3227|3#6#4840|3#7#3227|3#8#4840|3#9#1320|3#10#1320|3#11#1320|3#12#1320</v>
      </c>
      <c r="K22" s="154">
        <f>INT(0.8*基本属性!BX21)</f>
        <v>81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3#1#293800|3#3#3639|3#4#5458|3#5#3639|3#6#5458|3#7#3639|3#8#5458|3#9#1440|3#10#1440|3#11#1440|3#12#1440</v>
      </c>
      <c r="K23" s="154">
        <f>INT(0.8*基本属性!BX22)</f>
        <v>87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3#1#354800|3#3#4158|3#4#6237|3#5#4158|3#6#6237|3#7#4158|3#8#6237|3#9#1590|3#10#1590|3#11#1590|3#12#1590</v>
      </c>
      <c r="K24" s="154">
        <f>INT(0.8*基本属性!BX23)</f>
        <v>93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3#1#424400|3#3#4715|3#4#7072|3#5#4715|3#6#7072|3#7#4715|3#8#7072|3#9#1740|3#10#1740|3#11#1740|3#12#1740</v>
      </c>
      <c r="K25" s="154">
        <f>INT(0.8*基本属性!BX24)</f>
        <v>99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3#1#511800|3#3#5398|3#4#8097|3#5#5398|3#6#8097|3#7#5398|3#8#8097|3#9#1920|3#10#1920|3#11#1920|3#12#1920</v>
      </c>
      <c r="K26" s="154">
        <f>INT(0.8*基本属性!BX25)</f>
        <v>106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3#1#652100|3#3#6133|3#4#9200|3#5#6133|3#6#9200|3#7#6133|3#8#9200|3#9#2100|3#10#2100|3#11#2100|3#12#2100</v>
      </c>
      <c r="K27" s="154">
        <f>INT(0.8*基本属性!BX26)</f>
        <v>112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3#1#762700|3#3#6836|3#4#10255|3#5#6836|3#6#10255|3#7#6836|3#8#10255|3#9#2250|3#10#2250|3#11#2250|3#12#2250</v>
      </c>
      <c r="K28" s="154">
        <f>INT(0.8*基本属性!BX27)</f>
        <v>119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3#1#887800|3#3#7597|3#4#11396|3#5#7597|3#6#11396|3#7#7597|3#8#11396|3#9#2400|3#10#2400|3#11#2400|3#12#2400</v>
      </c>
      <c r="K29" s="154">
        <f>INT(0.8*基本属性!BX28)</f>
        <v>126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3#1#1089200|3#3#8916|3#4#13375|3#5#8916|3#6#13375|3#7#8916|3#8#13375|3#9#2700|3#10#2700|3#11#2700|3#12#2700</v>
      </c>
      <c r="K30" s="154">
        <f>INT(0.8*基本属性!BX29)</f>
        <v>132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3#1#1469800|3#3#10612|3#4#15919|3#5#10612|3#6#15919|3#7#10612|3#8#15919|3#9#3000|3#10#3000|3#11#3000|3#12#3000</v>
      </c>
      <c r="K31" s="154">
        <f>INT(0.8*基本属性!BX30)</f>
        <v>144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3715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16670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3#1#17700|3#3#105|3#4#158|3#5#105|3#6#158|3#7#105|3#8#158|3#9#65|3#10#65|3#11#65|3#12#65</v>
      </c>
      <c r="K33" s="154">
        <f t="shared" ref="K33:K59" si="3">K5</f>
        <v>3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26620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3#1#29400|3#3#160|3#4#241|3#5#160|3#6#241|3#7#160|3#8#241|3#9#97|3#10#97|3#11#97|3#12#97</v>
      </c>
      <c r="K34" s="154">
        <f t="shared" si="3"/>
        <v>6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3#1#42900|3#3#218|3#4#327|3#5#218|3#6#327|3#7#218|3#8#327|3#9#130|3#10#130|3#11#130|3#12#130</v>
      </c>
      <c r="K35" s="154">
        <f t="shared" si="3"/>
        <v>10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3#1#65000|3#3#278|3#4#417|3#5#278|3#6#417|3#7#278|3#8#417|3#9#162|3#10#162|3#11#162|3#12#162</v>
      </c>
      <c r="K36" s="154">
        <f t="shared" si="3"/>
        <v>14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3#1#92700|3#3#368|3#4#553|3#5#368|3#6#553|3#7#368|3#8#553|3#9#211|3#10#211|3#11#211|3#12#211</v>
      </c>
      <c r="K37" s="154">
        <f t="shared" si="3"/>
        <v>18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3#1#125300|3#3#463|3#4#694|3#5#463|3#6#694|3#7#463|3#8#694|3#9#260|3#10#260|3#11#260|3#12#260</v>
      </c>
      <c r="K38" s="154">
        <f t="shared" si="3"/>
        <v>22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3#1#178600|3#3#561|3#4#842|3#5#561|3#6#842|3#7#561|3#8#842|3#9#308|3#10#308|3#11#308|3#12#308</v>
      </c>
      <c r="K39" s="154">
        <f t="shared" si="3"/>
        <v>26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3#1#227000|3#3#665|3#4#998|3#5#665|3#6#998|3#7#665|3#8#998|3#9#357|3#10#357|3#11#357|3#12#357</v>
      </c>
      <c r="K40" s="154">
        <f t="shared" si="3"/>
        <v>30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3#1#317000|3#3#866|3#4#1299|3#5#866|3#6#1299|3#7#866|3#8#1299|3#9#455|3#10#455|3#11#455|3#12#455</v>
      </c>
      <c r="K41" s="154">
        <f t="shared" si="3"/>
        <v>35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3#1#447400|3#3#1140|3#4#1711|3#5#1140|3#6#1711|3#7#1140|3#8#1711|3#9#585|3#10#585|3#11#585|3#12#585</v>
      </c>
      <c r="K42" s="154">
        <f t="shared" si="3"/>
        <v>39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3#1#650100|3#3#1428|3#4#2143|3#5#1428|3#6#2143|3#7#1428|3#8#2143|3#9#715|3#10#715|3#11#715|3#12#715</v>
      </c>
      <c r="K43" s="154">
        <f t="shared" si="3"/>
        <v>44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3#1#827000|3#3#1699|3#4#2548|3#5#1699|3#6#2548|3#7#1699|3#8#2548|3#9#828|3#10#828|3#11#828|3#12#828</v>
      </c>
      <c r="K44" s="154">
        <f t="shared" si="3"/>
        <v>49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3#1#1031300|3#3#1984|3#4#2977|3#5#1984|3#6#2977|3#7#1984|3#8#2977|3#9#942|3#10#942|3#11#942|3#12#942</v>
      </c>
      <c r="K45" s="154">
        <f t="shared" si="3"/>
        <v>54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3#1#1247300|3#3#2252|3#4#3378|3#5#2252|3#6#3378|3#7#2252|3#8#3378|3#9#1040|3#10#1040|3#11#1040|3#12#1040</v>
      </c>
      <c r="K46" s="154">
        <f t="shared" si="3"/>
        <v>59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3#1#1610500|3#3#2535|3#4#3802|3#5#2535|3#6#3802|3#7#2535|3#8#3802|3#9#1137|3#10#1137|3#11#1137|3#12#1137</v>
      </c>
      <c r="K47" s="154">
        <f t="shared" si="3"/>
        <v>64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3#1#1890500|3#3#2797|3#4#4196|3#5#2797|3#6#4196|3#7#2797|3#8#4196|3#9#1218|3#10#1218|3#11#1218|3#12#1218</v>
      </c>
      <c r="K48" s="154">
        <f t="shared" si="3"/>
        <v>70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3#1#2207700|3#3#3077|3#4#4616|3#5#3077|3#6#4616|3#7#3077|3#8#4616|3#9#1300|3#10#1300|3#11#1300|3#12#1300</v>
      </c>
      <c r="K49" s="154">
        <f t="shared" si="3"/>
        <v>75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3#1#2658300|3#3#3496|3#4#5244|3#5#3496|3#6#5244|3#7#3496|3#8#5244|3#9#1430|3#10#1430|3#11#1430|3#12#1430</v>
      </c>
      <c r="K50" s="154">
        <f t="shared" si="3"/>
        <v>81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3#1#3399700|3#3#3942|3#4#5913|3#5#3942|3#6#5913|3#7#3942|3#8#5913|3#9#1560|3#10#1560|3#11#1560|3#12#1560</v>
      </c>
      <c r="K51" s="154">
        <f t="shared" si="3"/>
        <v>87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3#1#4106100|3#3#4504|3#4#6757|3#5#4504|3#6#6757|3#7#4504|3#8#6757|3#9#1722|3#10#1722|3#11#1722|3#12#1722</v>
      </c>
      <c r="K52" s="154">
        <f t="shared" si="3"/>
        <v>93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3#1#4911700|3#3#5108|3#4#7662|3#5#5108|3#6#7662|3#7#5108|3#8#7662|3#9#1885|3#10#1885|3#11#1885|3#12#1885</v>
      </c>
      <c r="K53" s="154">
        <f t="shared" si="3"/>
        <v>99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3#1#5922200|3#3#5848|3#4#8772|3#5#5848|3#6#8772|3#7#5848|3#8#8772|3#9#2080|3#10#2080|3#11#2080|3#12#2080</v>
      </c>
      <c r="K54" s="154">
        <f t="shared" si="3"/>
        <v>106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3#1#7546300|3#3#6644|3#4#9967|3#5#6644|3#6#9967|3#7#6644|3#8#9967|3#9#2275|3#10#2275|3#11#2275|3#12#2275</v>
      </c>
      <c r="K55" s="154">
        <f t="shared" si="3"/>
        <v>112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3#1#8827400|3#3#7406|3#4#11109|3#5#7406|3#6#11109|3#7#7406|3#8#11109|3#9#2437|3#10#2437|3#11#2437|3#12#2437</v>
      </c>
      <c r="K56" s="154">
        <f t="shared" si="3"/>
        <v>119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3#1#10273100|3#3#8230|3#4#12345|3#5#8230|3#6#12345|3#7#8230|3#8#12345|3#9#2600|3#10#2600|3#11#2600|3#12#2600</v>
      </c>
      <c r="K57" s="154">
        <f t="shared" si="3"/>
        <v>126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3#1#12604500|3#3#9660|3#4#14490|3#5#9660|3#6#14490|3#7#9660|3#8#14490|3#9#2925|3#10#2925|3#11#2925|3#12#2925</v>
      </c>
      <c r="K58" s="154">
        <f t="shared" si="3"/>
        <v>132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3#1#17008100|3#3#11497|3#4#17246|3#5#11497|3#6#17246|3#7#11497|3#8#17246|3#9#3250|3#10#3250|3#11#3250|3#12#3250</v>
      </c>
      <c r="K59" s="154">
        <f t="shared" si="3"/>
        <v>144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3716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83350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3#1#85000|3#3#113|3#4#170|3#5#113|3#6#170|3#7#113|3#8#170|3#9#70|3#10#70|3#11#70|3#12#70</v>
      </c>
      <c r="K61" s="154">
        <f t="shared" ref="K61:K87" si="7">K5</f>
        <v>3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133100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3#1#141000|3#3#173|3#4#260|3#5#173|3#6#260|3#7#173|3#8#260|3#9#105|3#10#105|3#11#105|3#12#105</v>
      </c>
      <c r="K62" s="154">
        <f t="shared" si="7"/>
        <v>6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3#1#206000|3#3#235|3#4#352|3#5#235|3#6#352|3#7#235|3#8#352|3#9#140|3#10#140|3#11#140|3#12#140</v>
      </c>
      <c r="K63" s="154">
        <f t="shared" si="7"/>
        <v>10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3#1#312000|3#3#300|3#4#450|3#5#300|3#6#450|3#7#300|3#8#450|3#9#175|3#10#175|3#11#175|3#12#175</v>
      </c>
      <c r="K64" s="154">
        <f t="shared" si="7"/>
        <v>14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3#1#447000|3#3#397|3#4#596|3#5#397|3#6#596|3#7#397|3#8#596|3#9#227|3#10#227|3#11#227|3#12#227</v>
      </c>
      <c r="K65" s="154">
        <f t="shared" si="7"/>
        <v>18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3#1#603000|3#3#499|3#4#748|3#5#499|3#6#748|3#7#499|3#8#748|3#9#280|3#10#280|3#11#280|3#12#280</v>
      </c>
      <c r="K66" s="154">
        <f t="shared" si="7"/>
        <v>22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3#1#859000|3#3#605|3#4#908|3#5#605|3#6#908|3#7#605|3#8#908|3#9#332|3#10#332|3#11#332|3#12#332</v>
      </c>
      <c r="K67" s="154">
        <f t="shared" si="7"/>
        <v>26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3#1#1092000|3#3#716|3#4#1075|3#5#716|3#6#1075|3#7#716|3#8#1075|3#9#385|3#10#385|3#11#385|3#12#385</v>
      </c>
      <c r="K68" s="154">
        <f t="shared" si="7"/>
        <v>30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3#1#1526000|3#3#932|3#4#1399|3#5#932|3#6#1399|3#7#932|3#8#1399|3#9#490|3#10#490|3#11#490|3#12#490</v>
      </c>
      <c r="K69" s="154">
        <f t="shared" si="7"/>
        <v>35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3#1#2154000|3#3#1228|3#4#1843|3#5#1228|3#6#1843|3#7#1228|3#8#1843|3#9#630|3#10#630|3#11#630|3#12#630</v>
      </c>
      <c r="K70" s="154">
        <f t="shared" si="7"/>
        <v>39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3#1#3130000|3#3#1539|3#4#2308|3#5#1539|3#6#2308|3#7#1539|3#8#2308|3#9#770|3#10#770|3#11#770|3#12#770</v>
      </c>
      <c r="K71" s="154">
        <f t="shared" si="7"/>
        <v>44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3#1#3981000|3#3#1830|3#4#2745|3#5#1830|3#6#2745|3#7#1830|3#8#2745|3#9#892|3#10#892|3#11#892|3#12#892</v>
      </c>
      <c r="K72" s="154">
        <f t="shared" si="7"/>
        <v>49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3#1#4964000|3#3#2137|3#4#3206|3#5#2137|3#6#3206|3#7#2137|3#8#3206|3#9#1015|3#10#1015|3#11#1015|3#12#1015</v>
      </c>
      <c r="K73" s="154">
        <f t="shared" si="7"/>
        <v>54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3#1#6005000|3#3#2425|3#4#3638|3#5#2425|3#6#3638|3#7#2425|3#8#3638|3#9#1120|3#10#1120|3#11#1120|3#12#1120</v>
      </c>
      <c r="K74" s="154">
        <f t="shared" si="7"/>
        <v>59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3#1#7752000|3#3#2729|3#4#4094|3#5#2729|3#6#4094|3#7#2729|3#8#4094|3#9#1225|3#10#1225|3#11#1225|3#12#1225</v>
      </c>
      <c r="K75" s="154">
        <f t="shared" si="7"/>
        <v>64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3#1#9101000|3#3#3012|3#4#4519|3#5#3012|3#6#4519|3#7#3012|3#8#4519|3#9#1312|3#10#1312|3#11#1312|3#12#1312</v>
      </c>
      <c r="K76" s="154">
        <f t="shared" si="7"/>
        <v>70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3#1#10629000|3#3#3314|3#4#4971|3#5#3314|3#6#4971|3#7#3314|3#8#4971|3#9#1400|3#10#1400|3#11#1400|3#12#1400</v>
      </c>
      <c r="K77" s="154">
        <f t="shared" si="7"/>
        <v>75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3#1#12799000|3#3#3764|3#4#5647|3#5#3764|3#6#5647|3#7#3764|3#8#5647|3#9#1540|3#10#1540|3#11#1540|3#12#1540</v>
      </c>
      <c r="K78" s="154">
        <f t="shared" si="7"/>
        <v>81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3#1#16369000|3#3#4245|3#4#6368|3#5#4245|3#6#6368|3#7#4245|3#8#6368|3#9#1680|3#10#1680|3#11#1680|3#12#1680</v>
      </c>
      <c r="K79" s="154">
        <f t="shared" si="7"/>
        <v>87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3#1#19767000|3#3#4851|3#4#7276|3#5#4851|3#6#7276|3#7#4851|3#8#7276|3#9#1855|3#10#1855|3#11#1855|3#12#1855</v>
      </c>
      <c r="K80" s="154">
        <f t="shared" si="7"/>
        <v>93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3#1#23648000|3#3#5501|3#4#8252|3#5#5501|3#6#8252|3#7#5501|3#8#8252|3#9#2030|3#10#2030|3#11#2030|3#12#2030</v>
      </c>
      <c r="K81" s="154">
        <f t="shared" si="7"/>
        <v>99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3#1#28514000|3#3#6298|3#4#9447|3#5#6298|3#6#9447|3#7#6298|3#8#9447|3#9#2240|3#10#2240|3#11#2240|3#12#2240</v>
      </c>
      <c r="K82" s="154">
        <f t="shared" si="7"/>
        <v>106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3#1#36334000|3#3#7156|3#4#10734|3#5#7156|3#6#10734|3#7#7156|3#8#10734|3#9#2450|3#10#2450|3#11#2450|3#12#2450</v>
      </c>
      <c r="K83" s="154">
        <f t="shared" si="7"/>
        <v>112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3#1#42498000|3#3#7976|3#4#11965|3#5#7976|3#6#11965|3#7#7976|3#8#11965|3#9#2625|3#10#2625|3#11#2625|3#12#2625</v>
      </c>
      <c r="K84" s="154">
        <f t="shared" si="7"/>
        <v>119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3#1#49463000|3#3#8863|3#4#13294|3#5#8863|3#6#13294|3#7#8863|3#8#13294|3#9#2800|3#10#2800|3#11#2800|3#12#2800</v>
      </c>
      <c r="K85" s="154">
        <f t="shared" si="7"/>
        <v>126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3#1#60688000|3#3#10403|3#4#15604|3#5#10403|3#6#15604|3#7#10403|3#8#15604|3#9#3150|3#10#3150|3#11#3150|3#12#3150</v>
      </c>
      <c r="K86" s="154">
        <f t="shared" si="7"/>
        <v>132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3#1#81890000|3#3#12382|3#4#18573|3#5#12382|3#6#18573|3#7#12382|3#8#18573|3#9#3500|3#10#3500|3#11#3500|3#12#3500</v>
      </c>
      <c r="K87" s="154">
        <f t="shared" si="7"/>
        <v>144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3717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166700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3#1#82000|3#3#121|3#4#182|3#5#121|3#6#182|3#7#121|3#8#182|3#9#75|3#10#75|3#11#75|3#12#75</v>
      </c>
      <c r="K89" s="154">
        <f t="shared" ref="K89:K115" si="11">K5</f>
        <v>3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266200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3#1#136000|3#3#185|3#4#278|3#5#185|3#6#278|3#7#185|3#8#278|3#9#112|3#10#112|3#11#112|3#12#112</v>
      </c>
      <c r="K90" s="154">
        <f t="shared" si="11"/>
        <v>6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3#1#198000|3#3#252|3#4#378|3#5#252|3#6#378|3#7#252|3#8#378|3#9#150|3#10#150|3#11#150|3#12#150</v>
      </c>
      <c r="K91" s="154">
        <f t="shared" si="11"/>
        <v>10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3#1#301000|3#3#320|3#4#481|3#5#320|3#6#481|3#7#320|3#8#481|3#9#187|3#10#187|3#11#187|3#12#187</v>
      </c>
      <c r="K92" s="154">
        <f t="shared" si="11"/>
        <v>14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3#1#430000|3#3#425|3#4#638|3#5#425|3#6#638|3#7#425|3#8#638|3#9#243|3#10#243|3#11#243|3#12#243</v>
      </c>
      <c r="K93" s="154">
        <f t="shared" si="11"/>
        <v>18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3#1#580000|3#3#534|3#4#801|3#5#534|3#6#801|3#7#534|3#8#801|3#9#300|3#10#300|3#11#300|3#12#300</v>
      </c>
      <c r="K94" s="154">
        <f t="shared" si="11"/>
        <v>22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3#1#826000|3#3#648|3#4#972|3#5#648|3#6#972|3#7#648|3#8#972|3#9#356|3#10#356|3#11#356|3#12#356</v>
      </c>
      <c r="K95" s="154">
        <f t="shared" si="11"/>
        <v>26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3#1#1051000|3#3#768|3#4#1152|3#5#768|3#6#1152|3#7#768|3#8#1152|3#9#412|3#10#412|3#11#412|3#12#412</v>
      </c>
      <c r="K96" s="154">
        <f t="shared" si="11"/>
        <v>30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3#1#1467000|3#3#1000|3#4#1500|3#5#1000|3#6#1500|3#7#1000|3#8#1500|3#9#525|3#10#525|3#11#525|3#12#525</v>
      </c>
      <c r="K97" s="154">
        <f t="shared" si="11"/>
        <v>35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3#1#2071000|3#3#1316|3#4#1974|3#5#1316|3#6#1974|3#7#1316|3#8#1974|3#9#675|3#10#675|3#11#675|3#12#675</v>
      </c>
      <c r="K98" s="154">
        <f t="shared" si="11"/>
        <v>39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3#1#3009000|3#3#1648|3#4#2473|3#5#1648|3#6#2473|3#7#1648|3#8#2473|3#9#825|3#10#825|3#11#825|3#12#825</v>
      </c>
      <c r="K99" s="154">
        <f t="shared" si="11"/>
        <v>44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3#1#3828000|3#3#1960|3#4#2941|3#5#1960|3#6#2941|3#7#1960|3#8#2941|3#9#956|3#10#956|3#11#956|3#12#956</v>
      </c>
      <c r="K100" s="154">
        <f t="shared" si="11"/>
        <v>49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3#1#4774000|3#3#2290|3#4#3435|3#5#2290|3#6#3435|3#7#2290|3#8#3435|3#9#1087|3#10#1087|3#11#1087|3#12#1087</v>
      </c>
      <c r="K101" s="154">
        <f t="shared" si="11"/>
        <v>54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3#1#5774000|3#3#2598|3#4#3897|3#5#2598|3#6#3897|3#7#2598|3#8#3897|3#9#1200|3#10#1200|3#11#1200|3#12#1200</v>
      </c>
      <c r="K102" s="154">
        <f t="shared" si="11"/>
        <v>59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3#1#7456000|3#3#2924|3#4#4387|3#5#2924|3#6#4387|3#7#2924|3#8#4387|3#9#1312|3#10#1312|3#11#1312|3#12#1312</v>
      </c>
      <c r="K103" s="154">
        <f t="shared" si="11"/>
        <v>64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3#1#8751000|3#3#3228|3#4#4842|3#5#3228|3#6#4842|3#7#3228|3#8#4842|3#9#1406|3#10#1406|3#11#1406|3#12#1406</v>
      </c>
      <c r="K104" s="154">
        <f t="shared" si="11"/>
        <v>70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3#1#10220000|3#3#3551|3#4#5326|3#5#3551|3#6#5326|3#7#3551|3#8#5326|3#9#1500|3#10#1500|3#11#1500|3#12#1500</v>
      </c>
      <c r="K105" s="154">
        <f t="shared" si="11"/>
        <v>75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3#1#12307000|3#3#4033|3#4#6050|3#5#4033|3#6#6050|3#7#4033|3#8#6050|3#9#1650|3#10#1650|3#11#1650|3#12#1650</v>
      </c>
      <c r="K106" s="154">
        <f t="shared" si="11"/>
        <v>81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3#1#15739000|3#3#4548|3#4#6823|3#5#4548|3#6#6823|3#7#4548|3#8#6823|3#9#1800|3#10#1800|3#11#1800|3#12#1800</v>
      </c>
      <c r="K107" s="154">
        <f t="shared" si="11"/>
        <v>87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3#1#19010000|3#3#5197|3#4#7796|3#5#5197|3#6#7796|3#7#5197|3#8#7796|3#9#1987|3#10#1987|3#11#1987|3#12#1987</v>
      </c>
      <c r="K108" s="154">
        <f t="shared" si="11"/>
        <v>93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3#1#22739000|3#3#5894|3#4#8841|3#5#5894|3#6#8841|3#7#5894|3#8#8841|3#9#2175|3#10#2175|3#11#2175|3#12#2175</v>
      </c>
      <c r="K109" s="154">
        <f t="shared" si="11"/>
        <v>99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3#1#27417000|3#3#6748|3#4#10122|3#5#6748|3#6#10122|3#7#6748|3#8#10122|3#9#2400|3#10#2400|3#11#2400|3#12#2400</v>
      </c>
      <c r="K110" s="154">
        <f t="shared" si="11"/>
        <v>106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3#1#34936000|3#3#7667|3#4#11500|3#5#7667|3#6#11500|3#7#7667|3#8#11500|3#9#2625|3#10#2625|3#11#2625|3#12#2625</v>
      </c>
      <c r="K111" s="154">
        <f t="shared" si="11"/>
        <v>112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3#1#40868000|3#3#8546|3#4#12819|3#5#8546|3#6#12819|3#7#8546|3#8#12819|3#9#2812|3#10#2812|3#11#2812|3#12#2812</v>
      </c>
      <c r="K112" s="154">
        <f t="shared" si="11"/>
        <v>119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3#1#47561000|3#3#9496|3#4#14245|3#5#9496|3#6#14245|3#7#9496|3#8#14245|3#9#3000|3#10#3000|3#11#3000|3#12#3000</v>
      </c>
      <c r="K113" s="154">
        <f t="shared" si="11"/>
        <v>126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3#1#58354000|3#3#11146|3#4#16719|3#5#11146|3#6#16719|3#7#11146|3#8#16719|3#9#3375|3#10#3375|3#11#3375|3#12#3375</v>
      </c>
      <c r="K114" s="154">
        <f t="shared" si="11"/>
        <v>132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3#1#78741000|3#3#13266|3#4#19899|3#5#13266|3#6#19899|3#7#13266|3#8#19899|3#9#3750|3#10#3750|3#11#3750|3#12#3750</v>
      </c>
      <c r="K115" s="154">
        <f t="shared" si="11"/>
        <v>144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3718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333400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3#1#170000|3#3#178|3#4#267|3#5#178|3#6#267|3#7#178|3#8#267|3#9#110|3#10#110|3#11#110|3#12#110</v>
      </c>
      <c r="K117" s="154">
        <f t="shared" ref="K117:K143" si="15">K5</f>
        <v>3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532400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3#1#290000|3#3#272|3#4#409|3#5#272|3#6#409|3#7#272|3#8#409|3#9#165|3#10#165|3#11#165|3#12#165</v>
      </c>
      <c r="K118" s="154">
        <f t="shared" si="15"/>
        <v>6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3#1#420000|3#3#369|3#4#554|3#5#369|3#6#554|3#7#369|3#8#554|3#9#220|3#10#220|3#11#220|3#12#220</v>
      </c>
      <c r="K119" s="154">
        <f t="shared" si="15"/>
        <v>10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3#1#640000|3#3#471|3#4#706|3#5#471|3#6#706|3#7#471|3#8#706|3#9#275|3#10#275|3#11#275|3#12#275</v>
      </c>
      <c r="K120" s="154">
        <f t="shared" si="15"/>
        <v>14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3#1#920000|3#3#624|3#4#937|3#5#624|3#6#937|3#7#624|3#8#937|3#9#357|3#10#357|3#11#357|3#12#357</v>
      </c>
      <c r="K121" s="154">
        <f t="shared" si="15"/>
        <v>18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3#1#1250000|3#3#784|3#4#1176|3#5#784|3#6#1176|3#7#784|3#8#1176|3#9#440|3#10#440|3#11#440|3#12#440</v>
      </c>
      <c r="K122" s="154">
        <f t="shared" si="15"/>
        <v>22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3#1#1780000|3#3#951|3#4#1426|3#5#951|3#6#1426|3#7#951|3#8#1426|3#9#522|3#10#522|3#11#522|3#12#522</v>
      </c>
      <c r="K123" s="154">
        <f t="shared" si="15"/>
        <v>26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3#1#2260000|3#3#1126|3#4#1689|3#5#1126|3#6#1689|3#7#1126|3#8#1689|3#9#605|3#10#605|3#11#605|3#12#605</v>
      </c>
      <c r="K124" s="154">
        <f t="shared" si="15"/>
        <v>30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3#1#3170000|3#3#1466|3#4#2199|3#5#1466|3#6#2199|3#7#1466|3#8#2199|3#9#770|3#10#770|3#11#770|3#12#770</v>
      </c>
      <c r="K125" s="154">
        <f t="shared" si="15"/>
        <v>35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3#1#4470000|3#3#1930|3#4#2895|3#5#1930|3#6#2895|3#7#1930|3#8#2895|3#9#990|3#10#990|3#11#990|3#12#990</v>
      </c>
      <c r="K126" s="154">
        <f t="shared" si="15"/>
        <v>39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3#1#6500000|3#3#2419|3#4#3628|3#5#2419|3#6#3628|3#7#2419|3#8#3628|3#9#1210|3#10#1210|3#11#1210|3#12#1210</v>
      </c>
      <c r="K127" s="154">
        <f t="shared" si="15"/>
        <v>44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3#1#8270000|3#3#2876|3#4#4315|3#5#2876|3#6#4315|3#7#2876|3#8#4315|3#9#1402|3#10#1402|3#11#1402|3#12#1402</v>
      </c>
      <c r="K128" s="154">
        <f t="shared" si="15"/>
        <v>49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3#1#10310000|3#3#3360|3#4#5040|3#5#3360|3#6#5040|3#7#3360|3#8#5040|3#9#1595|3#10#1595|3#11#1595|3#12#1595</v>
      </c>
      <c r="K129" s="154">
        <f t="shared" si="15"/>
        <v>54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3#1#12470000|3#3#3811|3#4#5716|3#5#3811|3#6#5716|3#7#3811|3#8#5716|3#9#1760|3#10#1760|3#11#1760|3#12#1760</v>
      </c>
      <c r="K130" s="154">
        <f t="shared" si="15"/>
        <v>59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3#1#16100000|3#3#4289|3#4#6434|3#5#4289|3#6#6434|3#7#4289|3#8#6434|3#9#1925|3#10#1925|3#11#1925|3#12#1925</v>
      </c>
      <c r="K131" s="154">
        <f t="shared" si="15"/>
        <v>64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3#1#18900000|3#3#4735|3#4#7102|3#5#4735|3#6#7102|3#7#4735|3#8#7102|3#9#2062|3#10#2062|3#11#2062|3#12#2062</v>
      </c>
      <c r="K132" s="154">
        <f t="shared" si="15"/>
        <v>70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3#1#22070000|3#3#5208|3#4#7813|3#5#5208|3#6#7813|3#7#5208|3#8#7813|3#9#2200|3#10#2200|3#11#2200|3#12#2200</v>
      </c>
      <c r="K133" s="154">
        <f t="shared" si="15"/>
        <v>75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3#1#26580000|3#3#5916|3#4#8874|3#5#5916|3#6#8874|3#7#5916|3#8#8874|3#9#2420|3#10#2420|3#11#2420|3#12#2420</v>
      </c>
      <c r="K134" s="154">
        <f t="shared" si="15"/>
        <v>81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3#1#33990000|3#3#6671|3#4#10006|3#5#6671|3#6#10006|3#7#6671|3#8#10006|3#9#2640|3#10#2640|3#11#2640|3#12#2640</v>
      </c>
      <c r="K135" s="154">
        <f t="shared" si="15"/>
        <v>87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3#1#41050000|3#3#7624|3#4#11436|3#5#7624|3#6#11436|3#7#7624|3#8#11436|3#9#2915|3#10#2915|3#11#2915|3#12#2915</v>
      </c>
      <c r="K136" s="154">
        <f t="shared" si="15"/>
        <v>93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3#1#49110000|3#3#8644|3#4#12967|3#5#8644|3#6#12967|3#7#8644|3#8#12967|3#9#3190|3#10#3190|3#11#3190|3#12#3190</v>
      </c>
      <c r="K137" s="154">
        <f t="shared" si="15"/>
        <v>99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3#1#59220000|3#3#9897|3#4#14846|3#5#9897|3#6#14846|3#7#9897|3#8#14846|3#9#3520|3#10#3520|3#11#3520|3#12#3520</v>
      </c>
      <c r="K138" s="154">
        <f t="shared" si="15"/>
        <v>106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3#1#75460000|3#3#11245|3#4#16868|3#5#11245|3#6#16868|3#7#11245|3#8#16868|3#9#3850|3#10#3850|3#11#3850|3#12#3850</v>
      </c>
      <c r="K139" s="154">
        <f t="shared" si="15"/>
        <v>112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3#1#88260000|3#3#12534|3#4#18801|3#5#12534|3#6#18801|3#7#12534|3#8#18801|3#9#4125|3#10#4125|3#11#4125|3#12#4125</v>
      </c>
      <c r="K140" s="154">
        <f t="shared" si="15"/>
        <v>119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3#1#102730000|3#3#13928|3#4#20893|3#5#13928|3#6#20893|3#7#13928|3#8#20893|3#9#4400|3#10#4400|3#11#4400|3#12#4400</v>
      </c>
      <c r="K141" s="154">
        <f t="shared" si="15"/>
        <v>126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3#1#126040000|3#3#16348|3#4#24522|3#5#16348|3#6#24522|3#7#16348|3#8#24522|3#9#4950|3#10#4950|3#11#4950|3#12#4950</v>
      </c>
      <c r="K142" s="154">
        <f t="shared" si="15"/>
        <v>132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3#1#170080000|3#3#19457|3#4#29186|3#5#19457|3#6#29186|3#7#19457|3#8#29186|3#9#5500|3#10#5500|3#11#5500|3#12#5500</v>
      </c>
      <c r="K143" s="154">
        <f t="shared" si="15"/>
        <v>144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4047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1660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3#1#100000|3#3#162|3#4#243|3#5#162|3#6#243|3#7#162|3#8#243|3#9#100|3#10#100|3#11#100|3#12#100</v>
      </c>
      <c r="K145" s="154">
        <f>K5</f>
        <v>3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>A146&amp;"级新增怪物种类1"</f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2660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3#1#180000|3#3#248|3#4#372|3#5#248|3#6#372|3#7#248|3#8#372|3#9#150|3#10#150|3#11#150|3#12#150</v>
      </c>
      <c r="K146" s="154">
        <f t="shared" ref="K146:K171" si="18">K6</f>
        <v>6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>A147&amp;"级新增怪物种类1"</f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3#1#260000|3#3#336|3#4#504|3#5#336|3#6#504|3#7#336|3#8#504|3#9#200|3#10#200|3#11#200|3#12#200</v>
      </c>
      <c r="K147" s="154">
        <f t="shared" si="18"/>
        <v>10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>A148&amp;"级新增怪物种类1"</f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3#1#400000|3#3#428|3#4#642|3#5#428|3#6#642|3#7#428|3#8#642|3#9#250|3#10#250|3#11#250|3#12#250</v>
      </c>
      <c r="K148" s="154">
        <f t="shared" si="18"/>
        <v>14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>A149&amp;"级新增怪物种类1"</f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3#1#570000|3#3#568|3#4#852|3#5#568|3#6#852|3#7#568|3#8#852|3#9#325|3#10#325|3#11#325|3#12#325</v>
      </c>
      <c r="K149" s="154">
        <f t="shared" si="18"/>
        <v>18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>A150&amp;"级新增怪物种类1"</f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3#1#770000|3#3#712|3#4#1069|3#5#712|3#6#1069|3#7#712|3#8#1069|3#9#400|3#10#400|3#11#400|3#12#400</v>
      </c>
      <c r="K150" s="154">
        <f t="shared" si="18"/>
        <v>22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>A151&amp;"级新增怪物种类1"</f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3#1#1100000|3#3#864|3#4#1297|3#5#864|3#6#1297|3#7#864|3#8#1297|3#9#475|3#10#475|3#11#475|3#12#475</v>
      </c>
      <c r="K151" s="154">
        <f t="shared" si="18"/>
        <v>26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3#1#1390000|3#3#1024|3#4#1536|3#5#1024|3#6#1536|3#7#1024|3#8#1536|3#9#550|3#10#550|3#11#550|3#12#550</v>
      </c>
      <c r="K152" s="154">
        <f t="shared" si="18"/>
        <v>30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>A153&amp;"转新增怪物种类1"</f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3#1#1950000|3#3#1332|3#4#1999|3#5#1332|3#6#1999|3#7#1332|3#8#1999|3#9#700|3#10#700|3#11#700|3#12#700</v>
      </c>
      <c r="K153" s="154">
        <f t="shared" si="18"/>
        <v>35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>A154&amp;"转新增怪物种类1"</f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3#1#2750000|3#3#1755|3#4#2632|3#5#1755|3#6#2632|3#7#1755|3#8#2632|3#9#900|3#10#900|3#11#900|3#12#900</v>
      </c>
      <c r="K154" s="154">
        <f t="shared" si="18"/>
        <v>39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>A155&amp;"转新增怪物种类1"</f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3#1#4000000|3#3#2199|3#4#3298|3#5#2199|3#6#3298|3#7#2199|3#8#3298|3#9#1100|3#10#1100|3#11#1100|3#12#1100</v>
      </c>
      <c r="K155" s="154">
        <f t="shared" si="18"/>
        <v>44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>A156&amp;"转新增怪物种类1"</f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3#1#5090000|3#3#2615|3#4#3922|3#5#2615|3#6#3922|3#7#2615|3#8#3922|3#9#1275|3#10#1275|3#11#1275|3#12#1275</v>
      </c>
      <c r="K156" s="154">
        <f t="shared" si="18"/>
        <v>49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>A157&amp;"转新增怪物种类1"</f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3#1#6350000|3#3#3054|3#4#4581|3#5#3054|3#6#4581|3#7#3054|3#8#4581|3#9#1450|3#10#1450|3#11#1450|3#12#1450</v>
      </c>
      <c r="K157" s="154">
        <f t="shared" si="18"/>
        <v>54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>A158&amp;"转新增怪物种类1"</f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3#1#7690000|3#3#3464|3#4#5197|3#5#3464|3#6#5197|3#7#3464|3#8#5197|3#9#1600|3#10#1600|3#11#1600|3#12#1600</v>
      </c>
      <c r="K158" s="154">
        <f t="shared" si="18"/>
        <v>59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>A159&amp;"转新增怪物种类1"</f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3#1#9920000|3#3#3900|3#4#5850|3#5#3900|3#6#5850|3#7#3900|3#8#5850|3#9#1750|3#10#1750|3#11#1750|3#12#1750</v>
      </c>
      <c r="K159" s="154">
        <f t="shared" si="18"/>
        <v>64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>A160&amp;"转新增怪物种类1"</f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3#1#11650000|3#3#4304|3#4#6457|3#5#4304|3#6#6457|3#7#4304|3#8#6457|3#9#1875|3#10#1875|3#11#1875|3#12#1875</v>
      </c>
      <c r="K160" s="154">
        <f t="shared" si="18"/>
        <v>70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>A161&amp;"转新增怪物种类1"</f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3#1#13610000|3#3#4735|3#4#7102|3#5#4735|3#6#7102|3#7#4735|3#8#7102|3#9#2000|3#10#2000|3#11#2000|3#12#2000</v>
      </c>
      <c r="K161" s="154">
        <f t="shared" si="18"/>
        <v>75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>A162&amp;"转新增怪物种类1"</f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3#1#16390000|3#3#5378|3#4#8067|3#5#5378|3#6#8067|3#7#5378|3#8#8067|3#9#2200|3#10#2200|3#11#2200|3#12#2200</v>
      </c>
      <c r="K162" s="154">
        <f t="shared" si="18"/>
        <v>81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>A163&amp;"转新增怪物种类1"</f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3#1#20960000|3#3#6064|3#4#9097|3#5#6064|3#6#9097|3#7#6064|3#8#9097|3#9#2400|3#10#2400|3#11#2400|3#12#2400</v>
      </c>
      <c r="K163" s="154">
        <f t="shared" si="18"/>
        <v>87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>A164&amp;"转新增怪物种类1"</f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3#1#25310000|3#3#6930|3#4#10395|3#5#6930|3#6#10395|3#7#6930|3#8#10395|3#9#2650|3#10#2650|3#11#2650|3#12#2650</v>
      </c>
      <c r="K164" s="154">
        <f t="shared" si="18"/>
        <v>93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>A165&amp;"转新增怪物种类1"</f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3#1#30280000|3#3#7859|3#4#11788|3#5#7859|3#6#11788|3#7#7859|3#8#11788|3#9#2900|3#10#2900|3#11#2900|3#12#2900</v>
      </c>
      <c r="K165" s="154">
        <f t="shared" si="18"/>
        <v>99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>A166&amp;"转新增怪物种类1"</f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3#1#36520000|3#3#8997|3#4#13496|3#5#8997|3#6#13496|3#7#8997|3#8#13496|3#9#3200|3#10#3200|3#11#3200|3#12#3200</v>
      </c>
      <c r="K166" s="154">
        <f t="shared" si="18"/>
        <v>106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>A167&amp;"转新增怪物种类1"</f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3#1#46530000|3#3#10223|3#4#15334|3#5#10223|3#6#15334|3#7#10223|3#8#15334|3#9#3500|3#10#3500|3#11#3500|3#12#3500</v>
      </c>
      <c r="K167" s="154">
        <f t="shared" si="18"/>
        <v>112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>A168&amp;"转新增怪物种类1"</f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3#1#54430000|3#3#11395|3#4#17092|3#5#11395|3#6#17092|3#7#11395|3#8#17092|3#9#3750|3#10#3750|3#11#3750|3#12#3750</v>
      </c>
      <c r="K168" s="154">
        <f t="shared" si="18"/>
        <v>119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>A169&amp;"转新增怪物种类1"</f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3#1#63350000|3#3#12662|3#4#18993|3#5#12662|3#6#18993|3#7#12662|3#8#18993|3#9#4000|3#10#4000|3#11#4000|3#12#4000</v>
      </c>
      <c r="K169" s="154">
        <f t="shared" si="18"/>
        <v>126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>A170&amp;"转新增怪物种类1"</f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3#1#77720000|3#3#14861|3#4#22292|3#5#14861|3#6#22292|3#7#14861|3#8#22292|3#9#4500|3#10#4500|3#11#4500|3#12#4500</v>
      </c>
      <c r="K170" s="154">
        <f t="shared" si="18"/>
        <v>132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>A171&amp;"转新增怪物种类1"</f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3#1#104880000|3#3#17688|3#4#26533|3#5#17688|3#6#26533|3#7#17688|3#8#26533|3#9#5000|3#10#5000|3#11#5000|3#12#5000</v>
      </c>
      <c r="K171" s="154">
        <f t="shared" si="18"/>
        <v>144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4048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3330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3#1#100000|3#3#162|3#4#243|3#5#162|3#6#243|3#7#162|3#8#243|3#9#100|3#10#100|3#11#100|3#12#100</v>
      </c>
      <c r="K173" s="154">
        <f>K33</f>
        <v>3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>A174&amp;"级新增怪物种类2"</f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5320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3#1#180000|3#3#248|3#4#372|3#5#248|3#6#372|3#7#248|3#8#372|3#9#150|3#10#150|3#11#150|3#12#150</v>
      </c>
      <c r="K174" s="154">
        <f t="shared" ref="K174:K199" si="19">K34</f>
        <v>6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>A175&amp;"级新增怪物种类2"</f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3#1#260000|3#3#336|3#4#504|3#5#336|3#6#504|3#7#336|3#8#504|3#9#200|3#10#200|3#11#200|3#12#200</v>
      </c>
      <c r="K175" s="154">
        <f t="shared" si="19"/>
        <v>10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>A176&amp;"级新增怪物种类2"</f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3#1#400000|3#3#428|3#4#642|3#5#428|3#6#642|3#7#428|3#8#642|3#9#250|3#10#250|3#11#250|3#12#250</v>
      </c>
      <c r="K176" s="154">
        <f t="shared" si="19"/>
        <v>14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>A177&amp;"级新增怪物种类2"</f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3#1#570000|3#3#568|3#4#852|3#5#568|3#6#852|3#7#568|3#8#852|3#9#325|3#10#325|3#11#325|3#12#325</v>
      </c>
      <c r="K177" s="154">
        <f t="shared" si="19"/>
        <v>18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>A178&amp;"级新增怪物种类2"</f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3#1#770000|3#3#712|3#4#1069|3#5#712|3#6#1069|3#7#712|3#8#1069|3#9#400|3#10#400|3#11#400|3#12#400</v>
      </c>
      <c r="K178" s="154">
        <f t="shared" si="19"/>
        <v>22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>A179&amp;"级新增怪物种类2"</f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3#1#1100000|3#3#864|3#4#1297|3#5#864|3#6#1297|3#7#864|3#8#1297|3#9#475|3#10#475|3#11#475|3#12#475</v>
      </c>
      <c r="K179" s="154">
        <f t="shared" si="19"/>
        <v>26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3#1#1390000|3#3#1024|3#4#1536|3#5#1024|3#6#1536|3#7#1024|3#8#1536|3#9#550|3#10#550|3#11#550|3#12#550</v>
      </c>
      <c r="K180" s="154">
        <f t="shared" si="19"/>
        <v>30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>A181&amp;"转新增怪物种类2"</f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3#1#1950000|3#3#1332|3#4#1999|3#5#1332|3#6#1999|3#7#1332|3#8#1999|3#9#700|3#10#700|3#11#700|3#12#700</v>
      </c>
      <c r="K181" s="154">
        <f t="shared" si="19"/>
        <v>35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>A182&amp;"转新增怪物种类2"</f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3#1#2750000|3#3#1755|3#4#2632|3#5#1755|3#6#2632|3#7#1755|3#8#2632|3#9#900|3#10#900|3#11#900|3#12#900</v>
      </c>
      <c r="K182" s="154">
        <f t="shared" si="19"/>
        <v>39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>A183&amp;"转新增怪物种类2"</f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3#1#4000000|3#3#2199|3#4#3298|3#5#2199|3#6#3298|3#7#2199|3#8#3298|3#9#1100|3#10#1100|3#11#1100|3#12#1100</v>
      </c>
      <c r="K183" s="154">
        <f t="shared" si="19"/>
        <v>44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>A184&amp;"转新增怪物种类2"</f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3#1#5090000|3#3#2615|3#4#3922|3#5#2615|3#6#3922|3#7#2615|3#8#3922|3#9#1275|3#10#1275|3#11#1275|3#12#1275</v>
      </c>
      <c r="K184" s="154">
        <f t="shared" si="19"/>
        <v>49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>A185&amp;"转新增怪物种类2"</f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3#1#6350000|3#3#3054|3#4#4581|3#5#3054|3#6#4581|3#7#3054|3#8#4581|3#9#1450|3#10#1450|3#11#1450|3#12#1450</v>
      </c>
      <c r="K185" s="154">
        <f t="shared" si="19"/>
        <v>54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>A186&amp;"转新增怪物种类2"</f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3#1#7690000|3#3#3464|3#4#5197|3#5#3464|3#6#5197|3#7#3464|3#8#5197|3#9#1600|3#10#1600|3#11#1600|3#12#1600</v>
      </c>
      <c r="K186" s="154">
        <f t="shared" si="19"/>
        <v>59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>A187&amp;"转新增怪物种类2"</f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3#1#9920000|3#3#3900|3#4#5850|3#5#3900|3#6#5850|3#7#3900|3#8#5850|3#9#1750|3#10#1750|3#11#1750|3#12#1750</v>
      </c>
      <c r="K187" s="154">
        <f t="shared" si="19"/>
        <v>64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>A188&amp;"转新增怪物种类2"</f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3#1#11650000|3#3#4304|3#4#6457|3#5#4304|3#6#6457|3#7#4304|3#8#6457|3#9#1875|3#10#1875|3#11#1875|3#12#1875</v>
      </c>
      <c r="K188" s="154">
        <f t="shared" si="19"/>
        <v>70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>A189&amp;"转新增怪物种类2"</f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3#1#13610000|3#3#4735|3#4#7102|3#5#4735|3#6#7102|3#7#4735|3#8#7102|3#9#2000|3#10#2000|3#11#2000|3#12#2000</v>
      </c>
      <c r="K189" s="154">
        <f t="shared" si="19"/>
        <v>75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>A190&amp;"转新增怪物种类2"</f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3#1#16390000|3#3#5378|3#4#8067|3#5#5378|3#6#8067|3#7#5378|3#8#8067|3#9#2200|3#10#2200|3#11#2200|3#12#2200</v>
      </c>
      <c r="K190" s="154">
        <f t="shared" si="19"/>
        <v>81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>A191&amp;"转新增怪物种类2"</f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3#1#20960000|3#3#6064|3#4#9097|3#5#6064|3#6#9097|3#7#6064|3#8#9097|3#9#2400|3#10#2400|3#11#2400|3#12#2400</v>
      </c>
      <c r="K191" s="154">
        <f t="shared" si="19"/>
        <v>87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>A192&amp;"转新增怪物种类2"</f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3#1#25310000|3#3#6930|3#4#10395|3#5#6930|3#6#10395|3#7#6930|3#8#10395|3#9#2650|3#10#2650|3#11#2650|3#12#2650</v>
      </c>
      <c r="K192" s="154">
        <f t="shared" si="19"/>
        <v>93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>A193&amp;"转新增怪物种类2"</f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3#1#30280000|3#3#7859|3#4#11788|3#5#7859|3#6#11788|3#7#7859|3#8#11788|3#9#2900|3#10#2900|3#11#2900|3#12#2900</v>
      </c>
      <c r="K193" s="154">
        <f t="shared" si="19"/>
        <v>99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>A194&amp;"转新增怪物种类2"</f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3#1#36520000|3#3#8997|3#4#13496|3#5#8997|3#6#13496|3#7#8997|3#8#13496|3#9#3200|3#10#3200|3#11#3200|3#12#3200</v>
      </c>
      <c r="K194" s="154">
        <f t="shared" si="19"/>
        <v>106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>A195&amp;"转新增怪物种类2"</f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3#1#46530000|3#3#10223|3#4#15334|3#5#10223|3#6#15334|3#7#10223|3#8#15334|3#9#3500|3#10#3500|3#11#3500|3#12#3500</v>
      </c>
      <c r="K195" s="154">
        <f t="shared" si="19"/>
        <v>112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>A196&amp;"转新增怪物种类2"</f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3#1#54430000|3#3#11395|3#4#17092|3#5#11395|3#6#17092|3#7#11395|3#8#17092|3#9#3750|3#10#3750|3#11#3750|3#12#3750</v>
      </c>
      <c r="K196" s="154">
        <f t="shared" si="19"/>
        <v>119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>A197&amp;"转新增怪物种类2"</f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3#1#63350000|3#3#12662|3#4#18993|3#5#12662|3#6#18993|3#7#12662|3#8#18993|3#9#4000|3#10#4000|3#11#4000|3#12#4000</v>
      </c>
      <c r="K197" s="154">
        <f t="shared" si="19"/>
        <v>126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>A198&amp;"转新增怪物种类2"</f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3#1#77720000|3#3#14861|3#4#22292|3#5#14861|3#6#22292|3#7#14861|3#8#22292|3#9#4500|3#10#4500|3#11#4500|3#12#4500</v>
      </c>
      <c r="K198" s="154">
        <f t="shared" si="19"/>
        <v>132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>A199&amp;"转新增怪物种类2"</f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3#1#104880000|3#3#17688|3#4#26533|3#5#17688|3#6#26533|3#7#17688|3#8#26533|3#9#5000|3#10#5000|3#11#5000|3#12#5000</v>
      </c>
      <c r="K199" s="154">
        <f t="shared" si="19"/>
        <v>144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4049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5000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3#1#100000|3#3#162|3#4#243|3#5#162|3#6#243|3#7#162|3#8#243|3#9#100|3#10#100|3#11#100|3#12#100</v>
      </c>
      <c r="K201" s="154">
        <f>K61</f>
        <v>3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>A202&amp;"级新增怪物种类3"</f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7980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3#1#180000|3#3#248|3#4#372|3#5#248|3#6#372|3#7#248|3#8#372|3#9#150|3#10#150|3#11#150|3#12#150</v>
      </c>
      <c r="K202" s="154">
        <f t="shared" ref="K202:K227" si="20">K62</f>
        <v>6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>A203&amp;"级新增怪物种类3"</f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3#1#260000|3#3#336|3#4#504|3#5#336|3#6#504|3#7#336|3#8#504|3#9#200|3#10#200|3#11#200|3#12#200</v>
      </c>
      <c r="K203" s="154">
        <f t="shared" si="20"/>
        <v>10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>A204&amp;"级新增怪物种类3"</f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3#1#400000|3#3#428|3#4#642|3#5#428|3#6#642|3#7#428|3#8#642|3#9#250|3#10#250|3#11#250|3#12#250</v>
      </c>
      <c r="K204" s="154">
        <f t="shared" si="20"/>
        <v>14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>A205&amp;"级新增怪物种类3"</f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3#1#570000|3#3#568|3#4#852|3#5#568|3#6#852|3#7#568|3#8#852|3#9#325|3#10#325|3#11#325|3#12#325</v>
      </c>
      <c r="K205" s="154">
        <f t="shared" si="20"/>
        <v>18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>A206&amp;"级新增怪物种类3"</f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3#1#770000|3#3#712|3#4#1069|3#5#712|3#6#1069|3#7#712|3#8#1069|3#9#400|3#10#400|3#11#400|3#12#400</v>
      </c>
      <c r="K206" s="154">
        <f t="shared" si="20"/>
        <v>22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>A207&amp;"级新增怪物种类3"</f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3#1#1100000|3#3#864|3#4#1297|3#5#864|3#6#1297|3#7#864|3#8#1297|3#9#475|3#10#475|3#11#475|3#12#475</v>
      </c>
      <c r="K207" s="154">
        <f t="shared" si="20"/>
        <v>26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3#1#1390000|3#3#1024|3#4#1536|3#5#1024|3#6#1536|3#7#1024|3#8#1536|3#9#550|3#10#550|3#11#550|3#12#550</v>
      </c>
      <c r="K208" s="154">
        <f t="shared" si="20"/>
        <v>30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>A209&amp;"转新增怪物种类3"</f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3#1#1950000|3#3#1332|3#4#1999|3#5#1332|3#6#1999|3#7#1332|3#8#1999|3#9#700|3#10#700|3#11#700|3#12#700</v>
      </c>
      <c r="K209" s="154">
        <f t="shared" si="20"/>
        <v>35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>A210&amp;"转新增怪物种类3"</f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3#1#2750000|3#3#1755|3#4#2632|3#5#1755|3#6#2632|3#7#1755|3#8#2632|3#9#900|3#10#900|3#11#900|3#12#900</v>
      </c>
      <c r="K210" s="154">
        <f t="shared" si="20"/>
        <v>39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>A211&amp;"转新增怪物种类3"</f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3#1#4000000|3#3#2199|3#4#3298|3#5#2199|3#6#3298|3#7#2199|3#8#3298|3#9#1100|3#10#1100|3#11#1100|3#12#1100</v>
      </c>
      <c r="K211" s="154">
        <f t="shared" si="20"/>
        <v>44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>A212&amp;"转新增怪物种类3"</f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3#1#5090000|3#3#2615|3#4#3922|3#5#2615|3#6#3922|3#7#2615|3#8#3922|3#9#1275|3#10#1275|3#11#1275|3#12#1275</v>
      </c>
      <c r="K212" s="154">
        <f t="shared" si="20"/>
        <v>49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>A213&amp;"转新增怪物种类3"</f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3#1#6350000|3#3#3054|3#4#4581|3#5#3054|3#6#4581|3#7#3054|3#8#4581|3#9#1450|3#10#1450|3#11#1450|3#12#1450</v>
      </c>
      <c r="K213" s="154">
        <f t="shared" si="20"/>
        <v>54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>A214&amp;"转新增怪物种类3"</f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3#1#7690000|3#3#3464|3#4#5197|3#5#3464|3#6#5197|3#7#3464|3#8#5197|3#9#1600|3#10#1600|3#11#1600|3#12#1600</v>
      </c>
      <c r="K214" s="154">
        <f t="shared" si="20"/>
        <v>59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>A215&amp;"转新增怪物种类3"</f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3#1#9920000|3#3#3900|3#4#5850|3#5#3900|3#6#5850|3#7#3900|3#8#5850|3#9#1750|3#10#1750|3#11#1750|3#12#1750</v>
      </c>
      <c r="K215" s="154">
        <f t="shared" si="20"/>
        <v>64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>A216&amp;"转新增怪物种类3"</f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3#1#11650000|3#3#4304|3#4#6457|3#5#4304|3#6#6457|3#7#4304|3#8#6457|3#9#1875|3#10#1875|3#11#1875|3#12#1875</v>
      </c>
      <c r="K216" s="154">
        <f t="shared" si="20"/>
        <v>70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>A217&amp;"转新增怪物种类3"</f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3#1#13610000|3#3#4735|3#4#7102|3#5#4735|3#6#7102|3#7#4735|3#8#7102|3#9#2000|3#10#2000|3#11#2000|3#12#2000</v>
      </c>
      <c r="K217" s="154">
        <f t="shared" si="20"/>
        <v>75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>A218&amp;"转新增怪物种类3"</f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3#1#16390000|3#3#5378|3#4#8067|3#5#5378|3#6#8067|3#7#5378|3#8#8067|3#9#2200|3#10#2200|3#11#2200|3#12#2200</v>
      </c>
      <c r="K218" s="154">
        <f t="shared" si="20"/>
        <v>81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>A219&amp;"转新增怪物种类3"</f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3#1#20960000|3#3#6064|3#4#9097|3#5#6064|3#6#9097|3#7#6064|3#8#9097|3#9#2400|3#10#2400|3#11#2400|3#12#2400</v>
      </c>
      <c r="K219" s="154">
        <f t="shared" si="20"/>
        <v>87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>A220&amp;"转新增怪物种类3"</f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3#1#25310000|3#3#6930|3#4#10395|3#5#6930|3#6#10395|3#7#6930|3#8#10395|3#9#2650|3#10#2650|3#11#2650|3#12#2650</v>
      </c>
      <c r="K220" s="154">
        <f t="shared" si="20"/>
        <v>93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>A221&amp;"转新增怪物种类3"</f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3#1#30280000|3#3#7859|3#4#11788|3#5#7859|3#6#11788|3#7#7859|3#8#11788|3#9#2900|3#10#2900|3#11#2900|3#12#2900</v>
      </c>
      <c r="K221" s="154">
        <f t="shared" si="20"/>
        <v>99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>A222&amp;"转新增怪物种类3"</f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3#1#36520000|3#3#8997|3#4#13496|3#5#8997|3#6#13496|3#7#8997|3#8#13496|3#9#3200|3#10#3200|3#11#3200|3#12#3200</v>
      </c>
      <c r="K222" s="154">
        <f t="shared" si="20"/>
        <v>106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>A223&amp;"转新增怪物种类3"</f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3#1#46530000|3#3#10223|3#4#15334|3#5#10223|3#6#15334|3#7#10223|3#8#15334|3#9#3500|3#10#3500|3#11#3500|3#12#3500</v>
      </c>
      <c r="K223" s="154">
        <f t="shared" si="20"/>
        <v>112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>A224&amp;"转新增怪物种类3"</f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3#1#54430000|3#3#11395|3#4#17092|3#5#11395|3#6#17092|3#7#11395|3#8#17092|3#9#3750|3#10#3750|3#11#3750|3#12#3750</v>
      </c>
      <c r="K224" s="154">
        <f t="shared" si="20"/>
        <v>119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>A225&amp;"转新增怪物种类3"</f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3#1#63350000|3#3#12662|3#4#18993|3#5#12662|3#6#18993|3#7#12662|3#8#18993|3#9#4000|3#10#4000|3#11#4000|3#12#4000</v>
      </c>
      <c r="K225" s="154">
        <f t="shared" si="20"/>
        <v>126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>A226&amp;"转新增怪物种类3"</f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3#1#77720000|3#3#14861|3#4#22292|3#5#14861|3#6#22292|3#7#14861|3#8#22292|3#9#4500|3#10#4500|3#11#4500|3#12#4500</v>
      </c>
      <c r="K226" s="154">
        <f t="shared" si="20"/>
        <v>132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>A227&amp;"转新增怪物种类3"</f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3#1#104880000|3#3#17688|3#4#26533|3#5#17688|3#6#26533|3#7#17688|3#8#26533|3#9#5000|3#10#5000|3#11#5000|3#12#5000</v>
      </c>
      <c r="K227" s="154">
        <f t="shared" si="20"/>
        <v>144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4050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6660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3#1#100000|3#3#162|3#4#243|3#5#162|3#6#243|3#7#162|3#8#243|3#9#100|3#10#100|3#11#100|3#12#100</v>
      </c>
      <c r="K229" s="154">
        <f>K89</f>
        <v>3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>A230&amp;"级新增怪物种类4"</f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10640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3#1#180000|3#3#248|3#4#372|3#5#248|3#6#372|3#7#248|3#8#372|3#9#150|3#10#150|3#11#150|3#12#150</v>
      </c>
      <c r="K230" s="154">
        <f t="shared" ref="K230:K255" si="21">K90</f>
        <v>6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>A231&amp;"级新增怪物种类4"</f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3#1#260000|3#3#336|3#4#504|3#5#336|3#6#504|3#7#336|3#8#504|3#9#200|3#10#200|3#11#200|3#12#200</v>
      </c>
      <c r="K231" s="154">
        <f t="shared" si="21"/>
        <v>10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>A232&amp;"级新增怪物种类4"</f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3#1#400000|3#3#428|3#4#642|3#5#428|3#6#642|3#7#428|3#8#642|3#9#250|3#10#250|3#11#250|3#12#250</v>
      </c>
      <c r="K232" s="154">
        <f t="shared" si="21"/>
        <v>14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>A233&amp;"级新增怪物种类4"</f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3#1#570000|3#3#568|3#4#852|3#5#568|3#6#852|3#7#568|3#8#852|3#9#325|3#10#325|3#11#325|3#12#325</v>
      </c>
      <c r="K233" s="154">
        <f t="shared" si="21"/>
        <v>18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>A234&amp;"级新增怪物种类4"</f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3#1#770000|3#3#712|3#4#1069|3#5#712|3#6#1069|3#7#712|3#8#1069|3#9#400|3#10#400|3#11#400|3#12#400</v>
      </c>
      <c r="K234" s="154">
        <f t="shared" si="21"/>
        <v>22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>A235&amp;"级新增怪物种类4"</f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3#1#1100000|3#3#864|3#4#1297|3#5#864|3#6#1297|3#7#864|3#8#1297|3#9#475|3#10#475|3#11#475|3#12#475</v>
      </c>
      <c r="K235" s="154">
        <f t="shared" si="21"/>
        <v>26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3#1#1390000|3#3#1024|3#4#1536|3#5#1024|3#6#1536|3#7#1024|3#8#1536|3#9#550|3#10#550|3#11#550|3#12#550</v>
      </c>
      <c r="K236" s="154">
        <f t="shared" si="21"/>
        <v>30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>A237&amp;"转新增怪物种类4"</f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3#1#1950000|3#3#1332|3#4#1999|3#5#1332|3#6#1999|3#7#1332|3#8#1999|3#9#700|3#10#700|3#11#700|3#12#700</v>
      </c>
      <c r="K237" s="154">
        <f t="shared" si="21"/>
        <v>35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>A238&amp;"转新增怪物种类4"</f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3#1#2750000|3#3#1755|3#4#2632|3#5#1755|3#6#2632|3#7#1755|3#8#2632|3#9#900|3#10#900|3#11#900|3#12#900</v>
      </c>
      <c r="K238" s="154">
        <f t="shared" si="21"/>
        <v>39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>A239&amp;"转新增怪物种类4"</f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3#1#4000000|3#3#2199|3#4#3298|3#5#2199|3#6#3298|3#7#2199|3#8#3298|3#9#1100|3#10#1100|3#11#1100|3#12#1100</v>
      </c>
      <c r="K239" s="154">
        <f t="shared" si="21"/>
        <v>44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>A240&amp;"转新增怪物种类4"</f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3#1#5090000|3#3#2615|3#4#3922|3#5#2615|3#6#3922|3#7#2615|3#8#3922|3#9#1275|3#10#1275|3#11#1275|3#12#1275</v>
      </c>
      <c r="K240" s="154">
        <f t="shared" si="21"/>
        <v>49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>A241&amp;"转新增怪物种类4"</f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3#1#6350000|3#3#3054|3#4#4581|3#5#3054|3#6#4581|3#7#3054|3#8#4581|3#9#1450|3#10#1450|3#11#1450|3#12#1450</v>
      </c>
      <c r="K241" s="154">
        <f t="shared" si="21"/>
        <v>54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>A242&amp;"转新增怪物种类4"</f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3#1#7690000|3#3#3464|3#4#5197|3#5#3464|3#6#5197|3#7#3464|3#8#5197|3#9#1600|3#10#1600|3#11#1600|3#12#1600</v>
      </c>
      <c r="K242" s="154">
        <f t="shared" si="21"/>
        <v>59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>A243&amp;"转新增怪物种类4"</f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3#1#9920000|3#3#3900|3#4#5850|3#5#3900|3#6#5850|3#7#3900|3#8#5850|3#9#1750|3#10#1750|3#11#1750|3#12#1750</v>
      </c>
      <c r="K243" s="154">
        <f t="shared" si="21"/>
        <v>64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>A244&amp;"转新增怪物种类4"</f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3#1#11650000|3#3#4304|3#4#6457|3#5#4304|3#6#6457|3#7#4304|3#8#6457|3#9#1875|3#10#1875|3#11#1875|3#12#1875</v>
      </c>
      <c r="K244" s="154">
        <f t="shared" si="21"/>
        <v>70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>A245&amp;"转新增怪物种类4"</f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3#1#13610000|3#3#4735|3#4#7102|3#5#4735|3#6#7102|3#7#4735|3#8#7102|3#9#2000|3#10#2000|3#11#2000|3#12#2000</v>
      </c>
      <c r="K245" s="154">
        <f t="shared" si="21"/>
        <v>75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>A246&amp;"转新增怪物种类4"</f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3#1#16390000|3#3#5378|3#4#8067|3#5#5378|3#6#8067|3#7#5378|3#8#8067|3#9#2200|3#10#2200|3#11#2200|3#12#2200</v>
      </c>
      <c r="K246" s="154">
        <f t="shared" si="21"/>
        <v>81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>A247&amp;"转新增怪物种类4"</f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3#1#20960000|3#3#6064|3#4#9097|3#5#6064|3#6#9097|3#7#6064|3#8#9097|3#9#2400|3#10#2400|3#11#2400|3#12#2400</v>
      </c>
      <c r="K247" s="154">
        <f t="shared" si="21"/>
        <v>87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>A248&amp;"转新增怪物种类4"</f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3#1#25310000|3#3#6930|3#4#10395|3#5#6930|3#6#10395|3#7#6930|3#8#10395|3#9#2650|3#10#2650|3#11#2650|3#12#2650</v>
      </c>
      <c r="K248" s="154">
        <f t="shared" si="21"/>
        <v>93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>A249&amp;"转新增怪物种类4"</f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3#1#30280000|3#3#7859|3#4#11788|3#5#7859|3#6#11788|3#7#7859|3#8#11788|3#9#2900|3#10#2900|3#11#2900|3#12#2900</v>
      </c>
      <c r="K249" s="154">
        <f t="shared" si="21"/>
        <v>99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>A250&amp;"转新增怪物种类4"</f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3#1#36520000|3#3#8997|3#4#13496|3#5#8997|3#6#13496|3#7#8997|3#8#13496|3#9#3200|3#10#3200|3#11#3200|3#12#3200</v>
      </c>
      <c r="K250" s="154">
        <f t="shared" si="21"/>
        <v>106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>A251&amp;"转新增怪物种类4"</f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3#1#46530000|3#3#10223|3#4#15334|3#5#10223|3#6#15334|3#7#10223|3#8#15334|3#9#3500|3#10#3500|3#11#3500|3#12#3500</v>
      </c>
      <c r="K251" s="154">
        <f t="shared" si="21"/>
        <v>112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>A252&amp;"转新增怪物种类4"</f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3#1#54430000|3#3#11395|3#4#17092|3#5#11395|3#6#17092|3#7#11395|3#8#17092|3#9#3750|3#10#3750|3#11#3750|3#12#3750</v>
      </c>
      <c r="K252" s="154">
        <f t="shared" si="21"/>
        <v>119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>A253&amp;"转新增怪物种类4"</f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3#1#63350000|3#3#12662|3#4#18993|3#5#12662|3#6#18993|3#7#12662|3#8#18993|3#9#4000|3#10#4000|3#11#4000|3#12#4000</v>
      </c>
      <c r="K253" s="154">
        <f t="shared" si="21"/>
        <v>126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>A254&amp;"转新增怪物种类4"</f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3#1#77720000|3#3#14861|3#4#22292|3#5#14861|3#6#22292|3#7#14861|3#8#22292|3#9#4500|3#10#4500|3#11#4500|3#12#4500</v>
      </c>
      <c r="K254" s="154">
        <f t="shared" si="21"/>
        <v>132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>A255&amp;"转新增怪物种类4"</f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3#1#104880000|3#3#17688|3#4#26533|3#5#17688|3#6#26533|3#7#17688|3#8#26533|3#9#5000|3#10#5000|3#11#5000|3#12#5000</v>
      </c>
      <c r="K255" s="154">
        <f t="shared" si="21"/>
        <v>144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4051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8330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3#1#100000|3#3#162|3#4#243|3#5#162|3#6#243|3#7#162|3#8#243|3#9#100|3#10#100|3#11#100|3#12#100</v>
      </c>
      <c r="K257" s="154">
        <f>K117</f>
        <v>3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>A258&amp;"级新增怪物种类5"</f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13310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3#1#180000|3#3#248|3#4#372|3#5#248|3#6#372|3#7#248|3#8#372|3#9#150|3#10#150|3#11#150|3#12#150</v>
      </c>
      <c r="K258" s="154">
        <f t="shared" ref="K258:K283" si="22">K118</f>
        <v>6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>A259&amp;"级新增怪物种类5"</f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3#1#260000|3#3#336|3#4#504|3#5#336|3#6#504|3#7#336|3#8#504|3#9#200|3#10#200|3#11#200|3#12#200</v>
      </c>
      <c r="K259" s="154">
        <f t="shared" si="22"/>
        <v>10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>A260&amp;"级新增怪物种类5"</f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3#1#400000|3#3#428|3#4#642|3#5#428|3#6#642|3#7#428|3#8#642|3#9#250|3#10#250|3#11#250|3#12#250</v>
      </c>
      <c r="K260" s="154">
        <f t="shared" si="22"/>
        <v>14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>A261&amp;"级新增怪物种类5"</f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3#1#570000|3#3#568|3#4#852|3#5#568|3#6#852|3#7#568|3#8#852|3#9#325|3#10#325|3#11#325|3#12#325</v>
      </c>
      <c r="K261" s="154">
        <f t="shared" si="22"/>
        <v>18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>A262&amp;"级新增怪物种类5"</f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3#1#770000|3#3#712|3#4#1069|3#5#712|3#6#1069|3#7#712|3#8#1069|3#9#400|3#10#400|3#11#400|3#12#400</v>
      </c>
      <c r="K262" s="154">
        <f t="shared" si="22"/>
        <v>22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>A263&amp;"级新增怪物种类5"</f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3#1#1100000|3#3#864|3#4#1297|3#5#864|3#6#1297|3#7#864|3#8#1297|3#9#475|3#10#475|3#11#475|3#12#475</v>
      </c>
      <c r="K263" s="154">
        <f t="shared" si="22"/>
        <v>26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3#1#1390000|3#3#1024|3#4#1536|3#5#1024|3#6#1536|3#7#1024|3#8#1536|3#9#550|3#10#550|3#11#550|3#12#550</v>
      </c>
      <c r="K264" s="154">
        <f t="shared" si="22"/>
        <v>30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>A265&amp;"转新增怪物种类5"</f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3#1#1950000|3#3#1332|3#4#1999|3#5#1332|3#6#1999|3#7#1332|3#8#1999|3#9#700|3#10#700|3#11#700|3#12#700</v>
      </c>
      <c r="K265" s="154">
        <f t="shared" si="22"/>
        <v>35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>A266&amp;"转新增怪物种类5"</f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3#1#2750000|3#3#1755|3#4#2632|3#5#1755|3#6#2632|3#7#1755|3#8#2632|3#9#900|3#10#900|3#11#900|3#12#900</v>
      </c>
      <c r="K266" s="154">
        <f t="shared" si="22"/>
        <v>39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>A267&amp;"转新增怪物种类5"</f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3#1#4000000|3#3#2199|3#4#3298|3#5#2199|3#6#3298|3#7#2199|3#8#3298|3#9#1100|3#10#1100|3#11#1100|3#12#1100</v>
      </c>
      <c r="K267" s="154">
        <f t="shared" si="22"/>
        <v>44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>A268&amp;"转新增怪物种类5"</f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3#1#5090000|3#3#2615|3#4#3922|3#5#2615|3#6#3922|3#7#2615|3#8#3922|3#9#1275|3#10#1275|3#11#1275|3#12#1275</v>
      </c>
      <c r="K268" s="154">
        <f t="shared" si="22"/>
        <v>49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>A269&amp;"转新增怪物种类5"</f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3#1#6350000|3#3#3054|3#4#4581|3#5#3054|3#6#4581|3#7#3054|3#8#4581|3#9#1450|3#10#1450|3#11#1450|3#12#1450</v>
      </c>
      <c r="K269" s="154">
        <f t="shared" si="22"/>
        <v>54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>A270&amp;"转新增怪物种类5"</f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3#1#7690000|3#3#3464|3#4#5197|3#5#3464|3#6#5197|3#7#3464|3#8#5197|3#9#1600|3#10#1600|3#11#1600|3#12#1600</v>
      </c>
      <c r="K270" s="154">
        <f t="shared" si="22"/>
        <v>59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>A271&amp;"转新增怪物种类5"</f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3#1#9920000|3#3#3900|3#4#5850|3#5#3900|3#6#5850|3#7#3900|3#8#5850|3#9#1750|3#10#1750|3#11#1750|3#12#1750</v>
      </c>
      <c r="K271" s="154">
        <f t="shared" si="22"/>
        <v>64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>A272&amp;"转新增怪物种类5"</f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3#1#11650000|3#3#4304|3#4#6457|3#5#4304|3#6#6457|3#7#4304|3#8#6457|3#9#1875|3#10#1875|3#11#1875|3#12#1875</v>
      </c>
      <c r="K272" s="154">
        <f t="shared" si="22"/>
        <v>70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>A273&amp;"转新增怪物种类5"</f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3#1#13610000|3#3#4735|3#4#7102|3#5#4735|3#6#7102|3#7#4735|3#8#7102|3#9#2000|3#10#2000|3#11#2000|3#12#2000</v>
      </c>
      <c r="K273" s="154">
        <f t="shared" si="22"/>
        <v>75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>A274&amp;"转新增怪物种类5"</f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3#1#16390000|3#3#5378|3#4#8067|3#5#5378|3#6#8067|3#7#5378|3#8#8067|3#9#2200|3#10#2200|3#11#2200|3#12#2200</v>
      </c>
      <c r="K274" s="154">
        <f t="shared" si="22"/>
        <v>81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>A275&amp;"转新增怪物种类5"</f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3#1#20960000|3#3#6064|3#4#9097|3#5#6064|3#6#9097|3#7#6064|3#8#9097|3#9#2400|3#10#2400|3#11#2400|3#12#2400</v>
      </c>
      <c r="K275" s="154">
        <f t="shared" si="22"/>
        <v>87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>A276&amp;"转新增怪物种类5"</f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3#1#25310000|3#3#6930|3#4#10395|3#5#6930|3#6#10395|3#7#6930|3#8#10395|3#9#2650|3#10#2650|3#11#2650|3#12#2650</v>
      </c>
      <c r="K276" s="154">
        <f t="shared" si="22"/>
        <v>93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>A277&amp;"转新增怪物种类5"</f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3#1#30280000|3#3#7859|3#4#11788|3#5#7859|3#6#11788|3#7#7859|3#8#11788|3#9#2900|3#10#2900|3#11#2900|3#12#2900</v>
      </c>
      <c r="K277" s="154">
        <f t="shared" si="22"/>
        <v>99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>A278&amp;"转新增怪物种类5"</f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3#1#36520000|3#3#8997|3#4#13496|3#5#8997|3#6#13496|3#7#8997|3#8#13496|3#9#3200|3#10#3200|3#11#3200|3#12#3200</v>
      </c>
      <c r="K278" s="154">
        <f t="shared" si="22"/>
        <v>106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>A279&amp;"转新增怪物种类5"</f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3#1#46530000|3#3#10223|3#4#15334|3#5#10223|3#6#15334|3#7#10223|3#8#15334|3#9#3500|3#10#3500|3#11#3500|3#12#3500</v>
      </c>
      <c r="K279" s="154">
        <f t="shared" si="22"/>
        <v>112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>A280&amp;"转新增怪物种类5"</f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3#1#54430000|3#3#11395|3#4#17092|3#5#11395|3#6#17092|3#7#11395|3#8#17092|3#9#3750|3#10#3750|3#11#3750|3#12#3750</v>
      </c>
      <c r="K280" s="154">
        <f t="shared" si="22"/>
        <v>119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>A281&amp;"转新增怪物种类5"</f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3#1#63350000|3#3#12662|3#4#18993|3#5#12662|3#6#18993|3#7#12662|3#8#18993|3#9#4000|3#10#4000|3#11#4000|3#12#4000</v>
      </c>
      <c r="K281" s="154">
        <f t="shared" si="22"/>
        <v>126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>A282&amp;"转新增怪物种类5"</f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3#1#77720000|3#3#14861|3#4#22292|3#5#14861|3#6#22292|3#7#14861|3#8#22292|3#9#4500|3#10#4500|3#11#4500|3#12#4500</v>
      </c>
      <c r="K282" s="154">
        <f t="shared" si="22"/>
        <v>132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>A283&amp;"转新增怪物种类5"</f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3#1#104880000|3#3#17688|3#4#26533|3#5#17688|3#6#26533|3#7#17688|3#8#26533|3#9#5000|3#10#5000|3#11#5000|3#12#5000</v>
      </c>
      <c r="K283" s="154">
        <f t="shared" si="22"/>
        <v>144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4052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10000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3#1#100000|3#3#162|3#4#243|3#5#162|3#6#243|3#7#162|3#8#243|3#9#100|3#10#100|3#11#100|3#12#100</v>
      </c>
      <c r="K285" s="154">
        <f>K145</f>
        <v>3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>A286&amp;"级新增怪物种类6"</f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15970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3#1#180000|3#3#248|3#4#372|3#5#248|3#6#372|3#7#248|3#8#372|3#9#150|3#10#150|3#11#150|3#12#150</v>
      </c>
      <c r="K286" s="154">
        <f t="shared" ref="K286:K311" si="23">K146</f>
        <v>6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>A287&amp;"级新增怪物种类6"</f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3#1#260000|3#3#336|3#4#504|3#5#336|3#6#504|3#7#336|3#8#504|3#9#200|3#10#200|3#11#200|3#12#200</v>
      </c>
      <c r="K287" s="154">
        <f t="shared" si="23"/>
        <v>10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>A288&amp;"级新增怪物种类6"</f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3#1#400000|3#3#428|3#4#642|3#5#428|3#6#642|3#7#428|3#8#642|3#9#250|3#10#250|3#11#250|3#12#250</v>
      </c>
      <c r="K288" s="154">
        <f t="shared" si="23"/>
        <v>14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>A289&amp;"级新增怪物种类6"</f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3#1#570000|3#3#568|3#4#852|3#5#568|3#6#852|3#7#568|3#8#852|3#9#325|3#10#325|3#11#325|3#12#325</v>
      </c>
      <c r="K289" s="154">
        <f t="shared" si="23"/>
        <v>18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>A290&amp;"级新增怪物种类6"</f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3#1#770000|3#3#712|3#4#1069|3#5#712|3#6#1069|3#7#712|3#8#1069|3#9#400|3#10#400|3#11#400|3#12#400</v>
      </c>
      <c r="K290" s="154">
        <f t="shared" si="23"/>
        <v>22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>A291&amp;"级新增怪物种类6"</f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3#1#1100000|3#3#864|3#4#1297|3#5#864|3#6#1297|3#7#864|3#8#1297|3#9#475|3#10#475|3#11#475|3#12#475</v>
      </c>
      <c r="K291" s="154">
        <f t="shared" si="23"/>
        <v>26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3#1#1390000|3#3#1024|3#4#1536|3#5#1024|3#6#1536|3#7#1024|3#8#1536|3#9#550|3#10#550|3#11#550|3#12#550</v>
      </c>
      <c r="K292" s="154">
        <f t="shared" si="23"/>
        <v>30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>A293&amp;"转新增怪物种类6"</f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3#1#1950000|3#3#1332|3#4#1999|3#5#1332|3#6#1999|3#7#1332|3#8#1999|3#9#700|3#10#700|3#11#700|3#12#700</v>
      </c>
      <c r="K293" s="154">
        <f t="shared" si="23"/>
        <v>35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>A294&amp;"转新增怪物种类6"</f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3#1#2750000|3#3#1755|3#4#2632|3#5#1755|3#6#2632|3#7#1755|3#8#2632|3#9#900|3#10#900|3#11#900|3#12#900</v>
      </c>
      <c r="K294" s="154">
        <f t="shared" si="23"/>
        <v>39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>A295&amp;"转新增怪物种类6"</f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3#1#4000000|3#3#2199|3#4#3298|3#5#2199|3#6#3298|3#7#2199|3#8#3298|3#9#1100|3#10#1100|3#11#1100|3#12#1100</v>
      </c>
      <c r="K295" s="154">
        <f t="shared" si="23"/>
        <v>44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>A296&amp;"转新增怪物种类6"</f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3#1#5090000|3#3#2615|3#4#3922|3#5#2615|3#6#3922|3#7#2615|3#8#3922|3#9#1275|3#10#1275|3#11#1275|3#12#1275</v>
      </c>
      <c r="K296" s="154">
        <f t="shared" si="23"/>
        <v>49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>A297&amp;"转新增怪物种类6"</f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3#1#6350000|3#3#3054|3#4#4581|3#5#3054|3#6#4581|3#7#3054|3#8#4581|3#9#1450|3#10#1450|3#11#1450|3#12#1450</v>
      </c>
      <c r="K297" s="154">
        <f t="shared" si="23"/>
        <v>54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>A298&amp;"转新增怪物种类6"</f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3#1#7690000|3#3#3464|3#4#5197|3#5#3464|3#6#5197|3#7#3464|3#8#5197|3#9#1600|3#10#1600|3#11#1600|3#12#1600</v>
      </c>
      <c r="K298" s="154">
        <f t="shared" si="23"/>
        <v>59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>A299&amp;"转新增怪物种类6"</f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3#1#9920000|3#3#3900|3#4#5850|3#5#3900|3#6#5850|3#7#3900|3#8#5850|3#9#1750|3#10#1750|3#11#1750|3#12#1750</v>
      </c>
      <c r="K299" s="154">
        <f t="shared" si="23"/>
        <v>64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>A300&amp;"转新增怪物种类6"</f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3#1#11650000|3#3#4304|3#4#6457|3#5#4304|3#6#6457|3#7#4304|3#8#6457|3#9#1875|3#10#1875|3#11#1875|3#12#1875</v>
      </c>
      <c r="K300" s="154">
        <f t="shared" si="23"/>
        <v>70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>A301&amp;"转新增怪物种类6"</f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3#1#13610000|3#3#4735|3#4#7102|3#5#4735|3#6#7102|3#7#4735|3#8#7102|3#9#2000|3#10#2000|3#11#2000|3#12#2000</v>
      </c>
      <c r="K301" s="154">
        <f t="shared" si="23"/>
        <v>75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>A302&amp;"转新增怪物种类6"</f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3#1#16390000|3#3#5378|3#4#8067|3#5#5378|3#6#8067|3#7#5378|3#8#8067|3#9#2200|3#10#2200|3#11#2200|3#12#2200</v>
      </c>
      <c r="K302" s="154">
        <f t="shared" si="23"/>
        <v>81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>A303&amp;"转新增怪物种类6"</f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3#1#20960000|3#3#6064|3#4#9097|3#5#6064|3#6#9097|3#7#6064|3#8#9097|3#9#2400|3#10#2400|3#11#2400|3#12#2400</v>
      </c>
      <c r="K303" s="154">
        <f t="shared" si="23"/>
        <v>87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>A304&amp;"转新增怪物种类6"</f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3#1#25310000|3#3#6930|3#4#10395|3#5#6930|3#6#10395|3#7#6930|3#8#10395|3#9#2650|3#10#2650|3#11#2650|3#12#2650</v>
      </c>
      <c r="K304" s="154">
        <f t="shared" si="23"/>
        <v>93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>A305&amp;"转新增怪物种类6"</f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3#1#30280000|3#3#7859|3#4#11788|3#5#7859|3#6#11788|3#7#7859|3#8#11788|3#9#2900|3#10#2900|3#11#2900|3#12#2900</v>
      </c>
      <c r="K305" s="154">
        <f t="shared" si="23"/>
        <v>99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>A306&amp;"转新增怪物种类6"</f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3#1#36520000|3#3#8997|3#4#13496|3#5#8997|3#6#13496|3#7#8997|3#8#13496|3#9#3200|3#10#3200|3#11#3200|3#12#3200</v>
      </c>
      <c r="K306" s="154">
        <f t="shared" si="23"/>
        <v>106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>A307&amp;"转新增怪物种类6"</f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3#1#46530000|3#3#10223|3#4#15334|3#5#10223|3#6#15334|3#7#10223|3#8#15334|3#9#3500|3#10#3500|3#11#3500|3#12#3500</v>
      </c>
      <c r="K307" s="154">
        <f t="shared" si="23"/>
        <v>112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>A308&amp;"转新增怪物种类6"</f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3#1#54430000|3#3#11395|3#4#17092|3#5#11395|3#6#17092|3#7#11395|3#8#17092|3#9#3750|3#10#3750|3#11#3750|3#12#3750</v>
      </c>
      <c r="K308" s="154">
        <f t="shared" si="23"/>
        <v>119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>A309&amp;"转新增怪物种类6"</f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3#1#63350000|3#3#12662|3#4#18993|3#5#12662|3#6#18993|3#7#12662|3#8#18993|3#9#4000|3#10#4000|3#11#4000|3#12#4000</v>
      </c>
      <c r="K309" s="154">
        <f t="shared" si="23"/>
        <v>126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>A310&amp;"转新增怪物种类6"</f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3#1#77720000|3#3#14861|3#4#22292|3#5#14861|3#6#22292|3#7#14861|3#8#22292|3#9#4500|3#10#4500|3#11#4500|3#12#4500</v>
      </c>
      <c r="K310" s="154">
        <f t="shared" si="23"/>
        <v>132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>A311&amp;"转新增怪物种类6"</f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3#1#104880000|3#3#17688|3#4#26533|3#5#17688|3#6#26533|3#7#17688|3#8#26533|3#9#5000|3#10#5000|3#11#5000|3#12#5000</v>
      </c>
      <c r="K311" s="154">
        <f t="shared" si="23"/>
        <v>144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4053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11660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3#1#100000|3#3#162|3#4#243|3#5#162|3#6#243|3#7#162|3#8#243|3#9#100|3#10#100|3#11#100|3#12#100</v>
      </c>
      <c r="K313" s="154">
        <f>K173</f>
        <v>3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>A314&amp;"级新增怪物种类7"</f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18630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3#1#180000|3#3#248|3#4#372|3#5#248|3#6#372|3#7#248|3#8#372|3#9#150|3#10#150|3#11#150|3#12#150</v>
      </c>
      <c r="K314" s="154">
        <f t="shared" ref="K314:K339" si="24">K174</f>
        <v>6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>A315&amp;"级新增怪物种类7"</f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3#1#260000|3#3#336|3#4#504|3#5#336|3#6#504|3#7#336|3#8#504|3#9#200|3#10#200|3#11#200|3#12#200</v>
      </c>
      <c r="K315" s="154">
        <f t="shared" si="24"/>
        <v>10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>A316&amp;"级新增怪物种类7"</f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3#1#400000|3#3#428|3#4#642|3#5#428|3#6#642|3#7#428|3#8#642|3#9#250|3#10#250|3#11#250|3#12#250</v>
      </c>
      <c r="K316" s="154">
        <f t="shared" si="24"/>
        <v>14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>A317&amp;"级新增怪物种类7"</f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3#1#570000|3#3#568|3#4#852|3#5#568|3#6#852|3#7#568|3#8#852|3#9#325|3#10#325|3#11#325|3#12#325</v>
      </c>
      <c r="K317" s="154">
        <f t="shared" si="24"/>
        <v>18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>A318&amp;"级新增怪物种类7"</f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3#1#770000|3#3#712|3#4#1069|3#5#712|3#6#1069|3#7#712|3#8#1069|3#9#400|3#10#400|3#11#400|3#12#400</v>
      </c>
      <c r="K318" s="154">
        <f t="shared" si="24"/>
        <v>22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>A319&amp;"级新增怪物种类7"</f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3#1#1100000|3#3#864|3#4#1297|3#5#864|3#6#1297|3#7#864|3#8#1297|3#9#475|3#10#475|3#11#475|3#12#475</v>
      </c>
      <c r="K319" s="154">
        <f t="shared" si="24"/>
        <v>26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3#1#1390000|3#3#1024|3#4#1536|3#5#1024|3#6#1536|3#7#1024|3#8#1536|3#9#550|3#10#550|3#11#550|3#12#550</v>
      </c>
      <c r="K320" s="154">
        <f t="shared" si="24"/>
        <v>30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>A321&amp;"转新增怪物种类7"</f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3#1#1950000|3#3#1332|3#4#1999|3#5#1332|3#6#1999|3#7#1332|3#8#1999|3#9#700|3#10#700|3#11#700|3#12#700</v>
      </c>
      <c r="K321" s="154">
        <f t="shared" si="24"/>
        <v>35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>A322&amp;"转新增怪物种类7"</f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3#1#2750000|3#3#1755|3#4#2632|3#5#1755|3#6#2632|3#7#1755|3#8#2632|3#9#900|3#10#900|3#11#900|3#12#900</v>
      </c>
      <c r="K322" s="154">
        <f t="shared" si="24"/>
        <v>39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>A323&amp;"转新增怪物种类7"</f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3#1#4000000|3#3#2199|3#4#3298|3#5#2199|3#6#3298|3#7#2199|3#8#3298|3#9#1100|3#10#1100|3#11#1100|3#12#1100</v>
      </c>
      <c r="K323" s="154">
        <f t="shared" si="24"/>
        <v>44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>A324&amp;"转新增怪物种类7"</f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3#1#5090000|3#3#2615|3#4#3922|3#5#2615|3#6#3922|3#7#2615|3#8#3922|3#9#1275|3#10#1275|3#11#1275|3#12#1275</v>
      </c>
      <c r="K324" s="154">
        <f t="shared" si="24"/>
        <v>49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>A325&amp;"转新增怪物种类7"</f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3#1#6350000|3#3#3054|3#4#4581|3#5#3054|3#6#4581|3#7#3054|3#8#4581|3#9#1450|3#10#1450|3#11#1450|3#12#1450</v>
      </c>
      <c r="K325" s="154">
        <f t="shared" si="24"/>
        <v>54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>A326&amp;"转新增怪物种类7"</f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3#1#7690000|3#3#3464|3#4#5197|3#5#3464|3#6#5197|3#7#3464|3#8#5197|3#9#1600|3#10#1600|3#11#1600|3#12#1600</v>
      </c>
      <c r="K326" s="154">
        <f t="shared" si="24"/>
        <v>59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>A327&amp;"转新增怪物种类7"</f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3#1#9920000|3#3#3900|3#4#5850|3#5#3900|3#6#5850|3#7#3900|3#8#5850|3#9#1750|3#10#1750|3#11#1750|3#12#1750</v>
      </c>
      <c r="K327" s="154">
        <f t="shared" si="24"/>
        <v>64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>A328&amp;"转新增怪物种类7"</f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3#1#11650000|3#3#4304|3#4#6457|3#5#4304|3#6#6457|3#7#4304|3#8#6457|3#9#1875|3#10#1875|3#11#1875|3#12#1875</v>
      </c>
      <c r="K328" s="154">
        <f t="shared" si="24"/>
        <v>70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>A329&amp;"转新增怪物种类7"</f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3#1#13610000|3#3#4735|3#4#7102|3#5#4735|3#6#7102|3#7#4735|3#8#7102|3#9#2000|3#10#2000|3#11#2000|3#12#2000</v>
      </c>
      <c r="K329" s="154">
        <f t="shared" si="24"/>
        <v>75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>A330&amp;"转新增怪物种类7"</f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3#1#16390000|3#3#5378|3#4#8067|3#5#5378|3#6#8067|3#7#5378|3#8#8067|3#9#2200|3#10#2200|3#11#2200|3#12#2200</v>
      </c>
      <c r="K330" s="154">
        <f t="shared" si="24"/>
        <v>81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>A331&amp;"转新增怪物种类7"</f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3#1#20960000|3#3#6064|3#4#9097|3#5#6064|3#6#9097|3#7#6064|3#8#9097|3#9#2400|3#10#2400|3#11#2400|3#12#2400</v>
      </c>
      <c r="K331" s="154">
        <f t="shared" si="24"/>
        <v>87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>A332&amp;"转新增怪物种类7"</f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3#1#25310000|3#3#6930|3#4#10395|3#5#6930|3#6#10395|3#7#6930|3#8#10395|3#9#2650|3#10#2650|3#11#2650|3#12#2650</v>
      </c>
      <c r="K332" s="154">
        <f t="shared" si="24"/>
        <v>93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>A333&amp;"转新增怪物种类7"</f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3#1#30280000|3#3#7859|3#4#11788|3#5#7859|3#6#11788|3#7#7859|3#8#11788|3#9#2900|3#10#2900|3#11#2900|3#12#2900</v>
      </c>
      <c r="K333" s="154">
        <f t="shared" si="24"/>
        <v>99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>A334&amp;"转新增怪物种类7"</f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3#1#36520000|3#3#8997|3#4#13496|3#5#8997|3#6#13496|3#7#8997|3#8#13496|3#9#3200|3#10#3200|3#11#3200|3#12#3200</v>
      </c>
      <c r="K334" s="154">
        <f t="shared" si="24"/>
        <v>106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>A335&amp;"转新增怪物种类7"</f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3#1#46530000|3#3#10223|3#4#15334|3#5#10223|3#6#15334|3#7#10223|3#8#15334|3#9#3500|3#10#3500|3#11#3500|3#12#3500</v>
      </c>
      <c r="K335" s="154">
        <f t="shared" si="24"/>
        <v>112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>A336&amp;"转新增怪物种类7"</f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3#1#54430000|3#3#11395|3#4#17092|3#5#11395|3#6#17092|3#7#11395|3#8#17092|3#9#3750|3#10#3750|3#11#3750|3#12#3750</v>
      </c>
      <c r="K336" s="154">
        <f t="shared" si="24"/>
        <v>119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>A337&amp;"转新增怪物种类7"</f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3#1#63350000|3#3#12662|3#4#18993|3#5#12662|3#6#18993|3#7#12662|3#8#18993|3#9#4000|3#10#4000|3#11#4000|3#12#4000</v>
      </c>
      <c r="K337" s="154">
        <f t="shared" si="24"/>
        <v>126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>A338&amp;"转新增怪物种类7"</f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3#1#77720000|3#3#14861|3#4#22292|3#5#14861|3#6#22292|3#7#14861|3#8#22292|3#9#4500|3#10#4500|3#11#4500|3#12#4500</v>
      </c>
      <c r="K338" s="154">
        <f t="shared" si="24"/>
        <v>132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>A339&amp;"转新增怪物种类7"</f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3#1#104880000|3#3#17688|3#4#26533|3#5#17688|3#6#26533|3#7#17688|3#8#26533|3#9#5000|3#10#5000|3#11#5000|3#12#5000</v>
      </c>
      <c r="K339" s="154">
        <f t="shared" si="24"/>
        <v>144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topLeftCell="BS3" zoomScaleNormal="100" workbookViewId="0">
      <selection activeCell="CI20" sqref="CI20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3724</v>
      </c>
      <c r="B1" s="225" t="s">
        <v>3720</v>
      </c>
      <c r="C1" s="225"/>
      <c r="D1" s="225"/>
      <c r="E1" s="225"/>
      <c r="F1" s="225"/>
      <c r="G1" s="225"/>
      <c r="H1" s="230" t="s">
        <v>3655</v>
      </c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30" t="s">
        <v>27</v>
      </c>
      <c r="AT1" s="231"/>
      <c r="AU1" s="231"/>
      <c r="AV1" s="231"/>
      <c r="AW1" s="231"/>
      <c r="AX1" s="231"/>
      <c r="AY1" s="231"/>
      <c r="AZ1" s="231"/>
      <c r="BA1" s="231"/>
      <c r="BB1" s="231"/>
      <c r="BC1" s="231"/>
      <c r="BD1" s="231"/>
      <c r="BE1" s="231"/>
      <c r="BF1" s="231"/>
      <c r="BG1" s="231"/>
      <c r="BH1" s="231"/>
      <c r="BI1" s="231"/>
      <c r="BJ1" s="231"/>
      <c r="BK1" s="231"/>
      <c r="BL1" s="231"/>
      <c r="BM1" s="231"/>
      <c r="BN1" s="231"/>
      <c r="BO1" s="231"/>
      <c r="BP1" s="240"/>
      <c r="BQ1" s="236" t="s">
        <v>3652</v>
      </c>
      <c r="BR1" s="236"/>
      <c r="BS1" s="236"/>
      <c r="BT1" s="236"/>
      <c r="BU1" s="236"/>
      <c r="BV1" s="236"/>
      <c r="BW1" s="236"/>
      <c r="BX1" s="236"/>
      <c r="BY1" s="236"/>
      <c r="BZ1" s="236"/>
      <c r="CA1" s="236"/>
      <c r="CB1" s="236"/>
      <c r="CC1" s="236"/>
      <c r="CD1" s="236"/>
      <c r="CE1" s="236"/>
      <c r="CF1" s="236"/>
      <c r="CG1" s="236"/>
      <c r="CH1" s="236"/>
      <c r="CI1" s="236"/>
      <c r="CJ1" s="236"/>
      <c r="CK1" s="236"/>
      <c r="CL1" s="236"/>
      <c r="CM1" s="236"/>
      <c r="CN1" s="236"/>
      <c r="CO1" s="236"/>
      <c r="CP1" s="236"/>
    </row>
    <row r="2" spans="1:115" ht="16.5" x14ac:dyDescent="0.2">
      <c r="A2" s="4"/>
      <c r="B2" s="237" t="s">
        <v>3721</v>
      </c>
      <c r="C2" s="238"/>
      <c r="D2" s="238"/>
      <c r="E2" s="238"/>
      <c r="F2" s="239"/>
      <c r="G2" s="10">
        <f>参数调整!K3</f>
        <v>0.5</v>
      </c>
      <c r="H2" s="10">
        <f>参数调整!K4</f>
        <v>0.6</v>
      </c>
      <c r="I2" s="10"/>
      <c r="J2" s="10"/>
      <c r="K2" s="10">
        <f>参数调整!K5</f>
        <v>0.65</v>
      </c>
      <c r="L2" s="10"/>
      <c r="M2" s="10"/>
      <c r="N2" s="10">
        <f>参数调整!K6</f>
        <v>0.7</v>
      </c>
      <c r="O2" s="10"/>
      <c r="P2" s="10"/>
      <c r="Q2" s="10">
        <f>参数调整!K7</f>
        <v>0.75</v>
      </c>
      <c r="R2" s="10"/>
      <c r="S2" s="10"/>
      <c r="T2" s="10">
        <f>参数调整!K8</f>
        <v>1.1000000000000001</v>
      </c>
      <c r="U2" s="10"/>
      <c r="V2" s="10"/>
      <c r="W2" s="10">
        <f>参数调整!K9</f>
        <v>1</v>
      </c>
      <c r="X2" s="10"/>
      <c r="Y2" s="10"/>
      <c r="Z2" s="10">
        <f>参数调整!K10</f>
        <v>1</v>
      </c>
      <c r="AA2" s="10"/>
      <c r="AB2" s="10"/>
      <c r="AC2" s="10">
        <f>参数调整!K11</f>
        <v>1</v>
      </c>
      <c r="AD2" s="10"/>
      <c r="AE2" s="10"/>
      <c r="AF2" s="10">
        <f>参数调整!K12</f>
        <v>1</v>
      </c>
      <c r="AG2" s="10"/>
      <c r="AH2" s="10"/>
      <c r="AI2" s="10">
        <f>参数调整!K13</f>
        <v>1</v>
      </c>
      <c r="AJ2" s="10"/>
      <c r="AK2" s="10"/>
      <c r="AL2" s="10">
        <f>参数调整!K14</f>
        <v>1</v>
      </c>
      <c r="AM2" s="10"/>
      <c r="AN2" s="10"/>
      <c r="AO2" s="10">
        <f>参数调整!K15</f>
        <v>1</v>
      </c>
      <c r="AP2" s="10"/>
      <c r="AQ2" s="10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999</v>
      </c>
      <c r="AY2" s="15">
        <f>参数调整!$K24</f>
        <v>999</v>
      </c>
      <c r="AZ2" s="15">
        <f>参数调整!$K25</f>
        <v>999</v>
      </c>
      <c r="BA2" s="15">
        <f>参数调整!$K26</f>
        <v>999</v>
      </c>
      <c r="BB2" s="15">
        <f>参数调整!$K27</f>
        <v>999</v>
      </c>
      <c r="BC2" s="15">
        <f>参数调整!$K28</f>
        <v>999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3725</v>
      </c>
      <c r="B3" s="15" t="s">
        <v>0</v>
      </c>
      <c r="C3" s="15" t="s">
        <v>3726</v>
      </c>
      <c r="D3" s="10" t="s">
        <v>37</v>
      </c>
      <c r="E3" s="10" t="s">
        <v>38</v>
      </c>
      <c r="F3" s="15" t="s">
        <v>3</v>
      </c>
      <c r="G3" s="10" t="s">
        <v>2</v>
      </c>
      <c r="H3" s="10" t="s">
        <v>4</v>
      </c>
      <c r="I3" s="10" t="s">
        <v>3628</v>
      </c>
      <c r="J3" s="10" t="s">
        <v>5</v>
      </c>
      <c r="K3" s="10" t="s">
        <v>6</v>
      </c>
      <c r="L3" s="10" t="s">
        <v>3628</v>
      </c>
      <c r="M3" s="10" t="s">
        <v>7</v>
      </c>
      <c r="N3" s="10" t="s">
        <v>8</v>
      </c>
      <c r="O3" s="10" t="s">
        <v>3628</v>
      </c>
      <c r="P3" s="10" t="s">
        <v>9</v>
      </c>
      <c r="Q3" s="10" t="s">
        <v>10</v>
      </c>
      <c r="R3" s="10" t="s">
        <v>3628</v>
      </c>
      <c r="S3" s="10" t="s">
        <v>11</v>
      </c>
      <c r="T3" s="10" t="s">
        <v>12</v>
      </c>
      <c r="U3" s="10" t="s">
        <v>3628</v>
      </c>
      <c r="V3" s="10" t="s">
        <v>13</v>
      </c>
      <c r="W3" s="10" t="s">
        <v>3996</v>
      </c>
      <c r="X3" s="10" t="s">
        <v>3628</v>
      </c>
      <c r="Y3" s="10" t="s">
        <v>3997</v>
      </c>
      <c r="Z3" s="10" t="s">
        <v>3998</v>
      </c>
      <c r="AA3" s="10" t="s">
        <v>3628</v>
      </c>
      <c r="AB3" s="10" t="s">
        <v>3999</v>
      </c>
      <c r="AC3" s="10" t="s">
        <v>4000</v>
      </c>
      <c r="AD3" s="10" t="s">
        <v>3628</v>
      </c>
      <c r="AE3" s="10" t="s">
        <v>4001</v>
      </c>
      <c r="AF3" s="10" t="s">
        <v>4002</v>
      </c>
      <c r="AG3" s="10" t="s">
        <v>3628</v>
      </c>
      <c r="AH3" s="10" t="s">
        <v>4003</v>
      </c>
      <c r="AI3" s="10" t="s">
        <v>4004</v>
      </c>
      <c r="AJ3" s="10" t="s">
        <v>3628</v>
      </c>
      <c r="AK3" s="10" t="s">
        <v>4005</v>
      </c>
      <c r="AL3" s="10" t="s">
        <v>4006</v>
      </c>
      <c r="AM3" s="10" t="s">
        <v>3628</v>
      </c>
      <c r="AN3" s="10" t="s">
        <v>4007</v>
      </c>
      <c r="AO3" s="10" t="s">
        <v>4008</v>
      </c>
      <c r="AP3" s="10" t="s">
        <v>3628</v>
      </c>
      <c r="AQ3" s="10" t="s">
        <v>4009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4025</v>
      </c>
      <c r="AY3" s="166" t="s">
        <v>4026</v>
      </c>
      <c r="AZ3" s="166" t="s">
        <v>4027</v>
      </c>
      <c r="BA3" s="166" t="s">
        <v>4028</v>
      </c>
      <c r="BB3" s="166" t="s">
        <v>4029</v>
      </c>
      <c r="BC3" s="166" t="s">
        <v>4030</v>
      </c>
      <c r="BD3" s="166" t="s">
        <v>4031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4039</v>
      </c>
      <c r="BK3" s="145" t="s">
        <v>4040</v>
      </c>
      <c r="BL3" s="145" t="s">
        <v>4041</v>
      </c>
      <c r="BM3" s="145" t="s">
        <v>4042</v>
      </c>
      <c r="BN3" s="145" t="s">
        <v>4043</v>
      </c>
      <c r="BO3" s="145" t="s">
        <v>4044</v>
      </c>
      <c r="BP3" s="145" t="s">
        <v>4045</v>
      </c>
      <c r="BQ3" s="149" t="s">
        <v>55</v>
      </c>
      <c r="BR3" s="151" t="s">
        <v>3654</v>
      </c>
      <c r="BS3" s="151" t="s">
        <v>3653</v>
      </c>
      <c r="BT3" s="150" t="s">
        <v>3336</v>
      </c>
      <c r="BU3" s="149" t="s">
        <v>2853</v>
      </c>
      <c r="BV3" s="149" t="s">
        <v>3165</v>
      </c>
      <c r="BW3" s="149" t="s">
        <v>2389</v>
      </c>
      <c r="BX3" s="149" t="s">
        <v>1930</v>
      </c>
      <c r="BY3" s="149" t="s">
        <v>3643</v>
      </c>
      <c r="BZ3" s="149" t="s">
        <v>1931</v>
      </c>
      <c r="CA3" s="149" t="s">
        <v>1932</v>
      </c>
      <c r="CB3" s="149" t="s">
        <v>1934</v>
      </c>
      <c r="CC3" s="149" t="s">
        <v>1935</v>
      </c>
      <c r="CD3" s="149" t="s">
        <v>3644</v>
      </c>
      <c r="CE3" s="149" t="s">
        <v>3645</v>
      </c>
      <c r="CF3" s="149" t="s">
        <v>3646</v>
      </c>
      <c r="CG3" s="149" t="s">
        <v>3647</v>
      </c>
      <c r="CH3" s="149" t="s">
        <v>3641</v>
      </c>
      <c r="CI3" s="149" t="s">
        <v>2385</v>
      </c>
      <c r="CJ3" s="149" t="s">
        <v>3648</v>
      </c>
      <c r="CK3" s="149" t="s">
        <v>2386</v>
      </c>
      <c r="CL3" s="149" t="s">
        <v>2387</v>
      </c>
      <c r="CM3" s="149" t="s">
        <v>3649</v>
      </c>
      <c r="CN3" s="149" t="s">
        <v>3650</v>
      </c>
      <c r="CO3" s="149" t="s">
        <v>3637</v>
      </c>
      <c r="CP3" s="149" t="s">
        <v>3651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0.5</v>
      </c>
      <c r="B4" s="15">
        <f>参数调整!C4</f>
        <v>35</v>
      </c>
      <c r="C4" s="15">
        <f>参数调整!D4</f>
        <v>0</v>
      </c>
      <c r="D4" s="10">
        <f t="shared" ref="D4:D21" si="0">10*F4</f>
        <v>2000</v>
      </c>
      <c r="E4" s="10">
        <f t="shared" ref="E4:E21" si="1">20*F4</f>
        <v>4000</v>
      </c>
      <c r="F4" s="15">
        <f>参数调整!E4</f>
        <v>200</v>
      </c>
      <c r="G4" s="10">
        <f t="shared" ref="G4:G21" si="2">1/2*F4</f>
        <v>100</v>
      </c>
      <c r="H4" s="10">
        <f t="shared" ref="H4:H30" si="3">0.6*F4</f>
        <v>120</v>
      </c>
      <c r="I4" s="10">
        <f t="shared" ref="I4:I30" si="4">INT(H4/BS4)</f>
        <v>121</v>
      </c>
      <c r="J4" s="10">
        <f>参数调整!K3*H4</f>
        <v>60</v>
      </c>
      <c r="K4" s="10">
        <f>INT(K$2*F4)</f>
        <v>130</v>
      </c>
      <c r="L4" s="10">
        <f t="shared" ref="L4:L30" si="5">INT(K4/BS4)</f>
        <v>132</v>
      </c>
      <c r="M4" s="10">
        <f>INT(参数调整!K3*K4)</f>
        <v>65</v>
      </c>
      <c r="N4" s="10">
        <f>F4*N$2</f>
        <v>140</v>
      </c>
      <c r="O4" s="10">
        <f t="shared" ref="O4:O30" si="6">INT(N4/BS4)</f>
        <v>142</v>
      </c>
      <c r="P4" s="10">
        <f>INT(参数调整!K3*N4)</f>
        <v>70</v>
      </c>
      <c r="Q4" s="10">
        <f>INT(Q$2*F4)</f>
        <v>150</v>
      </c>
      <c r="R4" s="10">
        <f t="shared" ref="R4:R30" si="7">INT(Q4/BS4)</f>
        <v>152</v>
      </c>
      <c r="S4" s="10">
        <f>INT(参数调整!K3*Q4)</f>
        <v>75</v>
      </c>
      <c r="T4" s="10">
        <f t="shared" ref="T4:T30" si="8">T$2*F4</f>
        <v>220.00000000000003</v>
      </c>
      <c r="U4" s="10">
        <f t="shared" ref="U4:U30" si="9">INT(T4/BS4)</f>
        <v>223</v>
      </c>
      <c r="V4" s="10">
        <f>INT(参数调整!K3*T4)</f>
        <v>110</v>
      </c>
      <c r="W4" s="10">
        <f>W$2*$F4</f>
        <v>200</v>
      </c>
      <c r="X4" s="10">
        <f>INT(W4/$BS4)</f>
        <v>203</v>
      </c>
      <c r="Y4" s="10">
        <f>INT(参数调整!$K$3*W4)</f>
        <v>100</v>
      </c>
      <c r="Z4" s="10">
        <f>Z$2*$F4</f>
        <v>200</v>
      </c>
      <c r="AA4" s="10">
        <f>INT(Z4/$BS4)</f>
        <v>203</v>
      </c>
      <c r="AB4" s="10">
        <f>INT(参数调整!$K$3*Z4)</f>
        <v>100</v>
      </c>
      <c r="AC4" s="10">
        <f>AC$2*$F4</f>
        <v>200</v>
      </c>
      <c r="AD4" s="10">
        <f>INT(AC4/$BS4)</f>
        <v>203</v>
      </c>
      <c r="AE4" s="10">
        <f>INT(参数调整!$K$3*AC4)</f>
        <v>100</v>
      </c>
      <c r="AF4" s="10">
        <f>AF$2*$F4</f>
        <v>200</v>
      </c>
      <c r="AG4" s="10">
        <f>INT(AF4/$BS4)</f>
        <v>203</v>
      </c>
      <c r="AH4" s="10">
        <f>INT(参数调整!$K$3*AF4)</f>
        <v>100</v>
      </c>
      <c r="AI4" s="10">
        <f>AI$2*$F4</f>
        <v>200</v>
      </c>
      <c r="AJ4" s="10">
        <f>INT(AI4/$BS4)</f>
        <v>203</v>
      </c>
      <c r="AK4" s="10">
        <f>INT(参数调整!$K$3*AI4)</f>
        <v>100</v>
      </c>
      <c r="AL4" s="10">
        <f>AL$2*$F4</f>
        <v>200</v>
      </c>
      <c r="AM4" s="10">
        <f>INT(AL4/$BS4)</f>
        <v>203</v>
      </c>
      <c r="AN4" s="10">
        <f>INT(参数调整!$K$3*AL4)</f>
        <v>100</v>
      </c>
      <c r="AO4" s="10">
        <f>AO$2*$F4</f>
        <v>200</v>
      </c>
      <c r="AP4" s="10">
        <f>INT(AO4/$BS4)</f>
        <v>203</v>
      </c>
      <c r="AQ4" s="10">
        <f>INT(参数调整!$K$3*AO4)</f>
        <v>100</v>
      </c>
      <c r="AR4" s="165">
        <f t="shared" ref="AR4:AW4" si="10">AR$2</f>
        <v>1</v>
      </c>
      <c r="AS4" s="165">
        <f>AS$2</f>
        <v>10</v>
      </c>
      <c r="AT4" s="165">
        <f t="shared" si="10"/>
        <v>120</v>
      </c>
      <c r="AU4" s="165">
        <f t="shared" si="10"/>
        <v>600</v>
      </c>
      <c r="AV4" s="165">
        <f t="shared" si="10"/>
        <v>1200</v>
      </c>
      <c r="AW4" s="165">
        <f t="shared" si="10"/>
        <v>1800</v>
      </c>
      <c r="AX4" s="165">
        <f>AX$2</f>
        <v>999</v>
      </c>
      <c r="AY4" s="165">
        <f>AY$2</f>
        <v>999</v>
      </c>
      <c r="AZ4" s="165">
        <f>AZ$2</f>
        <v>999</v>
      </c>
      <c r="BA4" s="165">
        <f t="shared" ref="BA4:BD19" si="11">BA$2</f>
        <v>999</v>
      </c>
      <c r="BB4" s="165">
        <f t="shared" si="11"/>
        <v>999</v>
      </c>
      <c r="BC4" s="165">
        <f t="shared" si="11"/>
        <v>999</v>
      </c>
      <c r="BD4" s="165">
        <f t="shared" si="11"/>
        <v>999</v>
      </c>
      <c r="BE4" s="10">
        <f t="shared" ref="BE4:BE30" si="12">INT(((F4-J4)*AR4*AS4*BR4)/100)*100</f>
        <v>1500</v>
      </c>
      <c r="BF4" s="10">
        <f t="shared" ref="BF4:BF30" si="13">INT(((F4-M4)*AR4*AT4*BR4)/100)*100</f>
        <v>17700</v>
      </c>
      <c r="BG4" s="10">
        <f t="shared" ref="BG4:BG30" si="14">INT(((F4-P4)*AR4*AU4*BR4)/1000)*1000</f>
        <v>85000</v>
      </c>
      <c r="BH4" s="10">
        <f t="shared" ref="BH4:BH30" si="15">INT(((F4-S4)*AR4*AU4*BR4)/1000)*1000</f>
        <v>82000</v>
      </c>
      <c r="BI4" s="146">
        <f t="shared" ref="BI4:BI30" si="16">INT(((F4-V4)*AR4*AW4*BR4)/10000)*10000</f>
        <v>170000</v>
      </c>
      <c r="BJ4" s="146">
        <f>INT(((F4-Y4)*AR4*AX4*BR4)/10000)*10000</f>
        <v>100000</v>
      </c>
      <c r="BK4" s="146">
        <f>INT(((F4-AB4)*AR4*AY4*BR4)/10000)*10000</f>
        <v>100000</v>
      </c>
      <c r="BL4" s="146">
        <f>INT(((F4-AE4)*AR4*AZ4*BR4)/10000)*10000</f>
        <v>100000</v>
      </c>
      <c r="BM4" s="146">
        <f>INT(((F4-AH4)*AR4*BA4*BR4)/10000)*10000</f>
        <v>100000</v>
      </c>
      <c r="BN4" s="146">
        <f>INT(((F4-AK4)*AR4*BB4*BR4)/10000)*10000</f>
        <v>100000</v>
      </c>
      <c r="BO4" s="146">
        <f>INT(((F4-AN4)*AR4*BC4*BR4)/10000)*10000</f>
        <v>100000</v>
      </c>
      <c r="BP4" s="146">
        <f>INT(((F4-AQ4)*AR4*BD4*BR4)/10000)*10000</f>
        <v>100000</v>
      </c>
      <c r="BQ4" s="149">
        <v>1</v>
      </c>
      <c r="BR4" s="151">
        <f t="shared" ref="BR4:BR29" si="17">1*(1+BU4/100)*(1+BV4/100*(1.5+BW4/100)+(CA4+CL4)/100)*(1+BZ4/10)*(1+CH4/600)</f>
        <v>1.0986119261594685</v>
      </c>
      <c r="BS4" s="151">
        <f t="shared" ref="BS4:BS29" si="18">1*(1-CB4/100)*(1-CF4/200)*(1-CK4/100)</f>
        <v>0.98404909828588016</v>
      </c>
      <c r="BT4" s="150">
        <f>参数调整!H4</f>
        <v>0.62150000000000005</v>
      </c>
      <c r="BU4" s="149">
        <f>BQ4/BQ30*BT4*BU30</f>
        <v>6.145944444444444</v>
      </c>
      <c r="BV4" s="149">
        <f>BQ4/BQ30*BT4*BV30</f>
        <v>0.89388580246913585</v>
      </c>
      <c r="BW4" s="149">
        <f>BQ4/BQ30*BT4*BW30</f>
        <v>3.4630082304526746</v>
      </c>
      <c r="BX4" s="149">
        <f>BQ4/BQ30*BT4*BX30</f>
        <v>4.1433333333333335</v>
      </c>
      <c r="BY4" s="149">
        <v>0</v>
      </c>
      <c r="BZ4" s="149">
        <f>基本装备!AH3</f>
        <v>0</v>
      </c>
      <c r="CA4" s="149">
        <f>BQ4/BQ30*BT4*CA30</f>
        <v>1.0780339506172838</v>
      </c>
      <c r="CB4" s="149">
        <f>BQ4/BQ30*BT4*CB30</f>
        <v>0.57162654320987649</v>
      </c>
      <c r="CC4" s="149">
        <f>BQ4/BQ30*BT4*CC30</f>
        <v>0.57162654320987649</v>
      </c>
      <c r="CD4" s="149">
        <f>BQ4/BQ30*BT4*CD30</f>
        <v>8.3160792181069976</v>
      </c>
      <c r="CE4" s="149">
        <f>BQ4/BQ30*BT4*CE30</f>
        <v>8.0858940329218125</v>
      </c>
      <c r="CF4" s="149">
        <f>BQ4/BQ30*BT4*CF30</f>
        <v>1.1048888888888888</v>
      </c>
      <c r="CG4" s="149">
        <f>BQ4/BQ30*BT4*CG30</f>
        <v>1.1048888888888888</v>
      </c>
      <c r="CH4" s="149">
        <f>BQ4/BQ30*BT4*CH30</f>
        <v>1.9808713991769544</v>
      </c>
      <c r="CI4" s="149">
        <f>BQ4/BQ30*BT4*CI30</f>
        <v>0.59464506172839515</v>
      </c>
      <c r="CJ4" s="149">
        <f>BQ4/BQ30*BT4*CJ30</f>
        <v>0.23018518518518519</v>
      </c>
      <c r="CK4" s="149">
        <f>BQ4/BQ30*BT4*CK30</f>
        <v>0.47955246913580241</v>
      </c>
      <c r="CL4" s="149">
        <f>BQ4/BQ30*BT4*CL30</f>
        <v>0.70973765432098757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0.43351543209876542</v>
      </c>
      <c r="CP4" s="149">
        <f>BQ4/BQ30*BT4*CP30</f>
        <v>0.47955246913580241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1.2</v>
      </c>
      <c r="B5" s="15">
        <f>参数调整!C5</f>
        <v>40</v>
      </c>
      <c r="C5" s="15">
        <f>参数调整!D5</f>
        <v>0</v>
      </c>
      <c r="D5" s="10">
        <f t="shared" si="0"/>
        <v>3000</v>
      </c>
      <c r="E5" s="10">
        <f t="shared" si="1"/>
        <v>6000</v>
      </c>
      <c r="F5" s="15">
        <f>参数调整!E5</f>
        <v>300</v>
      </c>
      <c r="G5" s="10">
        <f t="shared" si="2"/>
        <v>150</v>
      </c>
      <c r="H5" s="10">
        <f t="shared" si="3"/>
        <v>180</v>
      </c>
      <c r="I5" s="10">
        <f t="shared" si="4"/>
        <v>186</v>
      </c>
      <c r="J5" s="10">
        <f>参数调整!K3*H5</f>
        <v>90</v>
      </c>
      <c r="K5" s="10">
        <f t="shared" ref="K5:K30" si="19">INT(K$2*F5)</f>
        <v>195</v>
      </c>
      <c r="L5" s="10">
        <f t="shared" si="5"/>
        <v>201</v>
      </c>
      <c r="M5" s="10">
        <f>INT(参数调整!K3*K5)</f>
        <v>97</v>
      </c>
      <c r="N5" s="10">
        <f t="shared" ref="N5:N30" si="20">F5*N$2</f>
        <v>210</v>
      </c>
      <c r="O5" s="10">
        <f t="shared" si="6"/>
        <v>217</v>
      </c>
      <c r="P5" s="10">
        <f>INT(参数调整!K3*N5)</f>
        <v>105</v>
      </c>
      <c r="Q5" s="10">
        <f t="shared" ref="Q5:Q30" si="21">INT(Q$2*F5)</f>
        <v>225</v>
      </c>
      <c r="R5" s="10">
        <f t="shared" si="7"/>
        <v>232</v>
      </c>
      <c r="S5" s="10">
        <f>INT(参数调整!K3*Q5)</f>
        <v>112</v>
      </c>
      <c r="T5" s="10">
        <f t="shared" si="8"/>
        <v>330</v>
      </c>
      <c r="U5" s="10">
        <f t="shared" si="9"/>
        <v>341</v>
      </c>
      <c r="V5" s="10">
        <f>INT(参数调整!K3*T5)</f>
        <v>165</v>
      </c>
      <c r="W5" s="10">
        <f>W$2*$F5</f>
        <v>300</v>
      </c>
      <c r="X5" s="10">
        <f t="shared" ref="X5:X30" si="22">INT(W5/$BS5)</f>
        <v>310</v>
      </c>
      <c r="Y5" s="10">
        <f>INT(参数调整!$K$3*W5)</f>
        <v>150</v>
      </c>
      <c r="Z5" s="10">
        <f t="shared" ref="Z5:Z30" si="23">Z$2*$F5</f>
        <v>300</v>
      </c>
      <c r="AA5" s="10">
        <f t="shared" ref="AA5:AA30" si="24">INT(Z5/$BS5)</f>
        <v>310</v>
      </c>
      <c r="AB5" s="10">
        <f>INT(参数调整!$K$3*Z5)</f>
        <v>150</v>
      </c>
      <c r="AC5" s="10">
        <f t="shared" ref="AC5:AC30" si="25">AC$2*$F5</f>
        <v>300</v>
      </c>
      <c r="AD5" s="10">
        <f t="shared" ref="AD5:AD30" si="26">INT(AC5/$BS5)</f>
        <v>310</v>
      </c>
      <c r="AE5" s="10">
        <f>INT(参数调整!$K$3*AC5)</f>
        <v>150</v>
      </c>
      <c r="AF5" s="10">
        <f t="shared" ref="AF5:AF30" si="27">AF$2*$F5</f>
        <v>300</v>
      </c>
      <c r="AG5" s="10">
        <f t="shared" ref="AG5:AG30" si="28">INT(AF5/$BS5)</f>
        <v>310</v>
      </c>
      <c r="AH5" s="10">
        <f>INT(参数调整!$K$3*AF5)</f>
        <v>150</v>
      </c>
      <c r="AI5" s="10">
        <f t="shared" ref="AI5:AI30" si="29">AI$2*$F5</f>
        <v>300</v>
      </c>
      <c r="AJ5" s="10">
        <f t="shared" ref="AJ5:AJ30" si="30">INT(AI5/$BS5)</f>
        <v>310</v>
      </c>
      <c r="AK5" s="10">
        <f>INT(参数调整!$K$3*AI5)</f>
        <v>150</v>
      </c>
      <c r="AL5" s="10">
        <f t="shared" ref="AL5:AL30" si="31">AL$2*$F5</f>
        <v>300</v>
      </c>
      <c r="AM5" s="10">
        <f t="shared" ref="AM5:AM30" si="32">INT(AL5/$BS5)</f>
        <v>310</v>
      </c>
      <c r="AN5" s="10">
        <f>INT(参数调整!$K$3*AL5)</f>
        <v>150</v>
      </c>
      <c r="AO5" s="10">
        <f t="shared" ref="AO5:AO30" si="33">AO$2*$F5</f>
        <v>300</v>
      </c>
      <c r="AP5" s="10">
        <f t="shared" ref="AP5:AP30" si="34">INT(AO5/$BS5)</f>
        <v>310</v>
      </c>
      <c r="AQ5" s="10">
        <f>INT(参数调整!$K$3*AO5)</f>
        <v>150</v>
      </c>
      <c r="AR5" s="165">
        <f t="shared" ref="AR5:BD30" si="35">AR$2</f>
        <v>1</v>
      </c>
      <c r="AS5" s="165">
        <f t="shared" si="35"/>
        <v>10</v>
      </c>
      <c r="AT5" s="165">
        <f t="shared" si="35"/>
        <v>120</v>
      </c>
      <c r="AU5" s="165">
        <f t="shared" si="35"/>
        <v>600</v>
      </c>
      <c r="AV5" s="165">
        <f t="shared" si="35"/>
        <v>1200</v>
      </c>
      <c r="AW5" s="165">
        <f t="shared" si="35"/>
        <v>1800</v>
      </c>
      <c r="AX5" s="165">
        <f t="shared" si="35"/>
        <v>999</v>
      </c>
      <c r="AY5" s="165">
        <f t="shared" si="35"/>
        <v>999</v>
      </c>
      <c r="AZ5" s="165">
        <f t="shared" si="35"/>
        <v>999</v>
      </c>
      <c r="BA5" s="165">
        <f t="shared" si="11"/>
        <v>999</v>
      </c>
      <c r="BB5" s="165">
        <f t="shared" si="11"/>
        <v>999</v>
      </c>
      <c r="BC5" s="165">
        <f t="shared" si="11"/>
        <v>999</v>
      </c>
      <c r="BD5" s="165">
        <f t="shared" si="11"/>
        <v>999</v>
      </c>
      <c r="BE5" s="10">
        <f t="shared" si="12"/>
        <v>2500</v>
      </c>
      <c r="BF5" s="10">
        <f t="shared" si="13"/>
        <v>29400</v>
      </c>
      <c r="BG5" s="10">
        <f t="shared" si="14"/>
        <v>141000</v>
      </c>
      <c r="BH5" s="10">
        <f t="shared" si="15"/>
        <v>136000</v>
      </c>
      <c r="BI5" s="146">
        <f t="shared" si="16"/>
        <v>290000</v>
      </c>
      <c r="BJ5" s="146">
        <f t="shared" ref="BJ5:BJ30" si="36">INT(((F5-Y5)*AR5*AX5*BR5)/10000)*10000</f>
        <v>180000</v>
      </c>
      <c r="BK5" s="146">
        <f t="shared" ref="BK5:BK30" si="37">INT(((F5-AB5)*AR5*AY5*BR5)/10000)*10000</f>
        <v>180000</v>
      </c>
      <c r="BL5" s="146">
        <f t="shared" ref="BL5:BL30" si="38">INT(((F5-AE5)*AR5*AZ5*BR5)/10000)*10000</f>
        <v>180000</v>
      </c>
      <c r="BM5" s="146">
        <f t="shared" ref="BM5:BM30" si="39">INT(((F5-AH5)*AR5*BA5*BR5)/10000)*10000</f>
        <v>180000</v>
      </c>
      <c r="BN5" s="146">
        <f t="shared" ref="BN5:BN30" si="40">INT(((F5-AK5)*AR5*BB5*BR5)/10000)*10000</f>
        <v>180000</v>
      </c>
      <c r="BO5" s="146">
        <f t="shared" ref="BO5:BO30" si="41">INT(((F5-AN5)*AR5*BC5*BR5)/10000)*10000</f>
        <v>180000</v>
      </c>
      <c r="BP5" s="146">
        <f t="shared" ref="BP5:BP30" si="42">INT(((F5-AQ5)*AR5*BD5*BR5)/10000)*10000</f>
        <v>180000</v>
      </c>
      <c r="BQ5" s="149">
        <v>2</v>
      </c>
      <c r="BR5" s="151">
        <f t="shared" si="17"/>
        <v>1.2070929090311957</v>
      </c>
      <c r="BS5" s="151">
        <f t="shared" si="18"/>
        <v>0.96758652539138246</v>
      </c>
      <c r="BT5" s="150">
        <f>参数调整!H5</f>
        <v>0.63500000000000001</v>
      </c>
      <c r="BU5" s="149">
        <f>BQ5/BQ30*BT5*BU30</f>
        <v>12.558888888888889</v>
      </c>
      <c r="BV5" s="149">
        <f>BQ5/BQ30*BT5*BV30</f>
        <v>1.826604938271605</v>
      </c>
      <c r="BW5" s="149">
        <f>BQ5/BQ30*BT5*BW30</f>
        <v>7.0764609053497933</v>
      </c>
      <c r="BX5" s="149">
        <f>BQ5/BQ30*BT5*BX30</f>
        <v>8.4666666666666668</v>
      </c>
      <c r="BY5" s="149">
        <v>0</v>
      </c>
      <c r="BZ5" s="149">
        <f>基本装备!AH4</f>
        <v>0</v>
      </c>
      <c r="CA5" s="149">
        <f>BQ5/BQ30*BT5*CA30</f>
        <v>2.2029012345679009</v>
      </c>
      <c r="CB5" s="149">
        <f>BQ5/BQ30*BT5*CB30</f>
        <v>1.1680864197530865</v>
      </c>
      <c r="CC5" s="149">
        <f>BQ5/BQ30*BT5*CC30</f>
        <v>1.1680864197530865</v>
      </c>
      <c r="CD5" s="149">
        <f>BQ5/BQ30*BT5*CD30</f>
        <v>16.993436213991771</v>
      </c>
      <c r="CE5" s="149">
        <f>BQ5/BQ30*BT5*CE30</f>
        <v>16.523065843621403</v>
      </c>
      <c r="CF5" s="149">
        <f>BQ5/BQ30*BT5*CF30</f>
        <v>2.2577777777777777</v>
      </c>
      <c r="CG5" s="149">
        <f>BQ5/BQ30*BT5*CG30</f>
        <v>2.2577777777777777</v>
      </c>
      <c r="CH5" s="149">
        <f>BQ5/BQ30*BT5*CH30</f>
        <v>4.0477983539094646</v>
      </c>
      <c r="CI5" s="149">
        <f>BQ5/BQ30*BT5*CI30</f>
        <v>1.2151234567901235</v>
      </c>
      <c r="CJ5" s="149">
        <f>BQ5/BQ30*BT5*CJ30</f>
        <v>0.47037037037037038</v>
      </c>
      <c r="CK5" s="149">
        <f>BQ5/BQ30*BT5*CK30</f>
        <v>0.97993827160493818</v>
      </c>
      <c r="CL5" s="149">
        <f>BQ5/BQ30*BT5*CL30</f>
        <v>1.4503086419753086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0.88586419753086409</v>
      </c>
      <c r="CP5" s="149">
        <f>BQ5/BQ30*BT5*CP30</f>
        <v>0.97993827160493818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5">
        <f>参数调整!C6</f>
        <v>50</v>
      </c>
      <c r="C6" s="15">
        <f>参数调整!D6</f>
        <v>0</v>
      </c>
      <c r="D6" s="10">
        <f t="shared" si="0"/>
        <v>4000</v>
      </c>
      <c r="E6" s="10">
        <f t="shared" si="1"/>
        <v>8000</v>
      </c>
      <c r="F6" s="15">
        <f>参数调整!E6</f>
        <v>400</v>
      </c>
      <c r="G6" s="10">
        <f t="shared" si="2"/>
        <v>200</v>
      </c>
      <c r="H6" s="10">
        <f t="shared" si="3"/>
        <v>240</v>
      </c>
      <c r="I6" s="10">
        <f t="shared" si="4"/>
        <v>252</v>
      </c>
      <c r="J6" s="10">
        <f>参数调整!K3*H6</f>
        <v>120</v>
      </c>
      <c r="K6" s="10">
        <f t="shared" si="19"/>
        <v>260</v>
      </c>
      <c r="L6" s="10">
        <f t="shared" si="5"/>
        <v>273</v>
      </c>
      <c r="M6" s="10">
        <f>INT(参数调整!K3*K6)</f>
        <v>130</v>
      </c>
      <c r="N6" s="10">
        <f t="shared" si="20"/>
        <v>280</v>
      </c>
      <c r="O6" s="10">
        <f t="shared" si="6"/>
        <v>294</v>
      </c>
      <c r="P6" s="10">
        <f>INT(参数调整!K3*N6)</f>
        <v>140</v>
      </c>
      <c r="Q6" s="10">
        <f t="shared" si="21"/>
        <v>300</v>
      </c>
      <c r="R6" s="10">
        <f t="shared" si="7"/>
        <v>315</v>
      </c>
      <c r="S6" s="10">
        <f>INT(参数调整!K3*Q6)</f>
        <v>150</v>
      </c>
      <c r="T6" s="10">
        <f t="shared" si="8"/>
        <v>440.00000000000006</v>
      </c>
      <c r="U6" s="10">
        <f t="shared" si="9"/>
        <v>462</v>
      </c>
      <c r="V6" s="10">
        <f>INT(参数调整!K3*T6)</f>
        <v>220</v>
      </c>
      <c r="W6" s="10">
        <f t="shared" ref="W6:W30" si="43">W$2*$F6</f>
        <v>400</v>
      </c>
      <c r="X6" s="10">
        <f t="shared" si="22"/>
        <v>420</v>
      </c>
      <c r="Y6" s="10">
        <f>INT(参数调整!$K$3*W6)</f>
        <v>200</v>
      </c>
      <c r="Z6" s="10">
        <f t="shared" si="23"/>
        <v>400</v>
      </c>
      <c r="AA6" s="10">
        <f t="shared" si="24"/>
        <v>420</v>
      </c>
      <c r="AB6" s="10">
        <f>INT(参数调整!$K$3*Z6)</f>
        <v>200</v>
      </c>
      <c r="AC6" s="10">
        <f t="shared" si="25"/>
        <v>400</v>
      </c>
      <c r="AD6" s="10">
        <f t="shared" si="26"/>
        <v>420</v>
      </c>
      <c r="AE6" s="10">
        <f>INT(参数调整!$K$3*AC6)</f>
        <v>200</v>
      </c>
      <c r="AF6" s="10">
        <f t="shared" si="27"/>
        <v>400</v>
      </c>
      <c r="AG6" s="10">
        <f t="shared" si="28"/>
        <v>420</v>
      </c>
      <c r="AH6" s="10">
        <f>INT(参数调整!$K$3*AF6)</f>
        <v>200</v>
      </c>
      <c r="AI6" s="10">
        <f t="shared" si="29"/>
        <v>400</v>
      </c>
      <c r="AJ6" s="10">
        <f t="shared" si="30"/>
        <v>420</v>
      </c>
      <c r="AK6" s="10">
        <f>INT(参数调整!$K$3*AI6)</f>
        <v>200</v>
      </c>
      <c r="AL6" s="10">
        <f t="shared" si="31"/>
        <v>400</v>
      </c>
      <c r="AM6" s="10">
        <f t="shared" si="32"/>
        <v>420</v>
      </c>
      <c r="AN6" s="10">
        <f>INT(参数调整!$K$3*AL6)</f>
        <v>200</v>
      </c>
      <c r="AO6" s="10">
        <f t="shared" si="33"/>
        <v>400</v>
      </c>
      <c r="AP6" s="10">
        <f t="shared" si="34"/>
        <v>420</v>
      </c>
      <c r="AQ6" s="10">
        <f>INT(参数调整!$K$3*AO6)</f>
        <v>200</v>
      </c>
      <c r="AR6" s="165">
        <f t="shared" si="35"/>
        <v>1</v>
      </c>
      <c r="AS6" s="165">
        <f t="shared" si="35"/>
        <v>10</v>
      </c>
      <c r="AT6" s="165">
        <f t="shared" si="35"/>
        <v>120</v>
      </c>
      <c r="AU6" s="165">
        <f t="shared" si="35"/>
        <v>600</v>
      </c>
      <c r="AV6" s="165">
        <f t="shared" si="35"/>
        <v>1200</v>
      </c>
      <c r="AW6" s="165">
        <f t="shared" si="35"/>
        <v>1800</v>
      </c>
      <c r="AX6" s="165">
        <f t="shared" si="35"/>
        <v>999</v>
      </c>
      <c r="AY6" s="165">
        <f t="shared" si="35"/>
        <v>999</v>
      </c>
      <c r="AZ6" s="165">
        <f t="shared" si="35"/>
        <v>999</v>
      </c>
      <c r="BA6" s="165">
        <f t="shared" si="11"/>
        <v>999</v>
      </c>
      <c r="BB6" s="165">
        <f t="shared" si="11"/>
        <v>999</v>
      </c>
      <c r="BC6" s="165">
        <f t="shared" si="11"/>
        <v>999</v>
      </c>
      <c r="BD6" s="165">
        <f t="shared" si="11"/>
        <v>999</v>
      </c>
      <c r="BE6" s="10">
        <f t="shared" si="12"/>
        <v>3700</v>
      </c>
      <c r="BF6" s="10">
        <f t="shared" si="13"/>
        <v>42900</v>
      </c>
      <c r="BG6" s="10">
        <f t="shared" si="14"/>
        <v>206000</v>
      </c>
      <c r="BH6" s="10">
        <f t="shared" si="15"/>
        <v>198000</v>
      </c>
      <c r="BI6" s="146">
        <f t="shared" si="16"/>
        <v>420000</v>
      </c>
      <c r="BJ6" s="146">
        <f t="shared" si="36"/>
        <v>260000</v>
      </c>
      <c r="BK6" s="146">
        <f t="shared" si="37"/>
        <v>260000</v>
      </c>
      <c r="BL6" s="146">
        <f t="shared" si="38"/>
        <v>260000</v>
      </c>
      <c r="BM6" s="146">
        <f t="shared" si="39"/>
        <v>260000</v>
      </c>
      <c r="BN6" s="146">
        <f t="shared" si="40"/>
        <v>260000</v>
      </c>
      <c r="BO6" s="146">
        <f t="shared" si="41"/>
        <v>260000</v>
      </c>
      <c r="BP6" s="146">
        <f t="shared" si="42"/>
        <v>260000</v>
      </c>
      <c r="BQ6" s="149">
        <v>3</v>
      </c>
      <c r="BR6" s="151">
        <f t="shared" si="17"/>
        <v>1.3263494931748951</v>
      </c>
      <c r="BS6" s="151">
        <f t="shared" si="18"/>
        <v>0.9506343086508563</v>
      </c>
      <c r="BT6" s="150">
        <f>参数调整!H6</f>
        <v>0.64849999999999997</v>
      </c>
      <c r="BU6" s="149">
        <f>BQ6/BQ30*BT6*BU30</f>
        <v>19.238833333333332</v>
      </c>
      <c r="BV6" s="149">
        <f>BQ6/BQ30*BT6*BV30</f>
        <v>2.7981574074074076</v>
      </c>
      <c r="BW6" s="149">
        <f>BQ6/BQ30*BT6*BW30</f>
        <v>10.840358024691357</v>
      </c>
      <c r="BX6" s="149">
        <f>BQ6/BQ30*BT6*BX30</f>
        <v>12.969999999999999</v>
      </c>
      <c r="BY6" s="149">
        <v>0</v>
      </c>
      <c r="BZ6" s="149">
        <f>基本装备!AH5</f>
        <v>0</v>
      </c>
      <c r="CA6" s="149">
        <f>BQ6/BQ30*BT6*CA30</f>
        <v>3.3746018518518515</v>
      </c>
      <c r="CB6" s="149">
        <f>BQ6/BQ30*BT6*CB30</f>
        <v>1.7893796296296296</v>
      </c>
      <c r="CC6" s="149">
        <f>BQ6/BQ30*BT6*CC30</f>
        <v>1.7893796296296296</v>
      </c>
      <c r="CD6" s="149">
        <f>BQ6/BQ30*BT6*CD30</f>
        <v>26.032070987654325</v>
      </c>
      <c r="CE6" s="149">
        <f>BQ6/BQ30*BT6*CE30</f>
        <v>25.311515432098769</v>
      </c>
      <c r="CF6" s="149">
        <f>BQ6/BQ30*BT6*CF30</f>
        <v>3.4586666666666668</v>
      </c>
      <c r="CG6" s="149">
        <f>BQ6/BQ30*BT6*CG30</f>
        <v>3.4586666666666668</v>
      </c>
      <c r="CH6" s="149">
        <f>BQ6/BQ30*BT6*CH30</f>
        <v>6.2007808641975295</v>
      </c>
      <c r="CI6" s="149">
        <f>BQ6/BQ30*BT6*CI30</f>
        <v>1.8614351851851854</v>
      </c>
      <c r="CJ6" s="149">
        <f>BQ6/BQ30*BT6*CJ30</f>
        <v>0.7205555555555555</v>
      </c>
      <c r="CK6" s="149">
        <f>BQ6/BQ30*BT6*CK30</f>
        <v>1.5011574074074072</v>
      </c>
      <c r="CL6" s="149">
        <f>BQ6/BQ30*BT6*CL30</f>
        <v>2.2217129629629628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1.3570462962962961</v>
      </c>
      <c r="CP6" s="149">
        <f>BQ6/BQ30*BT6*CP30</f>
        <v>1.5011574074074072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5">
        <f>参数调整!C7</f>
        <v>60</v>
      </c>
      <c r="C7" s="15">
        <f>参数调整!D7</f>
        <v>0</v>
      </c>
      <c r="D7" s="10">
        <f t="shared" si="0"/>
        <v>5000</v>
      </c>
      <c r="E7" s="10">
        <f t="shared" si="1"/>
        <v>10000</v>
      </c>
      <c r="F7" s="15">
        <f>参数调整!E7</f>
        <v>500</v>
      </c>
      <c r="G7" s="10">
        <f t="shared" si="2"/>
        <v>250</v>
      </c>
      <c r="H7" s="10">
        <f t="shared" si="3"/>
        <v>300</v>
      </c>
      <c r="I7" s="10">
        <f t="shared" si="4"/>
        <v>321</v>
      </c>
      <c r="J7" s="10">
        <f>参数调整!K3*H7</f>
        <v>150</v>
      </c>
      <c r="K7" s="10">
        <f t="shared" si="19"/>
        <v>325</v>
      </c>
      <c r="L7" s="10">
        <f t="shared" si="5"/>
        <v>348</v>
      </c>
      <c r="M7" s="10">
        <f>INT(参数调整!K3*K7)</f>
        <v>162</v>
      </c>
      <c r="N7" s="10">
        <f t="shared" si="20"/>
        <v>350</v>
      </c>
      <c r="O7" s="10">
        <f t="shared" si="6"/>
        <v>375</v>
      </c>
      <c r="P7" s="10">
        <f>INT(参数调整!K3*N7)</f>
        <v>175</v>
      </c>
      <c r="Q7" s="10">
        <f t="shared" si="21"/>
        <v>375</v>
      </c>
      <c r="R7" s="10">
        <f t="shared" si="7"/>
        <v>401</v>
      </c>
      <c r="S7" s="10">
        <f>INT(参数调整!K3*Q7)</f>
        <v>187</v>
      </c>
      <c r="T7" s="10">
        <f t="shared" si="8"/>
        <v>550</v>
      </c>
      <c r="U7" s="10">
        <f t="shared" si="9"/>
        <v>589</v>
      </c>
      <c r="V7" s="10">
        <f>INT(参数调整!K3*T7)</f>
        <v>275</v>
      </c>
      <c r="W7" s="10">
        <f t="shared" si="43"/>
        <v>500</v>
      </c>
      <c r="X7" s="10">
        <f t="shared" si="22"/>
        <v>535</v>
      </c>
      <c r="Y7" s="10">
        <f>INT(参数调整!$K$3*W7)</f>
        <v>250</v>
      </c>
      <c r="Z7" s="10">
        <f t="shared" si="23"/>
        <v>500</v>
      </c>
      <c r="AA7" s="10">
        <f t="shared" si="24"/>
        <v>535</v>
      </c>
      <c r="AB7" s="10">
        <f>INT(参数调整!$K$3*Z7)</f>
        <v>250</v>
      </c>
      <c r="AC7" s="10">
        <f t="shared" si="25"/>
        <v>500</v>
      </c>
      <c r="AD7" s="10">
        <f t="shared" si="26"/>
        <v>535</v>
      </c>
      <c r="AE7" s="10">
        <f>INT(参数调整!$K$3*AC7)</f>
        <v>250</v>
      </c>
      <c r="AF7" s="10">
        <f t="shared" si="27"/>
        <v>500</v>
      </c>
      <c r="AG7" s="10">
        <f t="shared" si="28"/>
        <v>535</v>
      </c>
      <c r="AH7" s="10">
        <f>INT(参数调整!$K$3*AF7)</f>
        <v>250</v>
      </c>
      <c r="AI7" s="10">
        <f t="shared" si="29"/>
        <v>500</v>
      </c>
      <c r="AJ7" s="10">
        <f t="shared" si="30"/>
        <v>535</v>
      </c>
      <c r="AK7" s="10">
        <f>INT(参数调整!$K$3*AI7)</f>
        <v>250</v>
      </c>
      <c r="AL7" s="10">
        <f t="shared" si="31"/>
        <v>500</v>
      </c>
      <c r="AM7" s="10">
        <f t="shared" si="32"/>
        <v>535</v>
      </c>
      <c r="AN7" s="10">
        <f>INT(参数调整!$K$3*AL7)</f>
        <v>250</v>
      </c>
      <c r="AO7" s="10">
        <f t="shared" si="33"/>
        <v>500</v>
      </c>
      <c r="AP7" s="10">
        <f t="shared" si="34"/>
        <v>535</v>
      </c>
      <c r="AQ7" s="10">
        <f>INT(参数调整!$K$3*AO7)</f>
        <v>250</v>
      </c>
      <c r="AR7" s="165">
        <f t="shared" si="35"/>
        <v>1</v>
      </c>
      <c r="AS7" s="165">
        <f t="shared" si="35"/>
        <v>10</v>
      </c>
      <c r="AT7" s="165">
        <f t="shared" si="35"/>
        <v>120</v>
      </c>
      <c r="AU7" s="165">
        <f t="shared" si="35"/>
        <v>600</v>
      </c>
      <c r="AV7" s="165">
        <f t="shared" si="35"/>
        <v>1200</v>
      </c>
      <c r="AW7" s="165">
        <f t="shared" si="35"/>
        <v>1800</v>
      </c>
      <c r="AX7" s="165">
        <f t="shared" si="35"/>
        <v>999</v>
      </c>
      <c r="AY7" s="165">
        <f t="shared" si="35"/>
        <v>999</v>
      </c>
      <c r="AZ7" s="165">
        <f t="shared" si="35"/>
        <v>999</v>
      </c>
      <c r="BA7" s="165">
        <f t="shared" si="11"/>
        <v>999</v>
      </c>
      <c r="BB7" s="165">
        <f t="shared" si="11"/>
        <v>999</v>
      </c>
      <c r="BC7" s="165">
        <f t="shared" si="11"/>
        <v>999</v>
      </c>
      <c r="BD7" s="165">
        <f t="shared" si="11"/>
        <v>999</v>
      </c>
      <c r="BE7" s="10">
        <f t="shared" si="12"/>
        <v>5600</v>
      </c>
      <c r="BF7" s="10">
        <f t="shared" si="13"/>
        <v>65000</v>
      </c>
      <c r="BG7" s="10">
        <f t="shared" si="14"/>
        <v>312000</v>
      </c>
      <c r="BH7" s="10">
        <f t="shared" si="15"/>
        <v>301000</v>
      </c>
      <c r="BI7" s="146">
        <f t="shared" si="16"/>
        <v>640000</v>
      </c>
      <c r="BJ7" s="146">
        <f t="shared" si="36"/>
        <v>400000</v>
      </c>
      <c r="BK7" s="146">
        <f t="shared" si="37"/>
        <v>400000</v>
      </c>
      <c r="BL7" s="146">
        <f t="shared" si="38"/>
        <v>400000</v>
      </c>
      <c r="BM7" s="146">
        <f t="shared" si="39"/>
        <v>400000</v>
      </c>
      <c r="BN7" s="146">
        <f t="shared" si="40"/>
        <v>400000</v>
      </c>
      <c r="BO7" s="146">
        <f t="shared" si="41"/>
        <v>400000</v>
      </c>
      <c r="BP7" s="146">
        <f t="shared" si="42"/>
        <v>400000</v>
      </c>
      <c r="BQ7" s="149">
        <v>4</v>
      </c>
      <c r="BR7" s="151">
        <f t="shared" si="17"/>
        <v>1.6031054212433737</v>
      </c>
      <c r="BS7" s="151">
        <f t="shared" si="18"/>
        <v>0.93321516399877469</v>
      </c>
      <c r="BT7" s="150">
        <f>参数调整!H7</f>
        <v>0.66199999999999903</v>
      </c>
      <c r="BU7" s="149">
        <f>BQ7/BQ30*BT7*BU30</f>
        <v>26.185777777777737</v>
      </c>
      <c r="BV7" s="149">
        <f>BQ7/BQ30*BT7*BV30</f>
        <v>3.8085432098765377</v>
      </c>
      <c r="BW7" s="149">
        <f>BQ7/BQ30*BT7*BW30</f>
        <v>14.754699588477342</v>
      </c>
      <c r="BX7" s="149">
        <f>BQ7/BQ30*BT7*BX30</f>
        <v>17.653333333333308</v>
      </c>
      <c r="BY7" s="149">
        <v>0</v>
      </c>
      <c r="BZ7" s="149">
        <f>基本装备!AH6</f>
        <v>1</v>
      </c>
      <c r="CA7" s="149">
        <f>BQ7/BQ30*BT7*CA30</f>
        <v>4.5931358024691287</v>
      </c>
      <c r="CB7" s="149">
        <f>BQ7/BQ30*BT7*CB30</f>
        <v>2.4355061728395024</v>
      </c>
      <c r="CC7" s="149">
        <f>BQ7/BQ30*BT7*CC30</f>
        <v>2.4355061728395024</v>
      </c>
      <c r="CD7" s="149">
        <f>BQ7/BQ30*BT7*CD30</f>
        <v>35.431983539094603</v>
      </c>
      <c r="CE7" s="149">
        <f>BQ7/BQ30*BT7*CE30</f>
        <v>34.45124279835386</v>
      </c>
      <c r="CF7" s="149">
        <f>BQ7/BQ30*BT7*CF30</f>
        <v>4.7075555555555484</v>
      </c>
      <c r="CG7" s="149">
        <f>BQ7/BQ30*BT7*CG30</f>
        <v>4.7075555555555484</v>
      </c>
      <c r="CH7" s="149">
        <f>BQ7/BQ30*BT7*CH30</f>
        <v>8.4398189300411381</v>
      </c>
      <c r="CI7" s="149">
        <f>BQ7/BQ30*BT7*CI30</f>
        <v>2.5335802469135764</v>
      </c>
      <c r="CJ7" s="149">
        <f>BQ7/BQ30*BT7*CJ30</f>
        <v>0.98074074074073925</v>
      </c>
      <c r="CK7" s="149">
        <f>BQ7/BQ30*BT7*CK30</f>
        <v>2.0432098765432065</v>
      </c>
      <c r="CL7" s="149">
        <f>BQ7/BQ30*BT7*CL30</f>
        <v>3.0239506172839459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1.8470617283950588</v>
      </c>
      <c r="CP7" s="149">
        <f>BQ7/BQ30*BT7*CP30</f>
        <v>2.0432098765432065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5">
        <f>参数调整!C8</f>
        <v>65</v>
      </c>
      <c r="C8" s="15">
        <f>参数调整!D8</f>
        <v>0</v>
      </c>
      <c r="D8" s="10">
        <f t="shared" si="0"/>
        <v>6500</v>
      </c>
      <c r="E8" s="10">
        <f t="shared" si="1"/>
        <v>13000</v>
      </c>
      <c r="F8" s="15">
        <f>参数调整!E8</f>
        <v>650</v>
      </c>
      <c r="G8" s="10">
        <f t="shared" si="2"/>
        <v>325</v>
      </c>
      <c r="H8" s="10">
        <f t="shared" si="3"/>
        <v>390</v>
      </c>
      <c r="I8" s="10">
        <f t="shared" si="4"/>
        <v>426</v>
      </c>
      <c r="J8" s="10">
        <f>参数调整!K3*H8</f>
        <v>195</v>
      </c>
      <c r="K8" s="10">
        <f t="shared" si="19"/>
        <v>422</v>
      </c>
      <c r="L8" s="10">
        <f t="shared" si="5"/>
        <v>461</v>
      </c>
      <c r="M8" s="10">
        <f>INT(参数调整!K3*K8)</f>
        <v>211</v>
      </c>
      <c r="N8" s="10">
        <f t="shared" si="20"/>
        <v>454.99999999999994</v>
      </c>
      <c r="O8" s="10">
        <f t="shared" si="6"/>
        <v>497</v>
      </c>
      <c r="P8" s="10">
        <f>INT(参数调整!K3*N8)</f>
        <v>227</v>
      </c>
      <c r="Q8" s="10">
        <f t="shared" si="21"/>
        <v>487</v>
      </c>
      <c r="R8" s="10">
        <f t="shared" si="7"/>
        <v>532</v>
      </c>
      <c r="S8" s="10">
        <f>INT(参数调整!K3*Q8)</f>
        <v>243</v>
      </c>
      <c r="T8" s="10">
        <f t="shared" si="8"/>
        <v>715.00000000000011</v>
      </c>
      <c r="U8" s="10">
        <f t="shared" si="9"/>
        <v>781</v>
      </c>
      <c r="V8" s="10">
        <f>INT(参数调整!K3*T8)</f>
        <v>357</v>
      </c>
      <c r="W8" s="10">
        <f t="shared" si="43"/>
        <v>650</v>
      </c>
      <c r="X8" s="10">
        <f t="shared" si="22"/>
        <v>710</v>
      </c>
      <c r="Y8" s="10">
        <f>INT(参数调整!$K$3*W8)</f>
        <v>325</v>
      </c>
      <c r="Z8" s="10">
        <f t="shared" si="23"/>
        <v>650</v>
      </c>
      <c r="AA8" s="10">
        <f t="shared" si="24"/>
        <v>710</v>
      </c>
      <c r="AB8" s="10">
        <f>INT(参数调整!$K$3*Z8)</f>
        <v>325</v>
      </c>
      <c r="AC8" s="10">
        <f t="shared" si="25"/>
        <v>650</v>
      </c>
      <c r="AD8" s="10">
        <f t="shared" si="26"/>
        <v>710</v>
      </c>
      <c r="AE8" s="10">
        <f>INT(参数调整!$K$3*AC8)</f>
        <v>325</v>
      </c>
      <c r="AF8" s="10">
        <f t="shared" si="27"/>
        <v>650</v>
      </c>
      <c r="AG8" s="10">
        <f t="shared" si="28"/>
        <v>710</v>
      </c>
      <c r="AH8" s="10">
        <f>INT(参数调整!$K$3*AF8)</f>
        <v>325</v>
      </c>
      <c r="AI8" s="10">
        <f t="shared" si="29"/>
        <v>650</v>
      </c>
      <c r="AJ8" s="10">
        <f t="shared" si="30"/>
        <v>710</v>
      </c>
      <c r="AK8" s="10">
        <f>INT(参数调整!$K$3*AI8)</f>
        <v>325</v>
      </c>
      <c r="AL8" s="10">
        <f t="shared" si="31"/>
        <v>650</v>
      </c>
      <c r="AM8" s="10">
        <f t="shared" si="32"/>
        <v>710</v>
      </c>
      <c r="AN8" s="10">
        <f>INT(参数调整!$K$3*AL8)</f>
        <v>325</v>
      </c>
      <c r="AO8" s="10">
        <f t="shared" si="33"/>
        <v>650</v>
      </c>
      <c r="AP8" s="10">
        <f t="shared" si="34"/>
        <v>710</v>
      </c>
      <c r="AQ8" s="10">
        <f>INT(参数调整!$K$3*AO8)</f>
        <v>325</v>
      </c>
      <c r="AR8" s="165">
        <f t="shared" si="35"/>
        <v>1</v>
      </c>
      <c r="AS8" s="165">
        <f t="shared" si="35"/>
        <v>10</v>
      </c>
      <c r="AT8" s="165">
        <f t="shared" si="35"/>
        <v>120</v>
      </c>
      <c r="AU8" s="165">
        <f t="shared" si="35"/>
        <v>600</v>
      </c>
      <c r="AV8" s="165">
        <f t="shared" si="35"/>
        <v>1200</v>
      </c>
      <c r="AW8" s="165">
        <f t="shared" si="35"/>
        <v>1800</v>
      </c>
      <c r="AX8" s="165">
        <f t="shared" si="35"/>
        <v>999</v>
      </c>
      <c r="AY8" s="165">
        <f t="shared" si="35"/>
        <v>999</v>
      </c>
      <c r="AZ8" s="165">
        <f t="shared" si="35"/>
        <v>999</v>
      </c>
      <c r="BA8" s="165">
        <f t="shared" si="11"/>
        <v>999</v>
      </c>
      <c r="BB8" s="165">
        <f t="shared" si="11"/>
        <v>999</v>
      </c>
      <c r="BC8" s="165">
        <f t="shared" si="11"/>
        <v>999</v>
      </c>
      <c r="BD8" s="165">
        <f t="shared" si="11"/>
        <v>999</v>
      </c>
      <c r="BE8" s="10">
        <f t="shared" si="12"/>
        <v>8000</v>
      </c>
      <c r="BF8" s="10">
        <f t="shared" si="13"/>
        <v>92700</v>
      </c>
      <c r="BG8" s="10">
        <f t="shared" si="14"/>
        <v>447000</v>
      </c>
      <c r="BH8" s="10">
        <f t="shared" si="15"/>
        <v>430000</v>
      </c>
      <c r="BI8" s="146">
        <f t="shared" si="16"/>
        <v>920000</v>
      </c>
      <c r="BJ8" s="146">
        <f t="shared" si="36"/>
        <v>570000</v>
      </c>
      <c r="BK8" s="146">
        <f t="shared" si="37"/>
        <v>570000</v>
      </c>
      <c r="BL8" s="146">
        <f t="shared" si="38"/>
        <v>570000</v>
      </c>
      <c r="BM8" s="146">
        <f t="shared" si="39"/>
        <v>570000</v>
      </c>
      <c r="BN8" s="146">
        <f t="shared" si="40"/>
        <v>570000</v>
      </c>
      <c r="BO8" s="146">
        <f t="shared" si="41"/>
        <v>570000</v>
      </c>
      <c r="BP8" s="146">
        <f t="shared" si="42"/>
        <v>570000</v>
      </c>
      <c r="BQ8" s="149">
        <v>5</v>
      </c>
      <c r="BR8" s="151">
        <f t="shared" si="17"/>
        <v>1.7613455069077986</v>
      </c>
      <c r="BS8" s="151">
        <f t="shared" si="18"/>
        <v>0.91535246801154169</v>
      </c>
      <c r="BT8" s="150">
        <f>参数调整!H8</f>
        <v>0.67549999999999899</v>
      </c>
      <c r="BU8" s="149">
        <f>BQ8/BQ30*BT8*BU30</f>
        <v>33.399722222222167</v>
      </c>
      <c r="BV8" s="149">
        <f>BQ8/BQ30*BT8*BV30</f>
        <v>4.8577623456790047</v>
      </c>
      <c r="BW8" s="149">
        <f>BQ8/BQ30*BT8*BW30</f>
        <v>18.819485596707786</v>
      </c>
      <c r="BX8" s="149">
        <f>BQ8/BQ30*BT8*BX30</f>
        <v>22.51666666666663</v>
      </c>
      <c r="BY8" s="149">
        <v>0</v>
      </c>
      <c r="BZ8" s="149">
        <f>基本装备!AH7</f>
        <v>1</v>
      </c>
      <c r="CA8" s="149">
        <f>BQ8/BQ30*BT8*CA30</f>
        <v>5.8585030864197432</v>
      </c>
      <c r="CB8" s="149">
        <f>BQ8/BQ30*BT8*CB30</f>
        <v>3.106466049382711</v>
      </c>
      <c r="CC8" s="149">
        <f>BQ8/BQ30*BT8*CC30</f>
        <v>3.106466049382711</v>
      </c>
      <c r="CD8" s="149">
        <f>BQ8/BQ30*BT8*CD30</f>
        <v>45.193173868312691</v>
      </c>
      <c r="CE8" s="149">
        <f>BQ8/BQ30*BT8*CE30</f>
        <v>43.942247942386771</v>
      </c>
      <c r="CF8" s="149">
        <f>BQ8/BQ30*BT8*CF30</f>
        <v>6.0044444444444345</v>
      </c>
      <c r="CG8" s="149">
        <f>BQ8/BQ30*BT8*CG30</f>
        <v>6.0044444444444345</v>
      </c>
      <c r="CH8" s="149">
        <f>BQ8/BQ30*BT8*CH30</f>
        <v>10.764912551440311</v>
      </c>
      <c r="CI8" s="149">
        <f>BQ8/BQ30*BT8*CI30</f>
        <v>3.2315586419753037</v>
      </c>
      <c r="CJ8" s="149">
        <f>BQ8/BQ30*BT8*CJ30</f>
        <v>1.250925925925924</v>
      </c>
      <c r="CK8" s="149">
        <f>BQ8/BQ30*BT8*CK30</f>
        <v>2.6060956790123413</v>
      </c>
      <c r="CL8" s="149">
        <f>BQ8/BQ30*BT8*CL30</f>
        <v>3.8570216049382653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2.3559104938271567</v>
      </c>
      <c r="CP8" s="149">
        <f>BQ8/BQ30*BT8*CP30</f>
        <v>2.6060956790123413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5">
        <f>参数调整!C9</f>
        <v>70</v>
      </c>
      <c r="C9" s="15">
        <f>参数调整!D9</f>
        <v>0</v>
      </c>
      <c r="D9" s="10">
        <f t="shared" si="0"/>
        <v>8000</v>
      </c>
      <c r="E9" s="10">
        <f t="shared" si="1"/>
        <v>16000</v>
      </c>
      <c r="F9" s="15">
        <f>参数调整!E9</f>
        <v>800</v>
      </c>
      <c r="G9" s="10">
        <f t="shared" si="2"/>
        <v>400</v>
      </c>
      <c r="H9" s="10">
        <f t="shared" si="3"/>
        <v>480</v>
      </c>
      <c r="I9" s="10">
        <f t="shared" si="4"/>
        <v>535</v>
      </c>
      <c r="J9" s="10">
        <f>参数调整!K3*H9</f>
        <v>240</v>
      </c>
      <c r="K9" s="10">
        <f t="shared" si="19"/>
        <v>520</v>
      </c>
      <c r="L9" s="10">
        <f t="shared" si="5"/>
        <v>579</v>
      </c>
      <c r="M9" s="10">
        <f>INT(参数调整!K3*K9)</f>
        <v>260</v>
      </c>
      <c r="N9" s="10">
        <f t="shared" si="20"/>
        <v>560</v>
      </c>
      <c r="O9" s="10">
        <f t="shared" si="6"/>
        <v>624</v>
      </c>
      <c r="P9" s="10">
        <f>INT(参数调整!K3*N9)</f>
        <v>280</v>
      </c>
      <c r="Q9" s="10">
        <f t="shared" si="21"/>
        <v>600</v>
      </c>
      <c r="R9" s="10">
        <f t="shared" si="7"/>
        <v>668</v>
      </c>
      <c r="S9" s="10">
        <f>INT(参数调整!K3*Q9)</f>
        <v>300</v>
      </c>
      <c r="T9" s="10">
        <f t="shared" si="8"/>
        <v>880.00000000000011</v>
      </c>
      <c r="U9" s="10">
        <f t="shared" si="9"/>
        <v>980</v>
      </c>
      <c r="V9" s="10">
        <f>INT(参数调整!K3*T9)</f>
        <v>440</v>
      </c>
      <c r="W9" s="10">
        <f t="shared" si="43"/>
        <v>800</v>
      </c>
      <c r="X9" s="10">
        <f t="shared" si="22"/>
        <v>891</v>
      </c>
      <c r="Y9" s="10">
        <f>INT(参数调整!$K$3*W9)</f>
        <v>400</v>
      </c>
      <c r="Z9" s="10">
        <f t="shared" si="23"/>
        <v>800</v>
      </c>
      <c r="AA9" s="10">
        <f t="shared" si="24"/>
        <v>891</v>
      </c>
      <c r="AB9" s="10">
        <f>INT(参数调整!$K$3*Z9)</f>
        <v>400</v>
      </c>
      <c r="AC9" s="10">
        <f t="shared" si="25"/>
        <v>800</v>
      </c>
      <c r="AD9" s="10">
        <f t="shared" si="26"/>
        <v>891</v>
      </c>
      <c r="AE9" s="10">
        <f>INT(参数调整!$K$3*AC9)</f>
        <v>400</v>
      </c>
      <c r="AF9" s="10">
        <f t="shared" si="27"/>
        <v>800</v>
      </c>
      <c r="AG9" s="10">
        <f t="shared" si="28"/>
        <v>891</v>
      </c>
      <c r="AH9" s="10">
        <f>INT(参数调整!$K$3*AF9)</f>
        <v>400</v>
      </c>
      <c r="AI9" s="10">
        <f t="shared" si="29"/>
        <v>800</v>
      </c>
      <c r="AJ9" s="10">
        <f t="shared" si="30"/>
        <v>891</v>
      </c>
      <c r="AK9" s="10">
        <f>INT(参数调整!$K$3*AI9)</f>
        <v>400</v>
      </c>
      <c r="AL9" s="10">
        <f t="shared" si="31"/>
        <v>800</v>
      </c>
      <c r="AM9" s="10">
        <f t="shared" si="32"/>
        <v>891</v>
      </c>
      <c r="AN9" s="10">
        <f>INT(参数调整!$K$3*AL9)</f>
        <v>400</v>
      </c>
      <c r="AO9" s="10">
        <f t="shared" si="33"/>
        <v>800</v>
      </c>
      <c r="AP9" s="10">
        <f t="shared" si="34"/>
        <v>891</v>
      </c>
      <c r="AQ9" s="10">
        <f>INT(参数调整!$K$3*AO9)</f>
        <v>400</v>
      </c>
      <c r="AR9" s="165">
        <f t="shared" si="35"/>
        <v>1</v>
      </c>
      <c r="AS9" s="165">
        <f t="shared" si="35"/>
        <v>10</v>
      </c>
      <c r="AT9" s="165">
        <f t="shared" si="35"/>
        <v>120</v>
      </c>
      <c r="AU9" s="165">
        <f t="shared" si="35"/>
        <v>600</v>
      </c>
      <c r="AV9" s="165">
        <f t="shared" si="35"/>
        <v>1200</v>
      </c>
      <c r="AW9" s="165">
        <f t="shared" si="35"/>
        <v>1800</v>
      </c>
      <c r="AX9" s="165">
        <f t="shared" si="35"/>
        <v>999</v>
      </c>
      <c r="AY9" s="165">
        <f t="shared" si="35"/>
        <v>999</v>
      </c>
      <c r="AZ9" s="165">
        <f t="shared" si="35"/>
        <v>999</v>
      </c>
      <c r="BA9" s="165">
        <f t="shared" si="11"/>
        <v>999</v>
      </c>
      <c r="BB9" s="165">
        <f t="shared" si="11"/>
        <v>999</v>
      </c>
      <c r="BC9" s="165">
        <f t="shared" si="11"/>
        <v>999</v>
      </c>
      <c r="BD9" s="165">
        <f t="shared" si="11"/>
        <v>999</v>
      </c>
      <c r="BE9" s="10">
        <f t="shared" si="12"/>
        <v>10800</v>
      </c>
      <c r="BF9" s="10">
        <f t="shared" si="13"/>
        <v>125300</v>
      </c>
      <c r="BG9" s="10">
        <f t="shared" si="14"/>
        <v>603000</v>
      </c>
      <c r="BH9" s="10">
        <f t="shared" si="15"/>
        <v>580000</v>
      </c>
      <c r="BI9" s="146">
        <f t="shared" si="16"/>
        <v>1250000</v>
      </c>
      <c r="BJ9" s="146">
        <f t="shared" si="36"/>
        <v>770000</v>
      </c>
      <c r="BK9" s="146">
        <f t="shared" si="37"/>
        <v>770000</v>
      </c>
      <c r="BL9" s="146">
        <f t="shared" si="38"/>
        <v>770000</v>
      </c>
      <c r="BM9" s="146">
        <f t="shared" si="39"/>
        <v>770000</v>
      </c>
      <c r="BN9" s="146">
        <f t="shared" si="40"/>
        <v>770000</v>
      </c>
      <c r="BO9" s="146">
        <f t="shared" si="41"/>
        <v>770000</v>
      </c>
      <c r="BP9" s="146">
        <f t="shared" si="42"/>
        <v>770000</v>
      </c>
      <c r="BQ9" s="149">
        <v>6</v>
      </c>
      <c r="BR9" s="151">
        <f t="shared" si="17"/>
        <v>1.9349866801529885</v>
      </c>
      <c r="BS9" s="151">
        <f t="shared" si="18"/>
        <v>0.89707022883179621</v>
      </c>
      <c r="BT9" s="150">
        <f>参数调整!H9</f>
        <v>0.68899999999999895</v>
      </c>
      <c r="BU9" s="149">
        <f>BQ9/BQ30*BT9*BU30</f>
        <v>40.880666666666599</v>
      </c>
      <c r="BV9" s="149">
        <f>BQ9/BQ30*BT9*BV30</f>
        <v>5.9458148148148053</v>
      </c>
      <c r="BW9" s="149">
        <f>BQ9/BQ30*BT9*BW30</f>
        <v>23.034716049382677</v>
      </c>
      <c r="BX9" s="149">
        <f>BQ9/BQ30*BT9*BX30</f>
        <v>27.559999999999956</v>
      </c>
      <c r="BY9" s="149">
        <v>0</v>
      </c>
      <c r="BZ9" s="149">
        <f>基本装备!AH8</f>
        <v>1</v>
      </c>
      <c r="CA9" s="149">
        <f>BQ9/BQ30*BT9*CA30</f>
        <v>7.1707037037036914</v>
      </c>
      <c r="CB9" s="149">
        <f>BQ9/BQ30*BT9*CB30</f>
        <v>3.802259259259253</v>
      </c>
      <c r="CC9" s="149">
        <f>BQ9/BQ30*BT9*CC30</f>
        <v>3.802259259259253</v>
      </c>
      <c r="CD9" s="149">
        <f>BQ9/BQ30*BT9*CD30</f>
        <v>55.315641975308559</v>
      </c>
      <c r="CE9" s="149">
        <f>BQ9/BQ30*BT9*CE30</f>
        <v>53.78453086419745</v>
      </c>
      <c r="CF9" s="149">
        <f>BQ9/BQ30*BT9*CF30</f>
        <v>7.3493333333333215</v>
      </c>
      <c r="CG9" s="149">
        <f>BQ9/BQ30*BT9*CG30</f>
        <v>7.3493333333333215</v>
      </c>
      <c r="CH9" s="149">
        <f>BQ9/BQ30*BT9*CH30</f>
        <v>13.176061728395039</v>
      </c>
      <c r="CI9" s="149">
        <f>BQ9/BQ30*BT9*CI30</f>
        <v>3.9553703703703644</v>
      </c>
      <c r="CJ9" s="149">
        <f>BQ9/BQ30*BT9*CJ30</f>
        <v>1.5311111111111086</v>
      </c>
      <c r="CK9" s="149">
        <f>BQ9/BQ30*BT9*CK30</f>
        <v>3.1898148148148096</v>
      </c>
      <c r="CL9" s="149">
        <f>BQ9/BQ30*BT9*CL30</f>
        <v>4.7209259259259184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2.8835925925925876</v>
      </c>
      <c r="CP9" s="149">
        <f>BQ9/BQ30*BT9*CP30</f>
        <v>3.1898148148148096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5">
        <f>参数调整!C10</f>
        <v>75</v>
      </c>
      <c r="C10" s="15">
        <f>参数调整!D10</f>
        <v>0</v>
      </c>
      <c r="D10" s="10">
        <f t="shared" si="0"/>
        <v>9500</v>
      </c>
      <c r="E10" s="10">
        <f t="shared" si="1"/>
        <v>19000</v>
      </c>
      <c r="F10" s="15">
        <f>参数调整!E10</f>
        <v>950</v>
      </c>
      <c r="G10" s="10">
        <f t="shared" si="2"/>
        <v>475</v>
      </c>
      <c r="H10" s="10">
        <f t="shared" si="3"/>
        <v>570</v>
      </c>
      <c r="I10" s="10">
        <f t="shared" si="4"/>
        <v>648</v>
      </c>
      <c r="J10" s="10">
        <f>参数调整!K3*H10</f>
        <v>285</v>
      </c>
      <c r="K10" s="10">
        <f t="shared" si="19"/>
        <v>617</v>
      </c>
      <c r="L10" s="10">
        <f t="shared" si="5"/>
        <v>702</v>
      </c>
      <c r="M10" s="10">
        <f>INT(参数调整!K3*K10)</f>
        <v>308</v>
      </c>
      <c r="N10" s="10">
        <f t="shared" si="20"/>
        <v>665</v>
      </c>
      <c r="O10" s="10">
        <f t="shared" si="6"/>
        <v>757</v>
      </c>
      <c r="P10" s="10">
        <f>INT(参数调整!K3*N10)</f>
        <v>332</v>
      </c>
      <c r="Q10" s="10">
        <f t="shared" si="21"/>
        <v>712</v>
      </c>
      <c r="R10" s="10">
        <f t="shared" si="7"/>
        <v>810</v>
      </c>
      <c r="S10" s="10">
        <f>INT(参数调整!K3*Q10)</f>
        <v>356</v>
      </c>
      <c r="T10" s="10">
        <f t="shared" si="8"/>
        <v>1045</v>
      </c>
      <c r="U10" s="10">
        <f t="shared" si="9"/>
        <v>1189</v>
      </c>
      <c r="V10" s="10">
        <f>INT(参数调整!K3*T10)</f>
        <v>522</v>
      </c>
      <c r="W10" s="10">
        <f t="shared" si="43"/>
        <v>950</v>
      </c>
      <c r="X10" s="10">
        <f t="shared" si="22"/>
        <v>1081</v>
      </c>
      <c r="Y10" s="10">
        <f>INT(参数调整!$K$3*W10)</f>
        <v>475</v>
      </c>
      <c r="Z10" s="10">
        <f t="shared" si="23"/>
        <v>950</v>
      </c>
      <c r="AA10" s="10">
        <f t="shared" si="24"/>
        <v>1081</v>
      </c>
      <c r="AB10" s="10">
        <f>INT(参数调整!$K$3*Z10)</f>
        <v>475</v>
      </c>
      <c r="AC10" s="10">
        <f t="shared" si="25"/>
        <v>950</v>
      </c>
      <c r="AD10" s="10">
        <f t="shared" si="26"/>
        <v>1081</v>
      </c>
      <c r="AE10" s="10">
        <f>INT(参数调整!$K$3*AC10)</f>
        <v>475</v>
      </c>
      <c r="AF10" s="10">
        <f t="shared" si="27"/>
        <v>950</v>
      </c>
      <c r="AG10" s="10">
        <f t="shared" si="28"/>
        <v>1081</v>
      </c>
      <c r="AH10" s="10">
        <f>INT(参数调整!$K$3*AF10)</f>
        <v>475</v>
      </c>
      <c r="AI10" s="10">
        <f t="shared" si="29"/>
        <v>950</v>
      </c>
      <c r="AJ10" s="10">
        <f t="shared" si="30"/>
        <v>1081</v>
      </c>
      <c r="AK10" s="10">
        <f>INT(参数调整!$K$3*AI10)</f>
        <v>475</v>
      </c>
      <c r="AL10" s="10">
        <f t="shared" si="31"/>
        <v>950</v>
      </c>
      <c r="AM10" s="10">
        <f t="shared" si="32"/>
        <v>1081</v>
      </c>
      <c r="AN10" s="10">
        <f>INT(参数调整!$K$3*AL10)</f>
        <v>475</v>
      </c>
      <c r="AO10" s="10">
        <f t="shared" si="33"/>
        <v>950</v>
      </c>
      <c r="AP10" s="10">
        <f t="shared" si="34"/>
        <v>1081</v>
      </c>
      <c r="AQ10" s="10">
        <f>INT(参数调整!$K$3*AO10)</f>
        <v>475</v>
      </c>
      <c r="AR10" s="165">
        <f t="shared" si="35"/>
        <v>1</v>
      </c>
      <c r="AS10" s="165">
        <f t="shared" si="35"/>
        <v>10</v>
      </c>
      <c r="AT10" s="165">
        <f t="shared" si="35"/>
        <v>120</v>
      </c>
      <c r="AU10" s="165">
        <f t="shared" si="35"/>
        <v>600</v>
      </c>
      <c r="AV10" s="165">
        <f t="shared" si="35"/>
        <v>1200</v>
      </c>
      <c r="AW10" s="165">
        <f t="shared" si="35"/>
        <v>1800</v>
      </c>
      <c r="AX10" s="165">
        <f t="shared" si="35"/>
        <v>999</v>
      </c>
      <c r="AY10" s="165">
        <f t="shared" si="35"/>
        <v>999</v>
      </c>
      <c r="AZ10" s="165">
        <f t="shared" si="35"/>
        <v>999</v>
      </c>
      <c r="BA10" s="165">
        <f t="shared" si="11"/>
        <v>999</v>
      </c>
      <c r="BB10" s="165">
        <f t="shared" si="11"/>
        <v>999</v>
      </c>
      <c r="BC10" s="165">
        <f t="shared" si="11"/>
        <v>999</v>
      </c>
      <c r="BD10" s="165">
        <f t="shared" si="11"/>
        <v>999</v>
      </c>
      <c r="BE10" s="10">
        <f t="shared" si="12"/>
        <v>15400</v>
      </c>
      <c r="BF10" s="10">
        <f t="shared" si="13"/>
        <v>178600</v>
      </c>
      <c r="BG10" s="10">
        <f t="shared" si="14"/>
        <v>859000</v>
      </c>
      <c r="BH10" s="10">
        <f t="shared" si="15"/>
        <v>826000</v>
      </c>
      <c r="BI10" s="146">
        <f t="shared" si="16"/>
        <v>1780000</v>
      </c>
      <c r="BJ10" s="146">
        <f t="shared" si="36"/>
        <v>1100000</v>
      </c>
      <c r="BK10" s="146">
        <f t="shared" si="37"/>
        <v>1100000</v>
      </c>
      <c r="BL10" s="146">
        <f t="shared" si="38"/>
        <v>1100000</v>
      </c>
      <c r="BM10" s="146">
        <f t="shared" si="39"/>
        <v>1100000</v>
      </c>
      <c r="BN10" s="146">
        <f t="shared" si="40"/>
        <v>1100000</v>
      </c>
      <c r="BO10" s="146">
        <f t="shared" si="41"/>
        <v>1100000</v>
      </c>
      <c r="BP10" s="146">
        <f t="shared" si="42"/>
        <v>1100000</v>
      </c>
      <c r="BQ10" s="149">
        <v>7</v>
      </c>
      <c r="BR10" s="151">
        <f t="shared" si="17"/>
        <v>2.3186397334041686</v>
      </c>
      <c r="BS10" s="151">
        <f t="shared" si="18"/>
        <v>0.87839305597521855</v>
      </c>
      <c r="BT10" s="150">
        <f>参数调整!H10</f>
        <v>0.70249999999999901</v>
      </c>
      <c r="BU10" s="149">
        <f>BQ10/BQ30*BT10*BU30</f>
        <v>48.628611111111042</v>
      </c>
      <c r="BV10" s="149">
        <f>BQ10/BQ30*BT10*BV30</f>
        <v>7.0727006172839406</v>
      </c>
      <c r="BW10" s="149">
        <f>BQ10/BQ30*BT10*BW30</f>
        <v>27.400390946502014</v>
      </c>
      <c r="BX10" s="149">
        <f>BQ10/BQ30*BT10*BX30</f>
        <v>32.783333333333289</v>
      </c>
      <c r="BY10" s="149">
        <v>0</v>
      </c>
      <c r="BZ10" s="149">
        <f>基本装备!AH9</f>
        <v>2</v>
      </c>
      <c r="CA10" s="149">
        <f>BQ10/BQ30*BT10*CA30</f>
        <v>8.5297376543209751</v>
      </c>
      <c r="CB10" s="149">
        <f>BQ10/BQ30*BT10*CB30</f>
        <v>4.522885802469129</v>
      </c>
      <c r="CC10" s="149">
        <f>BQ10/BQ30*BT10*CC30</f>
        <v>4.522885802469129</v>
      </c>
      <c r="CD10" s="149">
        <f>BQ10/BQ30*BT10*CD30</f>
        <v>65.79938786008222</v>
      </c>
      <c r="CE10" s="149">
        <f>BQ10/BQ30*BT10*CE30</f>
        <v>63.978091563785924</v>
      </c>
      <c r="CF10" s="149">
        <f>BQ10/BQ30*BT10*CF30</f>
        <v>8.7422222222222103</v>
      </c>
      <c r="CG10" s="149">
        <f>BQ10/BQ30*BT10*CG30</f>
        <v>8.7422222222222103</v>
      </c>
      <c r="CH10" s="149">
        <f>BQ10/BQ30*BT10*CH30</f>
        <v>15.673266460905324</v>
      </c>
      <c r="CI10" s="149">
        <f>BQ10/BQ30*BT10*CI30</f>
        <v>4.7050154320987589</v>
      </c>
      <c r="CJ10" s="149">
        <f>BQ10/BQ30*BT10*CJ30</f>
        <v>1.8212962962962935</v>
      </c>
      <c r="CK10" s="149">
        <f>BQ10/BQ30*BT10*CK30</f>
        <v>3.7943672839506117</v>
      </c>
      <c r="CL10" s="149">
        <f>BQ10/BQ30*BT10*CL30</f>
        <v>5.6156635802469053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3.4301080246913527</v>
      </c>
      <c r="CP10" s="149">
        <f>BQ10/BQ30*BT10*CP30</f>
        <v>3.7943672839506117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5">
        <f>参数调整!C11</f>
        <v>80</v>
      </c>
      <c r="C11" s="15">
        <f>参数调整!D11</f>
        <v>1</v>
      </c>
      <c r="D11" s="10">
        <f t="shared" si="0"/>
        <v>11000</v>
      </c>
      <c r="E11" s="10">
        <f t="shared" si="1"/>
        <v>22000</v>
      </c>
      <c r="F11" s="15">
        <f>参数调整!E11</f>
        <v>1100</v>
      </c>
      <c r="G11" s="10">
        <f t="shared" si="2"/>
        <v>550</v>
      </c>
      <c r="H11" s="10">
        <f t="shared" si="3"/>
        <v>660</v>
      </c>
      <c r="I11" s="10">
        <f t="shared" si="4"/>
        <v>768</v>
      </c>
      <c r="J11" s="10">
        <f>参数调整!K3*H11</f>
        <v>330</v>
      </c>
      <c r="K11" s="10">
        <f t="shared" si="19"/>
        <v>715</v>
      </c>
      <c r="L11" s="10">
        <f t="shared" si="5"/>
        <v>832</v>
      </c>
      <c r="M11" s="10">
        <f>INT(参数调整!K3*K11)</f>
        <v>357</v>
      </c>
      <c r="N11" s="10">
        <f t="shared" si="20"/>
        <v>770</v>
      </c>
      <c r="O11" s="10">
        <f t="shared" si="6"/>
        <v>896</v>
      </c>
      <c r="P11" s="10">
        <f>INT(参数调整!K3*N11)</f>
        <v>385</v>
      </c>
      <c r="Q11" s="10">
        <f t="shared" si="21"/>
        <v>825</v>
      </c>
      <c r="R11" s="10">
        <f t="shared" si="7"/>
        <v>960</v>
      </c>
      <c r="S11" s="10">
        <f>INT(参数调整!K3*Q11)</f>
        <v>412</v>
      </c>
      <c r="T11" s="10">
        <f t="shared" si="8"/>
        <v>1210</v>
      </c>
      <c r="U11" s="10">
        <f t="shared" si="9"/>
        <v>1408</v>
      </c>
      <c r="V11" s="10">
        <f>INT(参数调整!K3*T11)</f>
        <v>605</v>
      </c>
      <c r="W11" s="10">
        <f t="shared" si="43"/>
        <v>1100</v>
      </c>
      <c r="X11" s="10">
        <f t="shared" si="22"/>
        <v>1280</v>
      </c>
      <c r="Y11" s="10">
        <f>INT(参数调整!$K$3*W11)</f>
        <v>550</v>
      </c>
      <c r="Z11" s="10">
        <f t="shared" si="23"/>
        <v>1100</v>
      </c>
      <c r="AA11" s="10">
        <f t="shared" si="24"/>
        <v>1280</v>
      </c>
      <c r="AB11" s="10">
        <f>INT(参数调整!$K$3*Z11)</f>
        <v>550</v>
      </c>
      <c r="AC11" s="10">
        <f t="shared" si="25"/>
        <v>1100</v>
      </c>
      <c r="AD11" s="10">
        <f t="shared" si="26"/>
        <v>1280</v>
      </c>
      <c r="AE11" s="10">
        <f>INT(参数调整!$K$3*AC11)</f>
        <v>550</v>
      </c>
      <c r="AF11" s="10">
        <f t="shared" si="27"/>
        <v>1100</v>
      </c>
      <c r="AG11" s="10">
        <f t="shared" si="28"/>
        <v>1280</v>
      </c>
      <c r="AH11" s="10">
        <f>INT(参数调整!$K$3*AF11)</f>
        <v>550</v>
      </c>
      <c r="AI11" s="10">
        <f t="shared" si="29"/>
        <v>1100</v>
      </c>
      <c r="AJ11" s="10">
        <f t="shared" si="30"/>
        <v>1280</v>
      </c>
      <c r="AK11" s="10">
        <f>INT(参数调整!$K$3*AI11)</f>
        <v>550</v>
      </c>
      <c r="AL11" s="10">
        <f t="shared" si="31"/>
        <v>1100</v>
      </c>
      <c r="AM11" s="10">
        <f t="shared" si="32"/>
        <v>1280</v>
      </c>
      <c r="AN11" s="10">
        <f>INT(参数调整!$K$3*AL11)</f>
        <v>550</v>
      </c>
      <c r="AO11" s="10">
        <f t="shared" si="33"/>
        <v>1100</v>
      </c>
      <c r="AP11" s="10">
        <f t="shared" si="34"/>
        <v>1280</v>
      </c>
      <c r="AQ11" s="10">
        <f>INT(参数调整!$K$3*AO11)</f>
        <v>550</v>
      </c>
      <c r="AR11" s="165">
        <f t="shared" si="35"/>
        <v>1</v>
      </c>
      <c r="AS11" s="165">
        <f t="shared" si="35"/>
        <v>10</v>
      </c>
      <c r="AT11" s="165">
        <f t="shared" si="35"/>
        <v>120</v>
      </c>
      <c r="AU11" s="165">
        <f t="shared" si="35"/>
        <v>600</v>
      </c>
      <c r="AV11" s="165">
        <f t="shared" si="35"/>
        <v>1200</v>
      </c>
      <c r="AW11" s="165">
        <f t="shared" si="35"/>
        <v>1800</v>
      </c>
      <c r="AX11" s="165">
        <f t="shared" si="35"/>
        <v>999</v>
      </c>
      <c r="AY11" s="165">
        <f t="shared" si="35"/>
        <v>999</v>
      </c>
      <c r="AZ11" s="165">
        <f t="shared" si="35"/>
        <v>999</v>
      </c>
      <c r="BA11" s="165">
        <f t="shared" si="11"/>
        <v>999</v>
      </c>
      <c r="BB11" s="165">
        <f t="shared" si="11"/>
        <v>999</v>
      </c>
      <c r="BC11" s="165">
        <f t="shared" si="11"/>
        <v>999</v>
      </c>
      <c r="BD11" s="165">
        <f t="shared" si="11"/>
        <v>999</v>
      </c>
      <c r="BE11" s="10">
        <f t="shared" si="12"/>
        <v>19600</v>
      </c>
      <c r="BF11" s="10">
        <f t="shared" si="13"/>
        <v>227000</v>
      </c>
      <c r="BG11" s="10">
        <f t="shared" si="14"/>
        <v>1092000</v>
      </c>
      <c r="BH11" s="10">
        <f t="shared" si="15"/>
        <v>1051000</v>
      </c>
      <c r="BI11" s="146">
        <f t="shared" si="16"/>
        <v>2260000</v>
      </c>
      <c r="BJ11" s="146">
        <f t="shared" si="36"/>
        <v>1390000</v>
      </c>
      <c r="BK11" s="146">
        <f t="shared" si="37"/>
        <v>1390000</v>
      </c>
      <c r="BL11" s="146">
        <f t="shared" si="38"/>
        <v>1390000</v>
      </c>
      <c r="BM11" s="146">
        <f t="shared" si="39"/>
        <v>1390000</v>
      </c>
      <c r="BN11" s="146">
        <f t="shared" si="40"/>
        <v>1390000</v>
      </c>
      <c r="BO11" s="146">
        <f t="shared" si="41"/>
        <v>1390000</v>
      </c>
      <c r="BP11" s="146">
        <f t="shared" si="42"/>
        <v>1390000</v>
      </c>
      <c r="BQ11" s="149">
        <v>8</v>
      </c>
      <c r="BR11" s="151">
        <f t="shared" si="17"/>
        <v>2.5463476720548681</v>
      </c>
      <c r="BS11" s="151">
        <f t="shared" si="18"/>
        <v>0.85934612901983598</v>
      </c>
      <c r="BT11" s="150">
        <f>参数调整!H11</f>
        <v>0.71599999999999897</v>
      </c>
      <c r="BU11" s="149">
        <f>BQ11/BQ30*BT11*BU30</f>
        <v>56.643555555555473</v>
      </c>
      <c r="BV11" s="149">
        <f>BQ11/BQ30*BT11*BV30</f>
        <v>8.2384197530864078</v>
      </c>
      <c r="BW11" s="149">
        <f>BQ11/BQ30*BT11*BW30</f>
        <v>31.916510288065794</v>
      </c>
      <c r="BX11" s="149">
        <f>BQ11/BQ30*BT11*BX30</f>
        <v>38.186666666666611</v>
      </c>
      <c r="BY11" s="149">
        <v>0</v>
      </c>
      <c r="BZ11" s="149">
        <f>基本装备!AH10</f>
        <v>2</v>
      </c>
      <c r="CA11" s="149">
        <f>BQ11/BQ30*BT11*CA30</f>
        <v>9.9356049382715899</v>
      </c>
      <c r="CB11" s="149">
        <f>BQ11/BQ30*BT11*CB30</f>
        <v>5.268345679012338</v>
      </c>
      <c r="CC11" s="149">
        <f>BQ11/BQ30*BT11*CC30</f>
        <v>5.268345679012338</v>
      </c>
      <c r="CD11" s="149">
        <f>BQ11/BQ30*BT11*CD30</f>
        <v>76.644411522633646</v>
      </c>
      <c r="CE11" s="149">
        <f>BQ11/BQ30*BT11*CE30</f>
        <v>74.522930041152165</v>
      </c>
      <c r="CF11" s="149">
        <f>BQ11/BQ30*BT11*CF30</f>
        <v>10.183111111111096</v>
      </c>
      <c r="CG11" s="149">
        <f>BQ11/BQ30*BT11*CG30</f>
        <v>10.183111111111096</v>
      </c>
      <c r="CH11" s="149">
        <f>BQ11/BQ30*BT11*CH30</f>
        <v>18.256526748971165</v>
      </c>
      <c r="CI11" s="149">
        <f>BQ11/BQ30*BT11*CI30</f>
        <v>5.4804938271604859</v>
      </c>
      <c r="CJ11" s="149">
        <f>BQ11/BQ30*BT11*CJ30</f>
        <v>2.1214814814814784</v>
      </c>
      <c r="CK11" s="149">
        <f>BQ11/BQ30*BT11*CK30</f>
        <v>4.4197530864197461</v>
      </c>
      <c r="CL11" s="149">
        <f>BQ11/BQ30*BT11*CL30</f>
        <v>6.5412345679012249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3.9954567901234506</v>
      </c>
      <c r="CP11" s="149">
        <f>BQ11/BQ30*BT11*CP30</f>
        <v>4.4197530864197461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5">
        <f>参数调整!C12</f>
        <v>90</v>
      </c>
      <c r="C12" s="15">
        <f>参数调整!D12</f>
        <v>2</v>
      </c>
      <c r="D12" s="10">
        <f t="shared" si="0"/>
        <v>14000</v>
      </c>
      <c r="E12" s="10">
        <f t="shared" si="1"/>
        <v>28000</v>
      </c>
      <c r="F12" s="15">
        <f>参数调整!E12</f>
        <v>1400</v>
      </c>
      <c r="G12" s="10">
        <f t="shared" si="2"/>
        <v>700</v>
      </c>
      <c r="H12" s="10">
        <f t="shared" si="3"/>
        <v>840</v>
      </c>
      <c r="I12" s="10">
        <f t="shared" si="4"/>
        <v>1000</v>
      </c>
      <c r="J12" s="10">
        <f>参数调整!K3*H12</f>
        <v>420</v>
      </c>
      <c r="K12" s="10">
        <f t="shared" si="19"/>
        <v>910</v>
      </c>
      <c r="L12" s="10">
        <f t="shared" si="5"/>
        <v>1083</v>
      </c>
      <c r="M12" s="10">
        <f>INT(参数调整!K3*K12)</f>
        <v>455</v>
      </c>
      <c r="N12" s="10">
        <f t="shared" si="20"/>
        <v>979.99999999999989</v>
      </c>
      <c r="O12" s="10">
        <f t="shared" si="6"/>
        <v>1166</v>
      </c>
      <c r="P12" s="10">
        <f>INT(参数调整!K3*N12)</f>
        <v>490</v>
      </c>
      <c r="Q12" s="10">
        <f t="shared" si="21"/>
        <v>1050</v>
      </c>
      <c r="R12" s="10">
        <f t="shared" si="7"/>
        <v>1250</v>
      </c>
      <c r="S12" s="10">
        <f>INT(参数调整!K3*Q12)</f>
        <v>525</v>
      </c>
      <c r="T12" s="10">
        <f t="shared" si="8"/>
        <v>1540.0000000000002</v>
      </c>
      <c r="U12" s="10">
        <f t="shared" si="9"/>
        <v>1833</v>
      </c>
      <c r="V12" s="10">
        <f>INT(参数调整!K3*T12)</f>
        <v>770</v>
      </c>
      <c r="W12" s="10">
        <f t="shared" si="43"/>
        <v>1400</v>
      </c>
      <c r="X12" s="10">
        <f t="shared" si="22"/>
        <v>1666</v>
      </c>
      <c r="Y12" s="10">
        <f>INT(参数调整!$K$3*W12)</f>
        <v>700</v>
      </c>
      <c r="Z12" s="10">
        <f t="shared" si="23"/>
        <v>1400</v>
      </c>
      <c r="AA12" s="10">
        <f t="shared" si="24"/>
        <v>1666</v>
      </c>
      <c r="AB12" s="10">
        <f>INT(参数调整!$K$3*Z12)</f>
        <v>700</v>
      </c>
      <c r="AC12" s="10">
        <f t="shared" si="25"/>
        <v>1400</v>
      </c>
      <c r="AD12" s="10">
        <f t="shared" si="26"/>
        <v>1666</v>
      </c>
      <c r="AE12" s="10">
        <f>INT(参数调整!$K$3*AC12)</f>
        <v>700</v>
      </c>
      <c r="AF12" s="10">
        <f t="shared" si="27"/>
        <v>1400</v>
      </c>
      <c r="AG12" s="10">
        <f t="shared" si="28"/>
        <v>1666</v>
      </c>
      <c r="AH12" s="10">
        <f>INT(参数调整!$K$3*AF12)</f>
        <v>700</v>
      </c>
      <c r="AI12" s="10">
        <f t="shared" si="29"/>
        <v>1400</v>
      </c>
      <c r="AJ12" s="10">
        <f t="shared" si="30"/>
        <v>1666</v>
      </c>
      <c r="AK12" s="10">
        <f>INT(参数调整!$K$3*AI12)</f>
        <v>700</v>
      </c>
      <c r="AL12" s="10">
        <f t="shared" si="31"/>
        <v>1400</v>
      </c>
      <c r="AM12" s="10">
        <f t="shared" si="32"/>
        <v>1666</v>
      </c>
      <c r="AN12" s="10">
        <f>INT(参数调整!$K$3*AL12)</f>
        <v>700</v>
      </c>
      <c r="AO12" s="10">
        <f t="shared" si="33"/>
        <v>1400</v>
      </c>
      <c r="AP12" s="10">
        <f t="shared" si="34"/>
        <v>1666</v>
      </c>
      <c r="AQ12" s="10">
        <f>INT(参数调整!$K$3*AO12)</f>
        <v>700</v>
      </c>
      <c r="AR12" s="165">
        <f t="shared" si="35"/>
        <v>1</v>
      </c>
      <c r="AS12" s="165">
        <f t="shared" si="35"/>
        <v>10</v>
      </c>
      <c r="AT12" s="165">
        <f t="shared" si="35"/>
        <v>120</v>
      </c>
      <c r="AU12" s="165">
        <f t="shared" si="35"/>
        <v>600</v>
      </c>
      <c r="AV12" s="165">
        <f t="shared" si="35"/>
        <v>1200</v>
      </c>
      <c r="AW12" s="165">
        <f t="shared" si="35"/>
        <v>1800</v>
      </c>
      <c r="AX12" s="165">
        <f t="shared" si="35"/>
        <v>999</v>
      </c>
      <c r="AY12" s="165">
        <f t="shared" si="35"/>
        <v>999</v>
      </c>
      <c r="AZ12" s="165">
        <f t="shared" si="35"/>
        <v>999</v>
      </c>
      <c r="BA12" s="165">
        <f t="shared" si="11"/>
        <v>999</v>
      </c>
      <c r="BB12" s="165">
        <f t="shared" si="11"/>
        <v>999</v>
      </c>
      <c r="BC12" s="165">
        <f t="shared" si="11"/>
        <v>999</v>
      </c>
      <c r="BD12" s="165">
        <f t="shared" si="11"/>
        <v>999</v>
      </c>
      <c r="BE12" s="10">
        <f t="shared" si="12"/>
        <v>27300</v>
      </c>
      <c r="BF12" s="10">
        <f t="shared" si="13"/>
        <v>317000</v>
      </c>
      <c r="BG12" s="10">
        <f t="shared" si="14"/>
        <v>1526000</v>
      </c>
      <c r="BH12" s="10">
        <f t="shared" si="15"/>
        <v>1467000</v>
      </c>
      <c r="BI12" s="146">
        <f t="shared" si="16"/>
        <v>3170000</v>
      </c>
      <c r="BJ12" s="146">
        <f t="shared" si="36"/>
        <v>1950000</v>
      </c>
      <c r="BK12" s="146">
        <f t="shared" si="37"/>
        <v>1950000</v>
      </c>
      <c r="BL12" s="146">
        <f t="shared" si="38"/>
        <v>1950000</v>
      </c>
      <c r="BM12" s="146">
        <f t="shared" si="39"/>
        <v>1950000</v>
      </c>
      <c r="BN12" s="146">
        <f t="shared" si="40"/>
        <v>1950000</v>
      </c>
      <c r="BO12" s="146">
        <f t="shared" si="41"/>
        <v>1950000</v>
      </c>
      <c r="BP12" s="146">
        <f t="shared" si="42"/>
        <v>1950000</v>
      </c>
      <c r="BQ12" s="149">
        <v>9</v>
      </c>
      <c r="BR12" s="151">
        <f t="shared" si="17"/>
        <v>2.7957986078672024</v>
      </c>
      <c r="BS12" s="151">
        <f t="shared" si="18"/>
        <v>0.83995516517782776</v>
      </c>
      <c r="BT12" s="150">
        <f>参数调整!H12</f>
        <v>0.72949999999999904</v>
      </c>
      <c r="BU12" s="149">
        <f>BQ12/BQ30*BT12*BU30</f>
        <v>64.925499999999914</v>
      </c>
      <c r="BV12" s="149">
        <f>BQ12/BQ30*BT12*BV30</f>
        <v>9.4429722222222097</v>
      </c>
      <c r="BW12" s="149">
        <f>BQ12/BQ30*BT12*BW30</f>
        <v>36.58307407407402</v>
      </c>
      <c r="BX12" s="149">
        <f>BQ12/BQ30*BT12*BX30</f>
        <v>43.769999999999939</v>
      </c>
      <c r="BY12" s="149">
        <v>0</v>
      </c>
      <c r="BZ12" s="149">
        <f>基本装备!AH11</f>
        <v>2</v>
      </c>
      <c r="CA12" s="149">
        <f>BQ12/BQ30*BT12*CA30</f>
        <v>11.388305555555538</v>
      </c>
      <c r="CB12" s="149">
        <f>BQ12/BQ30*BT12*CB30</f>
        <v>6.0386388888888805</v>
      </c>
      <c r="CC12" s="149">
        <f>BQ12/BQ30*BT12*CC30</f>
        <v>6.0386388888888805</v>
      </c>
      <c r="CD12" s="149">
        <f>BQ12/BQ30*BT12*CD30</f>
        <v>87.850712962962859</v>
      </c>
      <c r="CE12" s="149">
        <f>BQ12/BQ30*BT12*CE30</f>
        <v>85.419046296296187</v>
      </c>
      <c r="CF12" s="149">
        <f>BQ12/BQ30*BT12*CF30</f>
        <v>11.671999999999985</v>
      </c>
      <c r="CG12" s="149">
        <f>BQ12/BQ30*BT12*CG30</f>
        <v>11.671999999999985</v>
      </c>
      <c r="CH12" s="149">
        <f>BQ12/BQ30*BT12*CH30</f>
        <v>20.925842592592563</v>
      </c>
      <c r="CI12" s="149">
        <f>BQ12/BQ30*BT12*CI30</f>
        <v>6.2818055555555476</v>
      </c>
      <c r="CJ12" s="149">
        <f>BQ12/BQ30*BT12*CJ30</f>
        <v>2.4316666666666635</v>
      </c>
      <c r="CK12" s="149">
        <f>BQ12/BQ30*BT12*CK30</f>
        <v>5.0659722222222152</v>
      </c>
      <c r="CL12" s="149">
        <f>BQ12/BQ30*BT12*CL30</f>
        <v>7.4976388888888783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4.5796388888888826</v>
      </c>
      <c r="CP12" s="149">
        <f>BQ12/BQ30*BT12*CP30</f>
        <v>5.0659722222222152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5">
        <f>参数调整!C13</f>
        <v>100</v>
      </c>
      <c r="C13" s="15">
        <f>参数调整!D13</f>
        <v>3</v>
      </c>
      <c r="D13" s="10">
        <f t="shared" si="0"/>
        <v>18000</v>
      </c>
      <c r="E13" s="10">
        <f t="shared" si="1"/>
        <v>36000</v>
      </c>
      <c r="F13" s="15">
        <f>参数调整!E13</f>
        <v>1800</v>
      </c>
      <c r="G13" s="10">
        <f t="shared" si="2"/>
        <v>900</v>
      </c>
      <c r="H13" s="10">
        <f t="shared" si="3"/>
        <v>1080</v>
      </c>
      <c r="I13" s="10">
        <f t="shared" si="4"/>
        <v>1316</v>
      </c>
      <c r="J13" s="10">
        <f>参数调整!K3*H13</f>
        <v>540</v>
      </c>
      <c r="K13" s="10">
        <f t="shared" si="19"/>
        <v>1170</v>
      </c>
      <c r="L13" s="10">
        <f t="shared" si="5"/>
        <v>1426</v>
      </c>
      <c r="M13" s="10">
        <f>INT(参数调整!K3*K13)</f>
        <v>585</v>
      </c>
      <c r="N13" s="10">
        <f t="shared" si="20"/>
        <v>1260</v>
      </c>
      <c r="O13" s="10">
        <f t="shared" si="6"/>
        <v>1536</v>
      </c>
      <c r="P13" s="10">
        <f>INT(参数调整!K3*N13)</f>
        <v>630</v>
      </c>
      <c r="Q13" s="10">
        <f t="shared" si="21"/>
        <v>1350</v>
      </c>
      <c r="R13" s="10">
        <f t="shared" si="7"/>
        <v>1645</v>
      </c>
      <c r="S13" s="10">
        <f>INT(参数调整!K3*Q13)</f>
        <v>675</v>
      </c>
      <c r="T13" s="10">
        <f t="shared" si="8"/>
        <v>1980.0000000000002</v>
      </c>
      <c r="U13" s="10">
        <f t="shared" si="9"/>
        <v>2413</v>
      </c>
      <c r="V13" s="10">
        <f>INT(参数调整!K3*T13)</f>
        <v>990</v>
      </c>
      <c r="W13" s="10">
        <f t="shared" si="43"/>
        <v>1800</v>
      </c>
      <c r="X13" s="10">
        <f t="shared" si="22"/>
        <v>2194</v>
      </c>
      <c r="Y13" s="10">
        <f>INT(参数调整!$K$3*W13)</f>
        <v>900</v>
      </c>
      <c r="Z13" s="10">
        <f t="shared" si="23"/>
        <v>1800</v>
      </c>
      <c r="AA13" s="10">
        <f t="shared" si="24"/>
        <v>2194</v>
      </c>
      <c r="AB13" s="10">
        <f>INT(参数调整!$K$3*Z13)</f>
        <v>900</v>
      </c>
      <c r="AC13" s="10">
        <f t="shared" si="25"/>
        <v>1800</v>
      </c>
      <c r="AD13" s="10">
        <f t="shared" si="26"/>
        <v>2194</v>
      </c>
      <c r="AE13" s="10">
        <f>INT(参数调整!$K$3*AC13)</f>
        <v>900</v>
      </c>
      <c r="AF13" s="10">
        <f t="shared" si="27"/>
        <v>1800</v>
      </c>
      <c r="AG13" s="10">
        <f t="shared" si="28"/>
        <v>2194</v>
      </c>
      <c r="AH13" s="10">
        <f>INT(参数调整!$K$3*AF13)</f>
        <v>900</v>
      </c>
      <c r="AI13" s="10">
        <f t="shared" si="29"/>
        <v>1800</v>
      </c>
      <c r="AJ13" s="10">
        <f t="shared" si="30"/>
        <v>2194</v>
      </c>
      <c r="AK13" s="10">
        <f>INT(参数调整!$K$3*AI13)</f>
        <v>900</v>
      </c>
      <c r="AL13" s="10">
        <f t="shared" si="31"/>
        <v>1800</v>
      </c>
      <c r="AM13" s="10">
        <f t="shared" si="32"/>
        <v>2194</v>
      </c>
      <c r="AN13" s="10">
        <f>INT(参数调整!$K$3*AL13)</f>
        <v>900</v>
      </c>
      <c r="AO13" s="10">
        <f t="shared" si="33"/>
        <v>1800</v>
      </c>
      <c r="AP13" s="10">
        <f t="shared" si="34"/>
        <v>2194</v>
      </c>
      <c r="AQ13" s="10">
        <f>INT(参数调整!$K$3*AO13)</f>
        <v>900</v>
      </c>
      <c r="AR13" s="165">
        <f t="shared" si="35"/>
        <v>1</v>
      </c>
      <c r="AS13" s="165">
        <f t="shared" si="35"/>
        <v>10</v>
      </c>
      <c r="AT13" s="165">
        <f t="shared" si="35"/>
        <v>120</v>
      </c>
      <c r="AU13" s="165">
        <f t="shared" si="35"/>
        <v>600</v>
      </c>
      <c r="AV13" s="165">
        <f t="shared" si="35"/>
        <v>1200</v>
      </c>
      <c r="AW13" s="165">
        <f t="shared" si="35"/>
        <v>1800</v>
      </c>
      <c r="AX13" s="165">
        <f t="shared" si="35"/>
        <v>999</v>
      </c>
      <c r="AY13" s="165">
        <f t="shared" si="35"/>
        <v>999</v>
      </c>
      <c r="AZ13" s="165">
        <f t="shared" si="35"/>
        <v>999</v>
      </c>
      <c r="BA13" s="165">
        <f t="shared" si="11"/>
        <v>999</v>
      </c>
      <c r="BB13" s="165">
        <f t="shared" si="11"/>
        <v>999</v>
      </c>
      <c r="BC13" s="165">
        <f t="shared" si="11"/>
        <v>999</v>
      </c>
      <c r="BD13" s="165">
        <f t="shared" si="11"/>
        <v>999</v>
      </c>
      <c r="BE13" s="10">
        <f t="shared" si="12"/>
        <v>38600</v>
      </c>
      <c r="BF13" s="10">
        <f t="shared" si="13"/>
        <v>447400</v>
      </c>
      <c r="BG13" s="10">
        <f t="shared" si="14"/>
        <v>2154000</v>
      </c>
      <c r="BH13" s="10">
        <f t="shared" si="15"/>
        <v>2071000</v>
      </c>
      <c r="BI13" s="146">
        <f t="shared" si="16"/>
        <v>4470000</v>
      </c>
      <c r="BJ13" s="146">
        <f t="shared" si="36"/>
        <v>2750000</v>
      </c>
      <c r="BK13" s="146">
        <f t="shared" si="37"/>
        <v>2750000</v>
      </c>
      <c r="BL13" s="146">
        <f t="shared" si="38"/>
        <v>2750000</v>
      </c>
      <c r="BM13" s="146">
        <f t="shared" si="39"/>
        <v>2750000</v>
      </c>
      <c r="BN13" s="146">
        <f t="shared" si="40"/>
        <v>2750000</v>
      </c>
      <c r="BO13" s="146">
        <f t="shared" si="41"/>
        <v>2750000</v>
      </c>
      <c r="BP13" s="146">
        <f t="shared" si="42"/>
        <v>2750000</v>
      </c>
      <c r="BQ13" s="149">
        <v>10</v>
      </c>
      <c r="BR13" s="151">
        <f t="shared" si="17"/>
        <v>3.0689180126944118</v>
      </c>
      <c r="BS13" s="151">
        <f t="shared" si="18"/>
        <v>0.82024638574983089</v>
      </c>
      <c r="BT13" s="150">
        <f>参数调整!H13</f>
        <v>0.74299999999999899</v>
      </c>
      <c r="BU13" s="149">
        <f>BQ13/BQ30*BT13*BU30</f>
        <v>73.474444444444345</v>
      </c>
      <c r="BV13" s="149">
        <f>BQ13/BQ30*BT13*BV30</f>
        <v>10.686358024691344</v>
      </c>
      <c r="BW13" s="149">
        <f>BQ13/BQ30*BT13*BW30</f>
        <v>41.400082304526691</v>
      </c>
      <c r="BX13" s="149">
        <f>BQ13/BQ30*BT13*BX30</f>
        <v>49.533333333333267</v>
      </c>
      <c r="BY13" s="149">
        <v>0</v>
      </c>
      <c r="BZ13" s="149">
        <f>基本装备!AH12</f>
        <v>2</v>
      </c>
      <c r="CA13" s="149">
        <f>BQ13/BQ30*BT13*CA30</f>
        <v>12.887839506172821</v>
      </c>
      <c r="CB13" s="149">
        <f>BQ13/BQ30*BT13*CB30</f>
        <v>6.8337654320987555</v>
      </c>
      <c r="CC13" s="149">
        <f>BQ13/BQ30*BT13*CC30</f>
        <v>6.8337654320987555</v>
      </c>
      <c r="CD13" s="149">
        <f>BQ13/BQ30*BT13*CD30</f>
        <v>99.418292181069845</v>
      </c>
      <c r="CE13" s="149">
        <f>BQ13/BQ30*BT13*CE30</f>
        <v>96.666440329217991</v>
      </c>
      <c r="CF13" s="149">
        <f>BQ13/BQ30*BT13*CF30</f>
        <v>13.208888888888872</v>
      </c>
      <c r="CG13" s="149">
        <f>BQ13/BQ30*BT13*CG30</f>
        <v>13.208888888888872</v>
      </c>
      <c r="CH13" s="149">
        <f>BQ13/BQ30*BT13*CH30</f>
        <v>23.681213991769511</v>
      </c>
      <c r="CI13" s="149">
        <f>BQ13/BQ30*BT13*CI30</f>
        <v>7.1089506172839414</v>
      </c>
      <c r="CJ13" s="149">
        <f>BQ13/BQ30*BT13*CJ30</f>
        <v>2.751851851851848</v>
      </c>
      <c r="CK13" s="149">
        <f>BQ13/BQ30*BT13*CK30</f>
        <v>5.7330246913580165</v>
      </c>
      <c r="CL13" s="149">
        <f>BQ13/BQ30*BT13*CL30</f>
        <v>8.4848765432098645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5.1826543209876466</v>
      </c>
      <c r="CP13" s="149">
        <f>BQ13/BQ30*BT13*CP30</f>
        <v>5.7330246913580165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5">
        <f>参数调整!C14</f>
        <v>105</v>
      </c>
      <c r="C14" s="15">
        <f>参数调整!D14</f>
        <v>4</v>
      </c>
      <c r="D14" s="10">
        <f t="shared" si="0"/>
        <v>22000</v>
      </c>
      <c r="E14" s="10">
        <f t="shared" si="1"/>
        <v>44000</v>
      </c>
      <c r="F14" s="15">
        <f>参数调整!E14</f>
        <v>2200</v>
      </c>
      <c r="G14" s="10">
        <f t="shared" si="2"/>
        <v>1100</v>
      </c>
      <c r="H14" s="10">
        <f t="shared" si="3"/>
        <v>1320</v>
      </c>
      <c r="I14" s="10">
        <f t="shared" si="4"/>
        <v>1649</v>
      </c>
      <c r="J14" s="10">
        <f>参数调整!K3*H14</f>
        <v>660</v>
      </c>
      <c r="K14" s="10">
        <f t="shared" si="19"/>
        <v>1430</v>
      </c>
      <c r="L14" s="10">
        <f t="shared" si="5"/>
        <v>1786</v>
      </c>
      <c r="M14" s="10">
        <f>INT(参数调整!K3*K14)</f>
        <v>715</v>
      </c>
      <c r="N14" s="10">
        <f t="shared" si="20"/>
        <v>1540</v>
      </c>
      <c r="O14" s="10">
        <f t="shared" si="6"/>
        <v>1924</v>
      </c>
      <c r="P14" s="10">
        <f>INT(参数调整!K3*N14)</f>
        <v>770</v>
      </c>
      <c r="Q14" s="10">
        <f t="shared" si="21"/>
        <v>1650</v>
      </c>
      <c r="R14" s="10">
        <f t="shared" si="7"/>
        <v>2061</v>
      </c>
      <c r="S14" s="10">
        <f>INT(参数调整!K3*Q14)</f>
        <v>825</v>
      </c>
      <c r="T14" s="10">
        <f t="shared" si="8"/>
        <v>2420</v>
      </c>
      <c r="U14" s="10">
        <f t="shared" si="9"/>
        <v>3024</v>
      </c>
      <c r="V14" s="10">
        <f>INT(参数调整!K3*T14)</f>
        <v>1210</v>
      </c>
      <c r="W14" s="10">
        <f t="shared" si="43"/>
        <v>2200</v>
      </c>
      <c r="X14" s="10">
        <f t="shared" si="22"/>
        <v>2749</v>
      </c>
      <c r="Y14" s="10">
        <f>INT(参数调整!$K$3*W14)</f>
        <v>1100</v>
      </c>
      <c r="Z14" s="10">
        <f t="shared" si="23"/>
        <v>2200</v>
      </c>
      <c r="AA14" s="10">
        <f t="shared" si="24"/>
        <v>2749</v>
      </c>
      <c r="AB14" s="10">
        <f>INT(参数调整!$K$3*Z14)</f>
        <v>1100</v>
      </c>
      <c r="AC14" s="10">
        <f t="shared" si="25"/>
        <v>2200</v>
      </c>
      <c r="AD14" s="10">
        <f t="shared" si="26"/>
        <v>2749</v>
      </c>
      <c r="AE14" s="10">
        <f>INT(参数调整!$K$3*AC14)</f>
        <v>1100</v>
      </c>
      <c r="AF14" s="10">
        <f t="shared" si="27"/>
        <v>2200</v>
      </c>
      <c r="AG14" s="10">
        <f t="shared" si="28"/>
        <v>2749</v>
      </c>
      <c r="AH14" s="10">
        <f>INT(参数调整!$K$3*AF14)</f>
        <v>1100</v>
      </c>
      <c r="AI14" s="10">
        <f t="shared" si="29"/>
        <v>2200</v>
      </c>
      <c r="AJ14" s="10">
        <f t="shared" si="30"/>
        <v>2749</v>
      </c>
      <c r="AK14" s="10">
        <f>INT(参数调整!$K$3*AI14)</f>
        <v>1100</v>
      </c>
      <c r="AL14" s="10">
        <f t="shared" si="31"/>
        <v>2200</v>
      </c>
      <c r="AM14" s="10">
        <f t="shared" si="32"/>
        <v>2749</v>
      </c>
      <c r="AN14" s="10">
        <f>INT(参数调整!$K$3*AL14)</f>
        <v>1100</v>
      </c>
      <c r="AO14" s="10">
        <f t="shared" si="33"/>
        <v>2200</v>
      </c>
      <c r="AP14" s="10">
        <f t="shared" si="34"/>
        <v>2749</v>
      </c>
      <c r="AQ14" s="10">
        <f>INT(参数调整!$K$3*AO14)</f>
        <v>1100</v>
      </c>
      <c r="AR14" s="165">
        <f t="shared" si="35"/>
        <v>1</v>
      </c>
      <c r="AS14" s="165">
        <f t="shared" si="35"/>
        <v>10</v>
      </c>
      <c r="AT14" s="165">
        <f t="shared" si="35"/>
        <v>120</v>
      </c>
      <c r="AU14" s="165">
        <f t="shared" si="35"/>
        <v>600</v>
      </c>
      <c r="AV14" s="165">
        <f t="shared" si="35"/>
        <v>1200</v>
      </c>
      <c r="AW14" s="165">
        <f t="shared" si="35"/>
        <v>1800</v>
      </c>
      <c r="AX14" s="165">
        <f t="shared" si="35"/>
        <v>999</v>
      </c>
      <c r="AY14" s="165">
        <f t="shared" si="35"/>
        <v>999</v>
      </c>
      <c r="AZ14" s="165">
        <f t="shared" si="35"/>
        <v>999</v>
      </c>
      <c r="BA14" s="165">
        <f t="shared" si="11"/>
        <v>999</v>
      </c>
      <c r="BB14" s="165">
        <f t="shared" si="11"/>
        <v>999</v>
      </c>
      <c r="BC14" s="165">
        <f t="shared" si="11"/>
        <v>999</v>
      </c>
      <c r="BD14" s="165">
        <f t="shared" si="11"/>
        <v>999</v>
      </c>
      <c r="BE14" s="10">
        <f t="shared" si="12"/>
        <v>56100</v>
      </c>
      <c r="BF14" s="10">
        <f t="shared" si="13"/>
        <v>650100</v>
      </c>
      <c r="BG14" s="10">
        <f t="shared" si="14"/>
        <v>3130000</v>
      </c>
      <c r="BH14" s="10">
        <f t="shared" si="15"/>
        <v>3009000</v>
      </c>
      <c r="BI14" s="146">
        <f t="shared" si="16"/>
        <v>6500000</v>
      </c>
      <c r="BJ14" s="146">
        <f t="shared" si="36"/>
        <v>4000000</v>
      </c>
      <c r="BK14" s="146">
        <f t="shared" si="37"/>
        <v>4000000</v>
      </c>
      <c r="BL14" s="146">
        <f t="shared" si="38"/>
        <v>4000000</v>
      </c>
      <c r="BM14" s="146">
        <f t="shared" si="39"/>
        <v>4000000</v>
      </c>
      <c r="BN14" s="146">
        <f t="shared" si="40"/>
        <v>4000000</v>
      </c>
      <c r="BO14" s="146">
        <f t="shared" si="41"/>
        <v>4000000</v>
      </c>
      <c r="BP14" s="146">
        <f t="shared" si="42"/>
        <v>4000000</v>
      </c>
      <c r="BQ14" s="149">
        <v>11</v>
      </c>
      <c r="BR14" s="151">
        <f t="shared" si="17"/>
        <v>3.6484353294294722</v>
      </c>
      <c r="BS14" s="151">
        <f t="shared" si="18"/>
        <v>0.80024648146174604</v>
      </c>
      <c r="BT14" s="150">
        <f>参数调整!H14</f>
        <v>0.75649999999999895</v>
      </c>
      <c r="BU14" s="149">
        <f>BQ14/BQ30*BT14*BU30</f>
        <v>82.290388888888771</v>
      </c>
      <c r="BV14" s="149">
        <f>BQ14/BQ30*BT14*BV30</f>
        <v>11.96857716049381</v>
      </c>
      <c r="BW14" s="149">
        <f>BQ14/BQ30*BT14*BW30</f>
        <v>46.367534979423795</v>
      </c>
      <c r="BX14" s="149">
        <f>BQ14/BQ30*BT14*BX30</f>
        <v>55.476666666666588</v>
      </c>
      <c r="BY14" s="149">
        <v>0</v>
      </c>
      <c r="BZ14" s="149">
        <f>基本装备!AH13</f>
        <v>3</v>
      </c>
      <c r="CA14" s="149">
        <f>BQ14/BQ30*BT14*CA30</f>
        <v>14.434206790123435</v>
      </c>
      <c r="CB14" s="149">
        <f>BQ14/BQ30*BT14*CB30</f>
        <v>7.6537253086419641</v>
      </c>
      <c r="CC14" s="149">
        <f>BQ14/BQ30*BT14*CC30</f>
        <v>7.6537253086419641</v>
      </c>
      <c r="CD14" s="149">
        <f>BQ14/BQ30*BT14*CD30</f>
        <v>111.34714917695459</v>
      </c>
      <c r="CE14" s="149">
        <f>BQ14/BQ30*BT14*CE30</f>
        <v>108.26511213991755</v>
      </c>
      <c r="CF14" s="149">
        <f>BQ14/BQ30*BT14*CF30</f>
        <v>14.793777777777755</v>
      </c>
      <c r="CG14" s="149">
        <f>BQ14/BQ30*BT14*CG30</f>
        <v>14.793777777777755</v>
      </c>
      <c r="CH14" s="149">
        <f>BQ14/BQ30*BT14*CH30</f>
        <v>26.522640946502015</v>
      </c>
      <c r="CI14" s="149">
        <f>BQ14/BQ30*BT14*CI30</f>
        <v>7.9619290123456681</v>
      </c>
      <c r="CJ14" s="149">
        <f>BQ14/BQ30*BT14*CJ30</f>
        <v>3.0820370370370327</v>
      </c>
      <c r="CK14" s="149">
        <f>BQ14/BQ30*BT14*CK30</f>
        <v>6.4209104938271508</v>
      </c>
      <c r="CL14" s="149">
        <f>BQ14/BQ30*BT14*CL30</f>
        <v>9.5029475308641835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5.8045030864197447</v>
      </c>
      <c r="CP14" s="149">
        <f>BQ14/BQ30*BT14*CP30</f>
        <v>6.4209104938271508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5">
        <f>参数调整!C15</f>
        <v>110</v>
      </c>
      <c r="C15" s="15">
        <f>参数调整!D15</f>
        <v>5</v>
      </c>
      <c r="D15" s="10">
        <f t="shared" si="0"/>
        <v>25500</v>
      </c>
      <c r="E15" s="10">
        <f t="shared" si="1"/>
        <v>51000</v>
      </c>
      <c r="F15" s="15">
        <f>参数调整!E15</f>
        <v>2550</v>
      </c>
      <c r="G15" s="10">
        <f t="shared" si="2"/>
        <v>1275</v>
      </c>
      <c r="H15" s="10">
        <f t="shared" si="3"/>
        <v>1530</v>
      </c>
      <c r="I15" s="10">
        <f t="shared" si="4"/>
        <v>1961</v>
      </c>
      <c r="J15" s="10">
        <f>参数调整!K3*H15</f>
        <v>765</v>
      </c>
      <c r="K15" s="10">
        <f t="shared" si="19"/>
        <v>1657</v>
      </c>
      <c r="L15" s="10">
        <f t="shared" si="5"/>
        <v>2124</v>
      </c>
      <c r="M15" s="10">
        <f>INT(参数调整!K3*K15)</f>
        <v>828</v>
      </c>
      <c r="N15" s="10">
        <f t="shared" si="20"/>
        <v>1785</v>
      </c>
      <c r="O15" s="10">
        <f t="shared" si="6"/>
        <v>2288</v>
      </c>
      <c r="P15" s="10">
        <f>INT(参数调整!K3*N15)</f>
        <v>892</v>
      </c>
      <c r="Q15" s="10">
        <f t="shared" si="21"/>
        <v>1912</v>
      </c>
      <c r="R15" s="10">
        <f t="shared" si="7"/>
        <v>2451</v>
      </c>
      <c r="S15" s="10">
        <f>INT(参数调整!K3*Q15)</f>
        <v>956</v>
      </c>
      <c r="T15" s="10">
        <f t="shared" si="8"/>
        <v>2805</v>
      </c>
      <c r="U15" s="10">
        <f t="shared" si="9"/>
        <v>3596</v>
      </c>
      <c r="V15" s="10">
        <f>INT(参数调整!K3*T15)</f>
        <v>1402</v>
      </c>
      <c r="W15" s="10">
        <f t="shared" si="43"/>
        <v>2550</v>
      </c>
      <c r="X15" s="10">
        <f t="shared" si="22"/>
        <v>3269</v>
      </c>
      <c r="Y15" s="10">
        <f>INT(参数调整!$K$3*W15)</f>
        <v>1275</v>
      </c>
      <c r="Z15" s="10">
        <f t="shared" si="23"/>
        <v>2550</v>
      </c>
      <c r="AA15" s="10">
        <f t="shared" si="24"/>
        <v>3269</v>
      </c>
      <c r="AB15" s="10">
        <f>INT(参数调整!$K$3*Z15)</f>
        <v>1275</v>
      </c>
      <c r="AC15" s="10">
        <f t="shared" si="25"/>
        <v>2550</v>
      </c>
      <c r="AD15" s="10">
        <f t="shared" si="26"/>
        <v>3269</v>
      </c>
      <c r="AE15" s="10">
        <f>INT(参数调整!$K$3*AC15)</f>
        <v>1275</v>
      </c>
      <c r="AF15" s="10">
        <f t="shared" si="27"/>
        <v>2550</v>
      </c>
      <c r="AG15" s="10">
        <f t="shared" si="28"/>
        <v>3269</v>
      </c>
      <c r="AH15" s="10">
        <f>INT(参数调整!$K$3*AF15)</f>
        <v>1275</v>
      </c>
      <c r="AI15" s="10">
        <f t="shared" si="29"/>
        <v>2550</v>
      </c>
      <c r="AJ15" s="10">
        <f t="shared" si="30"/>
        <v>3269</v>
      </c>
      <c r="AK15" s="10">
        <f>INT(参数调整!$K$3*AI15)</f>
        <v>1275</v>
      </c>
      <c r="AL15" s="10">
        <f t="shared" si="31"/>
        <v>2550</v>
      </c>
      <c r="AM15" s="10">
        <f t="shared" si="32"/>
        <v>3269</v>
      </c>
      <c r="AN15" s="10">
        <f>INT(参数调整!$K$3*AL15)</f>
        <v>1275</v>
      </c>
      <c r="AO15" s="10">
        <f t="shared" si="33"/>
        <v>2550</v>
      </c>
      <c r="AP15" s="10">
        <f t="shared" si="34"/>
        <v>3269</v>
      </c>
      <c r="AQ15" s="10">
        <f>INT(参数调整!$K$3*AO15)</f>
        <v>1275</v>
      </c>
      <c r="AR15" s="165">
        <f t="shared" si="35"/>
        <v>1</v>
      </c>
      <c r="AS15" s="165">
        <f t="shared" si="35"/>
        <v>10</v>
      </c>
      <c r="AT15" s="165">
        <f t="shared" si="35"/>
        <v>120</v>
      </c>
      <c r="AU15" s="165">
        <f t="shared" si="35"/>
        <v>600</v>
      </c>
      <c r="AV15" s="165">
        <f t="shared" si="35"/>
        <v>1200</v>
      </c>
      <c r="AW15" s="165">
        <f t="shared" si="35"/>
        <v>1800</v>
      </c>
      <c r="AX15" s="165">
        <f t="shared" si="35"/>
        <v>999</v>
      </c>
      <c r="AY15" s="165">
        <f t="shared" si="35"/>
        <v>999</v>
      </c>
      <c r="AZ15" s="165">
        <f t="shared" si="35"/>
        <v>999</v>
      </c>
      <c r="BA15" s="165">
        <f t="shared" si="11"/>
        <v>999</v>
      </c>
      <c r="BB15" s="165">
        <f t="shared" si="11"/>
        <v>999</v>
      </c>
      <c r="BC15" s="165">
        <f t="shared" si="11"/>
        <v>999</v>
      </c>
      <c r="BD15" s="165">
        <f t="shared" si="11"/>
        <v>999</v>
      </c>
      <c r="BE15" s="10">
        <f t="shared" si="12"/>
        <v>71400</v>
      </c>
      <c r="BF15" s="10">
        <f t="shared" si="13"/>
        <v>827000</v>
      </c>
      <c r="BG15" s="10">
        <f t="shared" si="14"/>
        <v>3981000</v>
      </c>
      <c r="BH15" s="10">
        <f t="shared" si="15"/>
        <v>3828000</v>
      </c>
      <c r="BI15" s="146">
        <f t="shared" si="16"/>
        <v>8270000</v>
      </c>
      <c r="BJ15" s="146">
        <f t="shared" si="36"/>
        <v>5090000</v>
      </c>
      <c r="BK15" s="146">
        <f t="shared" si="37"/>
        <v>5090000</v>
      </c>
      <c r="BL15" s="146">
        <f t="shared" si="38"/>
        <v>5090000</v>
      </c>
      <c r="BM15" s="146">
        <f t="shared" si="39"/>
        <v>5090000</v>
      </c>
      <c r="BN15" s="146">
        <f t="shared" si="40"/>
        <v>5090000</v>
      </c>
      <c r="BO15" s="146">
        <f t="shared" si="41"/>
        <v>5090000</v>
      </c>
      <c r="BP15" s="146">
        <f t="shared" si="42"/>
        <v>5090000</v>
      </c>
      <c r="BQ15" s="149">
        <v>12</v>
      </c>
      <c r="BR15" s="151">
        <f t="shared" si="17"/>
        <v>4.0025375210338341</v>
      </c>
      <c r="BS15" s="151">
        <f t="shared" si="18"/>
        <v>0.77998257668404236</v>
      </c>
      <c r="BT15" s="150">
        <f>参数调整!H15</f>
        <v>0.76999999999999902</v>
      </c>
      <c r="BU15" s="149">
        <f>BQ15/BQ30*BT15*BU30</f>
        <v>91.373333333333207</v>
      </c>
      <c r="BV15" s="149">
        <f>BQ15/BQ30*BT15*BV30</f>
        <v>13.289629629629612</v>
      </c>
      <c r="BW15" s="149">
        <f>BQ15/BQ30*BT15*BW30</f>
        <v>51.485432098765358</v>
      </c>
      <c r="BX15" s="149">
        <f>BQ15/BQ30*BT15*BX30</f>
        <v>61.599999999999916</v>
      </c>
      <c r="BY15" s="149">
        <v>0</v>
      </c>
      <c r="BZ15" s="149">
        <f>基本装备!AH14</f>
        <v>3</v>
      </c>
      <c r="CA15" s="149">
        <f>BQ15/BQ30*BT15*CA30</f>
        <v>16.027407407407384</v>
      </c>
      <c r="CB15" s="149">
        <f>BQ15/BQ30*BT15*CB30</f>
        <v>8.498518518518507</v>
      </c>
      <c r="CC15" s="149">
        <f>BQ15/BQ30*BT15*CC30</f>
        <v>8.498518518518507</v>
      </c>
      <c r="CD15" s="149">
        <f>BQ15/BQ30*BT15*CD30</f>
        <v>123.63728395061713</v>
      </c>
      <c r="CE15" s="149">
        <f>BQ15/BQ30*BT15*CE30</f>
        <v>120.21506172839491</v>
      </c>
      <c r="CF15" s="149">
        <f>BQ15/BQ30*BT15*CF30</f>
        <v>16.426666666666645</v>
      </c>
      <c r="CG15" s="149">
        <f>BQ15/BQ30*BT15*CG30</f>
        <v>16.426666666666645</v>
      </c>
      <c r="CH15" s="149">
        <f>BQ15/BQ30*BT15*CH30</f>
        <v>29.450123456790081</v>
      </c>
      <c r="CI15" s="149">
        <f>BQ15/BQ30*BT15*CI30</f>
        <v>8.8407407407407295</v>
      </c>
      <c r="CJ15" s="149">
        <f>BQ15/BQ30*BT15*CJ30</f>
        <v>3.4222222222222176</v>
      </c>
      <c r="CK15" s="149">
        <f>BQ15/BQ30*BT15*CK30</f>
        <v>7.12962962962962</v>
      </c>
      <c r="CL15" s="149">
        <f>BQ15/BQ30*BT15*CL30</f>
        <v>10.551851851851838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6.445185185185176</v>
      </c>
      <c r="CP15" s="149">
        <f>BQ15/BQ30*BT15*CP30</f>
        <v>7.12962962962962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5">
        <f>参数调整!C16</f>
        <v>120</v>
      </c>
      <c r="C16" s="15">
        <f>参数调整!D16</f>
        <v>6</v>
      </c>
      <c r="D16" s="10">
        <f t="shared" si="0"/>
        <v>29000</v>
      </c>
      <c r="E16" s="10">
        <f t="shared" si="1"/>
        <v>58000</v>
      </c>
      <c r="F16" s="15">
        <f>参数调整!E16</f>
        <v>2900</v>
      </c>
      <c r="G16" s="10">
        <f t="shared" si="2"/>
        <v>1450</v>
      </c>
      <c r="H16" s="10">
        <f t="shared" si="3"/>
        <v>1740</v>
      </c>
      <c r="I16" s="10">
        <f t="shared" si="4"/>
        <v>2291</v>
      </c>
      <c r="J16" s="10">
        <f>参数调整!K3*H16</f>
        <v>870</v>
      </c>
      <c r="K16" s="10">
        <f t="shared" si="19"/>
        <v>1885</v>
      </c>
      <c r="L16" s="10">
        <f t="shared" si="5"/>
        <v>2481</v>
      </c>
      <c r="M16" s="10">
        <f>INT(参数调整!K3*K16)</f>
        <v>942</v>
      </c>
      <c r="N16" s="10">
        <f t="shared" si="20"/>
        <v>2029.9999999999998</v>
      </c>
      <c r="O16" s="10">
        <f t="shared" si="6"/>
        <v>2672</v>
      </c>
      <c r="P16" s="10">
        <f>INT(参数调整!K3*N16)</f>
        <v>1015</v>
      </c>
      <c r="Q16" s="10">
        <f t="shared" si="21"/>
        <v>2175</v>
      </c>
      <c r="R16" s="10">
        <f t="shared" si="7"/>
        <v>2863</v>
      </c>
      <c r="S16" s="10">
        <f>INT(参数调整!K3*Q16)</f>
        <v>1087</v>
      </c>
      <c r="T16" s="10">
        <f t="shared" si="8"/>
        <v>3190.0000000000005</v>
      </c>
      <c r="U16" s="10">
        <f t="shared" si="9"/>
        <v>4200</v>
      </c>
      <c r="V16" s="10">
        <f>INT(参数调整!K3*T16)</f>
        <v>1595</v>
      </c>
      <c r="W16" s="10">
        <f t="shared" si="43"/>
        <v>2900</v>
      </c>
      <c r="X16" s="10">
        <f t="shared" si="22"/>
        <v>3818</v>
      </c>
      <c r="Y16" s="10">
        <f>INT(参数调整!$K$3*W16)</f>
        <v>1450</v>
      </c>
      <c r="Z16" s="10">
        <f t="shared" si="23"/>
        <v>2900</v>
      </c>
      <c r="AA16" s="10">
        <f t="shared" si="24"/>
        <v>3818</v>
      </c>
      <c r="AB16" s="10">
        <f>INT(参数调整!$K$3*Z16)</f>
        <v>1450</v>
      </c>
      <c r="AC16" s="10">
        <f t="shared" si="25"/>
        <v>2900</v>
      </c>
      <c r="AD16" s="10">
        <f t="shared" si="26"/>
        <v>3818</v>
      </c>
      <c r="AE16" s="10">
        <f>INT(参数调整!$K$3*AC16)</f>
        <v>1450</v>
      </c>
      <c r="AF16" s="10">
        <f t="shared" si="27"/>
        <v>2900</v>
      </c>
      <c r="AG16" s="10">
        <f t="shared" si="28"/>
        <v>3818</v>
      </c>
      <c r="AH16" s="10">
        <f>INT(参数调整!$K$3*AF16)</f>
        <v>1450</v>
      </c>
      <c r="AI16" s="10">
        <f t="shared" si="29"/>
        <v>2900</v>
      </c>
      <c r="AJ16" s="10">
        <f t="shared" si="30"/>
        <v>3818</v>
      </c>
      <c r="AK16" s="10">
        <f>INT(参数调整!$K$3*AI16)</f>
        <v>1450</v>
      </c>
      <c r="AL16" s="10">
        <f t="shared" si="31"/>
        <v>2900</v>
      </c>
      <c r="AM16" s="10">
        <f t="shared" si="32"/>
        <v>3818</v>
      </c>
      <c r="AN16" s="10">
        <f>INT(参数调整!$K$3*AL16)</f>
        <v>1450</v>
      </c>
      <c r="AO16" s="10">
        <f t="shared" si="33"/>
        <v>2900</v>
      </c>
      <c r="AP16" s="10">
        <f t="shared" si="34"/>
        <v>3818</v>
      </c>
      <c r="AQ16" s="10">
        <f>INT(参数调整!$K$3*AO16)</f>
        <v>1450</v>
      </c>
      <c r="AR16" s="165">
        <f t="shared" si="35"/>
        <v>1</v>
      </c>
      <c r="AS16" s="165">
        <f t="shared" si="35"/>
        <v>10</v>
      </c>
      <c r="AT16" s="165">
        <f t="shared" si="35"/>
        <v>120</v>
      </c>
      <c r="AU16" s="165">
        <f t="shared" si="35"/>
        <v>600</v>
      </c>
      <c r="AV16" s="165">
        <f t="shared" si="35"/>
        <v>1200</v>
      </c>
      <c r="AW16" s="165">
        <f t="shared" si="35"/>
        <v>1800</v>
      </c>
      <c r="AX16" s="165">
        <f t="shared" si="35"/>
        <v>999</v>
      </c>
      <c r="AY16" s="165">
        <f t="shared" si="35"/>
        <v>999</v>
      </c>
      <c r="AZ16" s="165">
        <f t="shared" si="35"/>
        <v>999</v>
      </c>
      <c r="BA16" s="165">
        <f t="shared" si="11"/>
        <v>999</v>
      </c>
      <c r="BB16" s="165">
        <f t="shared" si="11"/>
        <v>999</v>
      </c>
      <c r="BC16" s="165">
        <f t="shared" si="11"/>
        <v>999</v>
      </c>
      <c r="BD16" s="165">
        <f t="shared" si="11"/>
        <v>999</v>
      </c>
      <c r="BE16" s="10">
        <f t="shared" si="12"/>
        <v>89100</v>
      </c>
      <c r="BF16" s="10">
        <f t="shared" si="13"/>
        <v>1031300</v>
      </c>
      <c r="BG16" s="10">
        <f t="shared" si="14"/>
        <v>4964000</v>
      </c>
      <c r="BH16" s="10">
        <f t="shared" si="15"/>
        <v>4774000</v>
      </c>
      <c r="BI16" s="146">
        <f t="shared" si="16"/>
        <v>10310000</v>
      </c>
      <c r="BJ16" s="146">
        <f t="shared" si="36"/>
        <v>6350000</v>
      </c>
      <c r="BK16" s="146">
        <f t="shared" si="37"/>
        <v>6350000</v>
      </c>
      <c r="BL16" s="146">
        <f t="shared" si="38"/>
        <v>6350000</v>
      </c>
      <c r="BM16" s="146">
        <f t="shared" si="39"/>
        <v>6350000</v>
      </c>
      <c r="BN16" s="146">
        <f t="shared" si="40"/>
        <v>6350000</v>
      </c>
      <c r="BO16" s="146">
        <f t="shared" si="41"/>
        <v>6350000</v>
      </c>
      <c r="BP16" s="146">
        <f t="shared" si="42"/>
        <v>6350000</v>
      </c>
      <c r="BQ16" s="149">
        <v>13</v>
      </c>
      <c r="BR16" s="151">
        <f t="shared" si="17"/>
        <v>4.3895921868311101</v>
      </c>
      <c r="BS16" s="151">
        <f t="shared" si="18"/>
        <v>0.75948219253356408</v>
      </c>
      <c r="BT16" s="150">
        <f>参数调整!H16</f>
        <v>0.78349999999999898</v>
      </c>
      <c r="BU16" s="149">
        <f>BQ16/BQ30*BT16*BU30</f>
        <v>100.72327777777764</v>
      </c>
      <c r="BV16" s="149">
        <f>BQ16/BQ30*BT16*BV30</f>
        <v>14.649515432098745</v>
      </c>
      <c r="BW16" s="149">
        <f>BQ16/BQ30*BT16*BW30</f>
        <v>56.753773662551353</v>
      </c>
      <c r="BX16" s="149">
        <f>BQ16/BQ30*BT16*BX30</f>
        <v>67.903333333333237</v>
      </c>
      <c r="BY16" s="149">
        <v>0</v>
      </c>
      <c r="BZ16" s="149">
        <f>基本装备!AH15</f>
        <v>3</v>
      </c>
      <c r="CA16" s="149">
        <f>BQ16/BQ30*BT16*CA30</f>
        <v>17.667441358024664</v>
      </c>
      <c r="CB16" s="149">
        <f>BQ16/BQ30*BT16*CB30</f>
        <v>9.3681450617283808</v>
      </c>
      <c r="CC16" s="149">
        <f>BQ16/BQ30*BT16*CC30</f>
        <v>9.3681450617283808</v>
      </c>
      <c r="CD16" s="149">
        <f>BQ16/BQ30*BT16*CD30</f>
        <v>136.28869650205743</v>
      </c>
      <c r="CE16" s="149">
        <f>BQ16/BQ30*BT16*CE30</f>
        <v>132.51628909465003</v>
      </c>
      <c r="CF16" s="149">
        <f>BQ16/BQ30*BT16*CF30</f>
        <v>18.107555555555528</v>
      </c>
      <c r="CG16" s="149">
        <f>BQ16/BQ30*BT16*CG30</f>
        <v>18.107555555555528</v>
      </c>
      <c r="CH16" s="149">
        <f>BQ16/BQ30*BT16*CH30</f>
        <v>32.463661522633693</v>
      </c>
      <c r="CI16" s="149">
        <f>BQ16/BQ30*BT16*CI30</f>
        <v>9.7453858024691229</v>
      </c>
      <c r="CJ16" s="149">
        <f>BQ16/BQ30*BT16*CJ30</f>
        <v>3.7724074074074023</v>
      </c>
      <c r="CK16" s="149">
        <f>BQ16/BQ30*BT16*CK30</f>
        <v>7.8591820987654204</v>
      </c>
      <c r="CL16" s="149">
        <f>BQ16/BQ30*BT16*CL30</f>
        <v>11.631589506172823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7.1047006172839398</v>
      </c>
      <c r="CP16" s="149">
        <f>BQ16/BQ30*BT16*CP30</f>
        <v>7.8591820987654204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5">
        <f>参数调整!C17</f>
        <v>135</v>
      </c>
      <c r="C17" s="15">
        <f>参数调整!D17</f>
        <v>7</v>
      </c>
      <c r="D17" s="10">
        <f t="shared" si="0"/>
        <v>32000</v>
      </c>
      <c r="E17" s="10">
        <f t="shared" si="1"/>
        <v>64000</v>
      </c>
      <c r="F17" s="15">
        <f>参数调整!E17</f>
        <v>3200</v>
      </c>
      <c r="G17" s="10">
        <f t="shared" si="2"/>
        <v>1600</v>
      </c>
      <c r="H17" s="10">
        <f t="shared" si="3"/>
        <v>1920</v>
      </c>
      <c r="I17" s="10">
        <f t="shared" si="4"/>
        <v>2598</v>
      </c>
      <c r="J17" s="10">
        <f>参数调整!K3*H17</f>
        <v>960</v>
      </c>
      <c r="K17" s="10">
        <f t="shared" si="19"/>
        <v>2080</v>
      </c>
      <c r="L17" s="10">
        <f t="shared" si="5"/>
        <v>2815</v>
      </c>
      <c r="M17" s="10">
        <f>INT(参数调整!K3*K17)</f>
        <v>1040</v>
      </c>
      <c r="N17" s="10">
        <f t="shared" si="20"/>
        <v>2240</v>
      </c>
      <c r="O17" s="10">
        <f t="shared" si="6"/>
        <v>3032</v>
      </c>
      <c r="P17" s="10">
        <f>INT(参数调整!K3*N17)</f>
        <v>1120</v>
      </c>
      <c r="Q17" s="10">
        <f t="shared" si="21"/>
        <v>2400</v>
      </c>
      <c r="R17" s="10">
        <f t="shared" si="7"/>
        <v>3248</v>
      </c>
      <c r="S17" s="10">
        <f>INT(参数调整!K3*Q17)</f>
        <v>1200</v>
      </c>
      <c r="T17" s="10">
        <f t="shared" si="8"/>
        <v>3520.0000000000005</v>
      </c>
      <c r="U17" s="10">
        <f t="shared" si="9"/>
        <v>4764</v>
      </c>
      <c r="V17" s="10">
        <f>INT(参数调整!K3*T17)</f>
        <v>1760</v>
      </c>
      <c r="W17" s="10">
        <f t="shared" si="43"/>
        <v>3200</v>
      </c>
      <c r="X17" s="10">
        <f t="shared" si="22"/>
        <v>4331</v>
      </c>
      <c r="Y17" s="10">
        <f>INT(参数调整!$K$3*W17)</f>
        <v>1600</v>
      </c>
      <c r="Z17" s="10">
        <f t="shared" si="23"/>
        <v>3200</v>
      </c>
      <c r="AA17" s="10">
        <f t="shared" si="24"/>
        <v>4331</v>
      </c>
      <c r="AB17" s="10">
        <f>INT(参数调整!$K$3*Z17)</f>
        <v>1600</v>
      </c>
      <c r="AC17" s="10">
        <f t="shared" si="25"/>
        <v>3200</v>
      </c>
      <c r="AD17" s="10">
        <f t="shared" si="26"/>
        <v>4331</v>
      </c>
      <c r="AE17" s="10">
        <f>INT(参数调整!$K$3*AC17)</f>
        <v>1600</v>
      </c>
      <c r="AF17" s="10">
        <f t="shared" si="27"/>
        <v>3200</v>
      </c>
      <c r="AG17" s="10">
        <f t="shared" si="28"/>
        <v>4331</v>
      </c>
      <c r="AH17" s="10">
        <f>INT(参数调整!$K$3*AF17)</f>
        <v>1600</v>
      </c>
      <c r="AI17" s="10">
        <f t="shared" si="29"/>
        <v>3200</v>
      </c>
      <c r="AJ17" s="10">
        <f t="shared" si="30"/>
        <v>4331</v>
      </c>
      <c r="AK17" s="10">
        <f>INT(参数调整!$K$3*AI17)</f>
        <v>1600</v>
      </c>
      <c r="AL17" s="10">
        <f t="shared" si="31"/>
        <v>3200</v>
      </c>
      <c r="AM17" s="10">
        <f t="shared" si="32"/>
        <v>4331</v>
      </c>
      <c r="AN17" s="10">
        <f>INT(参数调整!$K$3*AL17)</f>
        <v>1600</v>
      </c>
      <c r="AO17" s="10">
        <f t="shared" si="33"/>
        <v>3200</v>
      </c>
      <c r="AP17" s="10">
        <f t="shared" si="34"/>
        <v>4331</v>
      </c>
      <c r="AQ17" s="10">
        <f>INT(参数调整!$K$3*AO17)</f>
        <v>1600</v>
      </c>
      <c r="AR17" s="165">
        <f t="shared" si="35"/>
        <v>1</v>
      </c>
      <c r="AS17" s="165">
        <f t="shared" si="35"/>
        <v>10</v>
      </c>
      <c r="AT17" s="165">
        <f t="shared" si="35"/>
        <v>120</v>
      </c>
      <c r="AU17" s="165">
        <f t="shared" si="35"/>
        <v>600</v>
      </c>
      <c r="AV17" s="165">
        <f t="shared" si="35"/>
        <v>1200</v>
      </c>
      <c r="AW17" s="165">
        <f t="shared" si="35"/>
        <v>1800</v>
      </c>
      <c r="AX17" s="165">
        <f t="shared" si="35"/>
        <v>999</v>
      </c>
      <c r="AY17" s="165">
        <f t="shared" si="35"/>
        <v>999</v>
      </c>
      <c r="AZ17" s="165">
        <f t="shared" si="35"/>
        <v>999</v>
      </c>
      <c r="BA17" s="165">
        <f t="shared" si="11"/>
        <v>999</v>
      </c>
      <c r="BB17" s="165">
        <f t="shared" si="11"/>
        <v>999</v>
      </c>
      <c r="BC17" s="165">
        <f t="shared" si="11"/>
        <v>999</v>
      </c>
      <c r="BD17" s="165">
        <f t="shared" si="11"/>
        <v>999</v>
      </c>
      <c r="BE17" s="10">
        <f t="shared" si="12"/>
        <v>107700</v>
      </c>
      <c r="BF17" s="10">
        <f t="shared" si="13"/>
        <v>1247300</v>
      </c>
      <c r="BG17" s="10">
        <f t="shared" si="14"/>
        <v>6005000</v>
      </c>
      <c r="BH17" s="10">
        <f t="shared" si="15"/>
        <v>5774000</v>
      </c>
      <c r="BI17" s="146">
        <f t="shared" si="16"/>
        <v>12470000</v>
      </c>
      <c r="BJ17" s="146">
        <f t="shared" si="36"/>
        <v>7690000</v>
      </c>
      <c r="BK17" s="146">
        <f t="shared" si="37"/>
        <v>7690000</v>
      </c>
      <c r="BL17" s="146">
        <f t="shared" si="38"/>
        <v>7690000</v>
      </c>
      <c r="BM17" s="146">
        <f t="shared" si="39"/>
        <v>7690000</v>
      </c>
      <c r="BN17" s="146">
        <f t="shared" si="40"/>
        <v>7690000</v>
      </c>
      <c r="BO17" s="146">
        <f t="shared" si="41"/>
        <v>7690000</v>
      </c>
      <c r="BP17" s="146">
        <f t="shared" si="42"/>
        <v>7690000</v>
      </c>
      <c r="BQ17" s="149">
        <v>14</v>
      </c>
      <c r="BR17" s="151">
        <f t="shared" si="17"/>
        <v>4.8124274660933262</v>
      </c>
      <c r="BS17" s="151">
        <f t="shared" si="18"/>
        <v>0.73877320885783504</v>
      </c>
      <c r="BT17" s="150">
        <f>参数调整!H17</f>
        <v>0.79699999999999904</v>
      </c>
      <c r="BU17" s="149">
        <f>BQ17/BQ30*BT17*BU30</f>
        <v>110.34022222222208</v>
      </c>
      <c r="BV17" s="149">
        <f>BQ17/BQ30*BT17*BV30</f>
        <v>16.048234567901215</v>
      </c>
      <c r="BW17" s="149">
        <f>BQ17/BQ30*BT17*BW30</f>
        <v>62.172559670781801</v>
      </c>
      <c r="BX17" s="149">
        <f>BQ17/BQ30*BT17*BX30</f>
        <v>74.386666666666571</v>
      </c>
      <c r="BY17" s="149">
        <v>0</v>
      </c>
      <c r="BZ17" s="149">
        <f>基本装备!AH16</f>
        <v>3</v>
      </c>
      <c r="CA17" s="149">
        <f>BQ17/BQ30*BT17*CA30</f>
        <v>19.35430864197528</v>
      </c>
      <c r="CB17" s="149">
        <f>BQ17/BQ30*BT17*CB30</f>
        <v>10.262604938271592</v>
      </c>
      <c r="CC17" s="149">
        <f>BQ17/BQ30*BT17*CC30</f>
        <v>10.262604938271592</v>
      </c>
      <c r="CD17" s="149">
        <f>BQ17/BQ30*BT17*CD30</f>
        <v>149.30138683127555</v>
      </c>
      <c r="CE17" s="149">
        <f>BQ17/BQ30*BT17*CE30</f>
        <v>145.16879423868295</v>
      </c>
      <c r="CF17" s="149">
        <f>BQ17/BQ30*BT17*CF30</f>
        <v>19.836444444444417</v>
      </c>
      <c r="CG17" s="149">
        <f>BQ17/BQ30*BT17*CG30</f>
        <v>19.836444444444417</v>
      </c>
      <c r="CH17" s="149">
        <f>BQ17/BQ30*BT17*CH30</f>
        <v>35.563255144032873</v>
      </c>
      <c r="CI17" s="149">
        <f>BQ17/BQ30*BT17*CI30</f>
        <v>10.675864197530851</v>
      </c>
      <c r="CJ17" s="149">
        <f>BQ17/BQ30*BT17*CJ30</f>
        <v>4.1325925925925873</v>
      </c>
      <c r="CK17" s="149">
        <f>BQ17/BQ30*BT17*CK30</f>
        <v>8.6095679012345556</v>
      </c>
      <c r="CL17" s="149">
        <f>BQ17/BQ30*BT17*CL30</f>
        <v>12.742160493827143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7.7830493827160385</v>
      </c>
      <c r="CP17" s="149">
        <f>BQ17/BQ30*BT17*CP30</f>
        <v>8.6095679012345556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5">
        <f>参数调整!C18</f>
        <v>155</v>
      </c>
      <c r="C18" s="15">
        <f>参数调整!D18</f>
        <v>8</v>
      </c>
      <c r="D18" s="10">
        <f t="shared" si="0"/>
        <v>35000</v>
      </c>
      <c r="E18" s="10">
        <f t="shared" si="1"/>
        <v>70000</v>
      </c>
      <c r="F18" s="15">
        <f>参数调整!E18</f>
        <v>3500</v>
      </c>
      <c r="G18" s="10">
        <f t="shared" si="2"/>
        <v>1750</v>
      </c>
      <c r="H18" s="10">
        <f t="shared" si="3"/>
        <v>2100</v>
      </c>
      <c r="I18" s="10">
        <f t="shared" si="4"/>
        <v>2925</v>
      </c>
      <c r="J18" s="10">
        <f>参数调整!K3*H18</f>
        <v>1050</v>
      </c>
      <c r="K18" s="10">
        <f t="shared" si="19"/>
        <v>2275</v>
      </c>
      <c r="L18" s="10">
        <f t="shared" si="5"/>
        <v>3169</v>
      </c>
      <c r="M18" s="10">
        <f>INT(参数调整!K3*K18)</f>
        <v>1137</v>
      </c>
      <c r="N18" s="10">
        <f t="shared" si="20"/>
        <v>2450</v>
      </c>
      <c r="O18" s="10">
        <f t="shared" si="6"/>
        <v>3412</v>
      </c>
      <c r="P18" s="10">
        <f>INT(参数调整!K3*N18)</f>
        <v>1225</v>
      </c>
      <c r="Q18" s="10">
        <f t="shared" si="21"/>
        <v>2625</v>
      </c>
      <c r="R18" s="10">
        <f t="shared" si="7"/>
        <v>3656</v>
      </c>
      <c r="S18" s="10">
        <f>INT(参数调整!K3*Q18)</f>
        <v>1312</v>
      </c>
      <c r="T18" s="10">
        <f t="shared" si="8"/>
        <v>3850.0000000000005</v>
      </c>
      <c r="U18" s="10">
        <f t="shared" si="9"/>
        <v>5362</v>
      </c>
      <c r="V18" s="10">
        <f>INT(参数调整!K3*T18)</f>
        <v>1925</v>
      </c>
      <c r="W18" s="10">
        <f t="shared" si="43"/>
        <v>3500</v>
      </c>
      <c r="X18" s="10">
        <f t="shared" si="22"/>
        <v>4875</v>
      </c>
      <c r="Y18" s="10">
        <f>INT(参数调整!$K$3*W18)</f>
        <v>1750</v>
      </c>
      <c r="Z18" s="10">
        <f t="shared" si="23"/>
        <v>3500</v>
      </c>
      <c r="AA18" s="10">
        <f t="shared" si="24"/>
        <v>4875</v>
      </c>
      <c r="AB18" s="10">
        <f>INT(参数调整!$K$3*Z18)</f>
        <v>1750</v>
      </c>
      <c r="AC18" s="10">
        <f t="shared" si="25"/>
        <v>3500</v>
      </c>
      <c r="AD18" s="10">
        <f t="shared" si="26"/>
        <v>4875</v>
      </c>
      <c r="AE18" s="10">
        <f>INT(参数调整!$K$3*AC18)</f>
        <v>1750</v>
      </c>
      <c r="AF18" s="10">
        <f t="shared" si="27"/>
        <v>3500</v>
      </c>
      <c r="AG18" s="10">
        <f t="shared" si="28"/>
        <v>4875</v>
      </c>
      <c r="AH18" s="10">
        <f>INT(参数调整!$K$3*AF18)</f>
        <v>1750</v>
      </c>
      <c r="AI18" s="10">
        <f t="shared" si="29"/>
        <v>3500</v>
      </c>
      <c r="AJ18" s="10">
        <f t="shared" si="30"/>
        <v>4875</v>
      </c>
      <c r="AK18" s="10">
        <f>INT(参数调整!$K$3*AI18)</f>
        <v>1750</v>
      </c>
      <c r="AL18" s="10">
        <f t="shared" si="31"/>
        <v>3500</v>
      </c>
      <c r="AM18" s="10">
        <f t="shared" si="32"/>
        <v>4875</v>
      </c>
      <c r="AN18" s="10">
        <f>INT(参数调整!$K$3*AL18)</f>
        <v>1750</v>
      </c>
      <c r="AO18" s="10">
        <f t="shared" si="33"/>
        <v>3500</v>
      </c>
      <c r="AP18" s="10">
        <f t="shared" si="34"/>
        <v>4875</v>
      </c>
      <c r="AQ18" s="10">
        <f>INT(参数调整!$K$3*AO18)</f>
        <v>1750</v>
      </c>
      <c r="AR18" s="165">
        <f t="shared" si="35"/>
        <v>1</v>
      </c>
      <c r="AS18" s="165">
        <f t="shared" si="35"/>
        <v>10</v>
      </c>
      <c r="AT18" s="165">
        <f t="shared" si="35"/>
        <v>120</v>
      </c>
      <c r="AU18" s="165">
        <f t="shared" si="35"/>
        <v>600</v>
      </c>
      <c r="AV18" s="165">
        <f t="shared" si="35"/>
        <v>1200</v>
      </c>
      <c r="AW18" s="165">
        <f t="shared" si="35"/>
        <v>1800</v>
      </c>
      <c r="AX18" s="165">
        <f t="shared" si="35"/>
        <v>999</v>
      </c>
      <c r="AY18" s="165">
        <f t="shared" si="35"/>
        <v>999</v>
      </c>
      <c r="AZ18" s="165">
        <f t="shared" si="35"/>
        <v>999</v>
      </c>
      <c r="BA18" s="165">
        <f t="shared" si="11"/>
        <v>999</v>
      </c>
      <c r="BB18" s="165">
        <f t="shared" si="11"/>
        <v>999</v>
      </c>
      <c r="BC18" s="165">
        <f t="shared" si="11"/>
        <v>999</v>
      </c>
      <c r="BD18" s="165">
        <f t="shared" si="11"/>
        <v>999</v>
      </c>
      <c r="BE18" s="10">
        <f t="shared" si="12"/>
        <v>139100</v>
      </c>
      <c r="BF18" s="10">
        <f t="shared" si="13"/>
        <v>1610500</v>
      </c>
      <c r="BG18" s="10">
        <f t="shared" si="14"/>
        <v>7752000</v>
      </c>
      <c r="BH18" s="10">
        <f t="shared" si="15"/>
        <v>7456000</v>
      </c>
      <c r="BI18" s="146">
        <f t="shared" si="16"/>
        <v>16100000</v>
      </c>
      <c r="BJ18" s="146">
        <f t="shared" si="36"/>
        <v>9920000</v>
      </c>
      <c r="BK18" s="146">
        <f t="shared" si="37"/>
        <v>9920000</v>
      </c>
      <c r="BL18" s="146">
        <f t="shared" si="38"/>
        <v>9920000</v>
      </c>
      <c r="BM18" s="146">
        <f t="shared" si="39"/>
        <v>9920000</v>
      </c>
      <c r="BN18" s="146">
        <f t="shared" si="40"/>
        <v>9920000</v>
      </c>
      <c r="BO18" s="146">
        <f t="shared" si="41"/>
        <v>9920000</v>
      </c>
      <c r="BP18" s="146">
        <f t="shared" si="42"/>
        <v>9920000</v>
      </c>
      <c r="BQ18" s="149">
        <v>15</v>
      </c>
      <c r="BR18" s="151">
        <f t="shared" si="17"/>
        <v>5.6797875013925019</v>
      </c>
      <c r="BS18" s="151">
        <f t="shared" si="18"/>
        <v>0.71788382510186466</v>
      </c>
      <c r="BT18" s="150">
        <f>参数调整!H18</f>
        <v>0.810499999999999</v>
      </c>
      <c r="BU18" s="149">
        <f>BQ18/BQ30*BT18*BU30</f>
        <v>120.22416666666652</v>
      </c>
      <c r="BV18" s="149">
        <f>BQ18/BQ30*BT18*BV30</f>
        <v>17.485787037037017</v>
      </c>
      <c r="BW18" s="149">
        <f>BQ18/BQ30*BT18*BW30</f>
        <v>67.741790123456695</v>
      </c>
      <c r="BX18" s="149">
        <f>BQ18/BQ30*BT18*BX30</f>
        <v>81.049999999999898</v>
      </c>
      <c r="BY18" s="149">
        <v>0</v>
      </c>
      <c r="BZ18" s="149">
        <f>基本装备!AH17</f>
        <v>4</v>
      </c>
      <c r="CA18" s="149">
        <f>BQ18/BQ30*BT18*CA30</f>
        <v>21.088009259259231</v>
      </c>
      <c r="CB18" s="149">
        <f>BQ18/BQ30*BT18*CB30</f>
        <v>11.181898148148134</v>
      </c>
      <c r="CC18" s="149">
        <f>BQ18/BQ30*BT18*CC30</f>
        <v>11.181898148148134</v>
      </c>
      <c r="CD18" s="149">
        <f>BQ18/BQ30*BT18*CD30</f>
        <v>162.67535493827143</v>
      </c>
      <c r="CE18" s="149">
        <f>BQ18/BQ30*BT18*CE30</f>
        <v>158.17257716049366</v>
      </c>
      <c r="CF18" s="149">
        <f>BQ18/BQ30*BT18*CF30</f>
        <v>21.613333333333308</v>
      </c>
      <c r="CG18" s="149">
        <f>BQ18/BQ30*BT18*CG30</f>
        <v>21.613333333333308</v>
      </c>
      <c r="CH18" s="149">
        <f>BQ18/BQ30*BT18*CH30</f>
        <v>38.748904320987599</v>
      </c>
      <c r="CI18" s="149">
        <f>BQ18/BQ30*BT18*CI30</f>
        <v>11.632175925925912</v>
      </c>
      <c r="CJ18" s="149">
        <f>BQ18/BQ30*BT18*CJ30</f>
        <v>4.502777777777772</v>
      </c>
      <c r="CK18" s="149">
        <f>BQ18/BQ30*BT18*CK30</f>
        <v>9.3807870370370257</v>
      </c>
      <c r="CL18" s="149">
        <f>BQ18/BQ30*BT18*CL30</f>
        <v>13.883564814814797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8.4802314814814697</v>
      </c>
      <c r="CP18" s="149">
        <f>BQ18/BQ30*BT18*CP30</f>
        <v>9.3807870370370257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5">
        <f>参数调整!C19</f>
        <v>190</v>
      </c>
      <c r="C19" s="15">
        <f>参数调整!D19</f>
        <v>9</v>
      </c>
      <c r="D19" s="10">
        <f t="shared" si="0"/>
        <v>37500</v>
      </c>
      <c r="E19" s="10">
        <f t="shared" si="1"/>
        <v>75000</v>
      </c>
      <c r="F19" s="15">
        <f>参数调整!E19</f>
        <v>3750</v>
      </c>
      <c r="G19" s="10">
        <f t="shared" si="2"/>
        <v>1875</v>
      </c>
      <c r="H19" s="10">
        <f t="shared" si="3"/>
        <v>2250</v>
      </c>
      <c r="I19" s="10">
        <f t="shared" si="4"/>
        <v>3228</v>
      </c>
      <c r="J19" s="10">
        <f>参数调整!K3*H19</f>
        <v>1125</v>
      </c>
      <c r="K19" s="10">
        <f t="shared" si="19"/>
        <v>2437</v>
      </c>
      <c r="L19" s="10">
        <f t="shared" si="5"/>
        <v>3497</v>
      </c>
      <c r="M19" s="10">
        <f>INT(参数调整!K3*K19)</f>
        <v>1218</v>
      </c>
      <c r="N19" s="10">
        <f t="shared" si="20"/>
        <v>2625</v>
      </c>
      <c r="O19" s="10">
        <f t="shared" si="6"/>
        <v>3766</v>
      </c>
      <c r="P19" s="10">
        <f>INT(参数调整!K3*N19)</f>
        <v>1312</v>
      </c>
      <c r="Q19" s="10">
        <f t="shared" si="21"/>
        <v>2812</v>
      </c>
      <c r="R19" s="10">
        <f t="shared" si="7"/>
        <v>4035</v>
      </c>
      <c r="S19" s="10">
        <f>INT(参数调整!K3*Q19)</f>
        <v>1406</v>
      </c>
      <c r="T19" s="10">
        <f t="shared" si="8"/>
        <v>4125</v>
      </c>
      <c r="U19" s="10">
        <f t="shared" si="9"/>
        <v>5919</v>
      </c>
      <c r="V19" s="10">
        <f>INT(参数调整!K3*T19)</f>
        <v>2062</v>
      </c>
      <c r="W19" s="10">
        <f t="shared" si="43"/>
        <v>3750</v>
      </c>
      <c r="X19" s="10">
        <f t="shared" si="22"/>
        <v>5381</v>
      </c>
      <c r="Y19" s="10">
        <f>INT(参数调整!$K$3*W19)</f>
        <v>1875</v>
      </c>
      <c r="Z19" s="10">
        <f t="shared" si="23"/>
        <v>3750</v>
      </c>
      <c r="AA19" s="10">
        <f t="shared" si="24"/>
        <v>5381</v>
      </c>
      <c r="AB19" s="10">
        <f>INT(参数调整!$K$3*Z19)</f>
        <v>1875</v>
      </c>
      <c r="AC19" s="10">
        <f t="shared" si="25"/>
        <v>3750</v>
      </c>
      <c r="AD19" s="10">
        <f t="shared" si="26"/>
        <v>5381</v>
      </c>
      <c r="AE19" s="10">
        <f>INT(参数调整!$K$3*AC19)</f>
        <v>1875</v>
      </c>
      <c r="AF19" s="10">
        <f t="shared" si="27"/>
        <v>3750</v>
      </c>
      <c r="AG19" s="10">
        <f t="shared" si="28"/>
        <v>5381</v>
      </c>
      <c r="AH19" s="10">
        <f>INT(参数调整!$K$3*AF19)</f>
        <v>1875</v>
      </c>
      <c r="AI19" s="10">
        <f t="shared" si="29"/>
        <v>3750</v>
      </c>
      <c r="AJ19" s="10">
        <f t="shared" si="30"/>
        <v>5381</v>
      </c>
      <c r="AK19" s="10">
        <f>INT(参数调整!$K$3*AI19)</f>
        <v>1875</v>
      </c>
      <c r="AL19" s="10">
        <f t="shared" si="31"/>
        <v>3750</v>
      </c>
      <c r="AM19" s="10">
        <f t="shared" si="32"/>
        <v>5381</v>
      </c>
      <c r="AN19" s="10">
        <f>INT(参数调整!$K$3*AL19)</f>
        <v>1875</v>
      </c>
      <c r="AO19" s="10">
        <f t="shared" si="33"/>
        <v>3750</v>
      </c>
      <c r="AP19" s="10">
        <f t="shared" si="34"/>
        <v>5381</v>
      </c>
      <c r="AQ19" s="10">
        <f>INT(参数调整!$K$3*AO19)</f>
        <v>1875</v>
      </c>
      <c r="AR19" s="165">
        <f t="shared" si="35"/>
        <v>1</v>
      </c>
      <c r="AS19" s="165">
        <f t="shared" si="35"/>
        <v>10</v>
      </c>
      <c r="AT19" s="165">
        <f t="shared" si="35"/>
        <v>120</v>
      </c>
      <c r="AU19" s="165">
        <f t="shared" si="35"/>
        <v>600</v>
      </c>
      <c r="AV19" s="165">
        <f t="shared" si="35"/>
        <v>1200</v>
      </c>
      <c r="AW19" s="165">
        <f t="shared" si="35"/>
        <v>1800</v>
      </c>
      <c r="AX19" s="165">
        <f t="shared" si="35"/>
        <v>999</v>
      </c>
      <c r="AY19" s="165">
        <f t="shared" si="35"/>
        <v>999</v>
      </c>
      <c r="AZ19" s="165">
        <f t="shared" si="35"/>
        <v>999</v>
      </c>
      <c r="BA19" s="165">
        <f t="shared" si="11"/>
        <v>999</v>
      </c>
      <c r="BB19" s="165">
        <f t="shared" si="11"/>
        <v>999</v>
      </c>
      <c r="BC19" s="165">
        <f t="shared" si="11"/>
        <v>999</v>
      </c>
      <c r="BD19" s="165">
        <f t="shared" si="11"/>
        <v>999</v>
      </c>
      <c r="BE19" s="10">
        <f t="shared" si="12"/>
        <v>163300</v>
      </c>
      <c r="BF19" s="10">
        <f t="shared" si="13"/>
        <v>1890500</v>
      </c>
      <c r="BG19" s="10">
        <f t="shared" si="14"/>
        <v>9101000</v>
      </c>
      <c r="BH19" s="10">
        <f t="shared" si="15"/>
        <v>8751000</v>
      </c>
      <c r="BI19" s="146">
        <f t="shared" si="16"/>
        <v>18900000</v>
      </c>
      <c r="BJ19" s="146">
        <f t="shared" si="36"/>
        <v>11650000</v>
      </c>
      <c r="BK19" s="146">
        <f t="shared" si="37"/>
        <v>11650000</v>
      </c>
      <c r="BL19" s="146">
        <f t="shared" si="38"/>
        <v>11650000</v>
      </c>
      <c r="BM19" s="146">
        <f t="shared" si="39"/>
        <v>11650000</v>
      </c>
      <c r="BN19" s="146">
        <f t="shared" si="40"/>
        <v>11650000</v>
      </c>
      <c r="BO19" s="146">
        <f t="shared" si="41"/>
        <v>11650000</v>
      </c>
      <c r="BP19" s="146">
        <f t="shared" si="42"/>
        <v>11650000</v>
      </c>
      <c r="BQ19" s="149">
        <v>16</v>
      </c>
      <c r="BR19" s="151">
        <f t="shared" si="17"/>
        <v>6.222300839933343</v>
      </c>
      <c r="BS19" s="151">
        <f t="shared" si="18"/>
        <v>0.69684252005745395</v>
      </c>
      <c r="BT19" s="150">
        <f>参数调整!H19</f>
        <v>0.82399999999999896</v>
      </c>
      <c r="BU19" s="149">
        <f>BQ19/BQ30*BT19*BU30</f>
        <v>130.37511111111095</v>
      </c>
      <c r="BV19" s="149">
        <f>BQ19/BQ30*BT19*BV30</f>
        <v>18.962172839506149</v>
      </c>
      <c r="BW19" s="149">
        <f>BQ19/BQ30*BT19*BW30</f>
        <v>73.461465020576028</v>
      </c>
      <c r="BX19" s="149">
        <f>BQ19/BQ30*BT19*BX30</f>
        <v>87.893333333333217</v>
      </c>
      <c r="BY19" s="149">
        <v>0</v>
      </c>
      <c r="BZ19" s="149">
        <f>基本装备!AH18</f>
        <v>4</v>
      </c>
      <c r="CA19" s="149">
        <f>BQ19/BQ30*BT19*CA30</f>
        <v>22.868543209876513</v>
      </c>
      <c r="CB19" s="149">
        <f>BQ19/BQ30*BT19*CB30</f>
        <v>12.126024691358008</v>
      </c>
      <c r="CC19" s="149">
        <f>BQ19/BQ30*BT19*CC30</f>
        <v>12.126024691358008</v>
      </c>
      <c r="CD19" s="149">
        <f>BQ19/BQ30*BT19*CD30</f>
        <v>176.41060082304506</v>
      </c>
      <c r="CE19" s="149">
        <f>BQ19/BQ30*BT19*CE30</f>
        <v>171.52763786008211</v>
      </c>
      <c r="CF19" s="149">
        <f>BQ19/BQ30*BT19*CF30</f>
        <v>23.438222222222194</v>
      </c>
      <c r="CG19" s="149">
        <f>BQ19/BQ30*BT19*CG30</f>
        <v>23.438222222222194</v>
      </c>
      <c r="CH19" s="149">
        <f>BQ19/BQ30*BT19*CH30</f>
        <v>42.020609053497886</v>
      </c>
      <c r="CI19" s="149">
        <f>BQ19/BQ30*BT19*CI30</f>
        <v>12.614320987654306</v>
      </c>
      <c r="CJ19" s="149">
        <f>BQ19/BQ30*BT19*CJ30</f>
        <v>4.8829629629629565</v>
      </c>
      <c r="CK19" s="149">
        <f>BQ19/BQ30*BT19*CK30</f>
        <v>10.172839506172826</v>
      </c>
      <c r="CL19" s="149">
        <f>BQ19/BQ30*BT19*CL30</f>
        <v>15.055802469135783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9.1962469135802341</v>
      </c>
      <c r="CP19" s="149">
        <f>BQ19/BQ30*BT19*CP30</f>
        <v>10.172839506172826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5">
        <f>参数调整!C20</f>
        <v>200</v>
      </c>
      <c r="C20" s="15">
        <f>参数调整!D20</f>
        <v>10</v>
      </c>
      <c r="D20" s="10">
        <f t="shared" si="0"/>
        <v>40000</v>
      </c>
      <c r="E20" s="10">
        <f t="shared" si="1"/>
        <v>80000</v>
      </c>
      <c r="F20" s="15">
        <f>参数调整!E20</f>
        <v>4000</v>
      </c>
      <c r="G20" s="10">
        <f t="shared" si="2"/>
        <v>2000</v>
      </c>
      <c r="H20" s="10">
        <f t="shared" si="3"/>
        <v>2400</v>
      </c>
      <c r="I20" s="10">
        <f t="shared" si="4"/>
        <v>3551</v>
      </c>
      <c r="J20" s="10">
        <f>参数调整!K3*H20</f>
        <v>1200</v>
      </c>
      <c r="K20" s="10">
        <f t="shared" si="19"/>
        <v>2600</v>
      </c>
      <c r="L20" s="10">
        <f t="shared" si="5"/>
        <v>3847</v>
      </c>
      <c r="M20" s="10">
        <f>INT(参数调整!K3*K20)</f>
        <v>1300</v>
      </c>
      <c r="N20" s="10">
        <f t="shared" si="20"/>
        <v>2800</v>
      </c>
      <c r="O20" s="10">
        <f t="shared" si="6"/>
        <v>4143</v>
      </c>
      <c r="P20" s="10">
        <f>INT(参数调整!K3*N20)</f>
        <v>1400</v>
      </c>
      <c r="Q20" s="10">
        <f t="shared" si="21"/>
        <v>3000</v>
      </c>
      <c r="R20" s="10">
        <f t="shared" si="7"/>
        <v>4439</v>
      </c>
      <c r="S20" s="10">
        <f>INT(参数调整!K3*Q20)</f>
        <v>1500</v>
      </c>
      <c r="T20" s="10">
        <f t="shared" si="8"/>
        <v>4400</v>
      </c>
      <c r="U20" s="10">
        <f t="shared" si="9"/>
        <v>6511</v>
      </c>
      <c r="V20" s="10">
        <f>INT(参数调整!K3*T20)</f>
        <v>2200</v>
      </c>
      <c r="W20" s="10">
        <f t="shared" si="43"/>
        <v>4000</v>
      </c>
      <c r="X20" s="10">
        <f t="shared" si="22"/>
        <v>5919</v>
      </c>
      <c r="Y20" s="10">
        <f>INT(参数调整!$K$3*W20)</f>
        <v>2000</v>
      </c>
      <c r="Z20" s="10">
        <f t="shared" si="23"/>
        <v>4000</v>
      </c>
      <c r="AA20" s="10">
        <f t="shared" si="24"/>
        <v>5919</v>
      </c>
      <c r="AB20" s="10">
        <f>INT(参数调整!$K$3*Z20)</f>
        <v>2000</v>
      </c>
      <c r="AC20" s="10">
        <f t="shared" si="25"/>
        <v>4000</v>
      </c>
      <c r="AD20" s="10">
        <f t="shared" si="26"/>
        <v>5919</v>
      </c>
      <c r="AE20" s="10">
        <f>INT(参数调整!$K$3*AC20)</f>
        <v>2000</v>
      </c>
      <c r="AF20" s="10">
        <f t="shared" si="27"/>
        <v>4000</v>
      </c>
      <c r="AG20" s="10">
        <f t="shared" si="28"/>
        <v>5919</v>
      </c>
      <c r="AH20" s="10">
        <f>INT(参数调整!$K$3*AF20)</f>
        <v>2000</v>
      </c>
      <c r="AI20" s="10">
        <f t="shared" si="29"/>
        <v>4000</v>
      </c>
      <c r="AJ20" s="10">
        <f t="shared" si="30"/>
        <v>5919</v>
      </c>
      <c r="AK20" s="10">
        <f>INT(参数调整!$K$3*AI20)</f>
        <v>2000</v>
      </c>
      <c r="AL20" s="10">
        <f t="shared" si="31"/>
        <v>4000</v>
      </c>
      <c r="AM20" s="10">
        <f t="shared" si="32"/>
        <v>5919</v>
      </c>
      <c r="AN20" s="10">
        <f>INT(参数调整!$K$3*AL20)</f>
        <v>2000</v>
      </c>
      <c r="AO20" s="10">
        <f t="shared" si="33"/>
        <v>4000</v>
      </c>
      <c r="AP20" s="10">
        <f t="shared" si="34"/>
        <v>5919</v>
      </c>
      <c r="AQ20" s="10">
        <f>INT(参数调整!$K$3*AO20)</f>
        <v>2000</v>
      </c>
      <c r="AR20" s="165">
        <f t="shared" si="35"/>
        <v>1</v>
      </c>
      <c r="AS20" s="165">
        <f t="shared" si="35"/>
        <v>10</v>
      </c>
      <c r="AT20" s="165">
        <f t="shared" si="35"/>
        <v>120</v>
      </c>
      <c r="AU20" s="165">
        <f t="shared" si="35"/>
        <v>600</v>
      </c>
      <c r="AV20" s="165">
        <f t="shared" si="35"/>
        <v>1200</v>
      </c>
      <c r="AW20" s="165">
        <f t="shared" si="35"/>
        <v>1800</v>
      </c>
      <c r="AX20" s="165">
        <f t="shared" si="35"/>
        <v>999</v>
      </c>
      <c r="AY20" s="165">
        <f t="shared" si="35"/>
        <v>999</v>
      </c>
      <c r="AZ20" s="165">
        <f t="shared" si="35"/>
        <v>999</v>
      </c>
      <c r="BA20" s="165">
        <f t="shared" si="35"/>
        <v>999</v>
      </c>
      <c r="BB20" s="165">
        <f t="shared" si="35"/>
        <v>999</v>
      </c>
      <c r="BC20" s="165">
        <f t="shared" si="35"/>
        <v>999</v>
      </c>
      <c r="BD20" s="165">
        <f t="shared" si="35"/>
        <v>999</v>
      </c>
      <c r="BE20" s="10">
        <f t="shared" si="12"/>
        <v>190700</v>
      </c>
      <c r="BF20" s="10">
        <f t="shared" si="13"/>
        <v>2207700</v>
      </c>
      <c r="BG20" s="10">
        <f t="shared" si="14"/>
        <v>10629000</v>
      </c>
      <c r="BH20" s="10">
        <f t="shared" si="15"/>
        <v>10220000</v>
      </c>
      <c r="BI20" s="146">
        <f t="shared" si="16"/>
        <v>22070000</v>
      </c>
      <c r="BJ20" s="146">
        <f t="shared" si="36"/>
        <v>13610000</v>
      </c>
      <c r="BK20" s="146">
        <f t="shared" si="37"/>
        <v>13610000</v>
      </c>
      <c r="BL20" s="146">
        <f t="shared" si="38"/>
        <v>13610000</v>
      </c>
      <c r="BM20" s="146">
        <f t="shared" si="39"/>
        <v>13610000</v>
      </c>
      <c r="BN20" s="146">
        <f t="shared" si="40"/>
        <v>13610000</v>
      </c>
      <c r="BO20" s="146">
        <f t="shared" si="41"/>
        <v>13610000</v>
      </c>
      <c r="BP20" s="146">
        <f t="shared" si="42"/>
        <v>13610000</v>
      </c>
      <c r="BQ20" s="149">
        <v>17</v>
      </c>
      <c r="BR20" s="151">
        <f t="shared" si="17"/>
        <v>6.8139462451982959</v>
      </c>
      <c r="BS20" s="151">
        <f t="shared" si="18"/>
        <v>0.67567801049500009</v>
      </c>
      <c r="BT20" s="150">
        <f>参数调整!H20</f>
        <v>0.83749999999999902</v>
      </c>
      <c r="BU20" s="149">
        <f>BQ20/BQ30*BT20*BU30</f>
        <v>140.79305555555541</v>
      </c>
      <c r="BV20" s="149">
        <f>BQ20/BQ30*BT20*BV30</f>
        <v>20.47739197530862</v>
      </c>
      <c r="BW20" s="149">
        <f>BQ20/BQ30*BT20*BW30</f>
        <v>79.331584362139822</v>
      </c>
      <c r="BX20" s="149">
        <f>BQ20/BQ30*BT20*BX30</f>
        <v>94.916666666666558</v>
      </c>
      <c r="BY20" s="149">
        <v>0</v>
      </c>
      <c r="BZ20" s="149">
        <f>基本装备!AH19</f>
        <v>4</v>
      </c>
      <c r="CA20" s="149">
        <f>BQ20/BQ30*BT20*CA30</f>
        <v>24.695910493827132</v>
      </c>
      <c r="CB20" s="149">
        <f>BQ20/BQ30*BT20*CB30</f>
        <v>13.09498456790122</v>
      </c>
      <c r="CC20" s="149">
        <f>BQ20/BQ30*BT20*CC30</f>
        <v>13.09498456790122</v>
      </c>
      <c r="CD20" s="149">
        <f>BQ20/BQ30*BT20*CD30</f>
        <v>190.50712448559653</v>
      </c>
      <c r="CE20" s="149">
        <f>BQ20/BQ30*BT20*CE30</f>
        <v>185.23397633744838</v>
      </c>
      <c r="CF20" s="149">
        <f>BQ20/BQ30*BT20*CF30</f>
        <v>25.311111111111082</v>
      </c>
      <c r="CG20" s="149">
        <f>BQ20/BQ30*BT20*CG30</f>
        <v>25.311111111111082</v>
      </c>
      <c r="CH20" s="149">
        <f>BQ20/BQ30*BT20*CH30</f>
        <v>45.378369341563733</v>
      </c>
      <c r="CI20" s="149">
        <f>BQ20/BQ30*BT20*CI30</f>
        <v>13.622299382716037</v>
      </c>
      <c r="CJ20" s="149">
        <f>BQ20/BQ30*BT20*CJ30</f>
        <v>5.2731481481481426</v>
      </c>
      <c r="CK20" s="149">
        <f>BQ20/BQ30*BT20*CK30</f>
        <v>10.985725308641962</v>
      </c>
      <c r="CL20" s="149">
        <f>BQ20/BQ30*BT20*CL30</f>
        <v>16.258873456790106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9.9310956790123335</v>
      </c>
      <c r="CP20" s="149">
        <f>BQ20/BQ30*BT20*CP30</f>
        <v>10.985725308641962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5">
        <f>参数调整!C21</f>
        <v>200</v>
      </c>
      <c r="C21" s="15">
        <f>参数调整!D21</f>
        <v>11</v>
      </c>
      <c r="D21" s="10">
        <f t="shared" si="0"/>
        <v>44000</v>
      </c>
      <c r="E21" s="10">
        <f t="shared" si="1"/>
        <v>88000</v>
      </c>
      <c r="F21" s="15">
        <f>参数调整!E21</f>
        <v>4400</v>
      </c>
      <c r="G21" s="10">
        <f t="shared" si="2"/>
        <v>2200</v>
      </c>
      <c r="H21" s="10">
        <f t="shared" si="3"/>
        <v>2640</v>
      </c>
      <c r="I21" s="10">
        <f t="shared" si="4"/>
        <v>4034</v>
      </c>
      <c r="J21" s="10">
        <f>参数调整!K3*H21</f>
        <v>1320</v>
      </c>
      <c r="K21" s="10">
        <f t="shared" si="19"/>
        <v>2860</v>
      </c>
      <c r="L21" s="10">
        <f t="shared" si="5"/>
        <v>4370</v>
      </c>
      <c r="M21" s="10">
        <f>INT(参数调整!K3*K21)</f>
        <v>1430</v>
      </c>
      <c r="N21" s="10">
        <f t="shared" si="20"/>
        <v>3080</v>
      </c>
      <c r="O21" s="10">
        <f t="shared" si="6"/>
        <v>4706</v>
      </c>
      <c r="P21" s="10">
        <f>INT(参数调整!K3*N21)</f>
        <v>1540</v>
      </c>
      <c r="Q21" s="10">
        <f t="shared" si="21"/>
        <v>3300</v>
      </c>
      <c r="R21" s="10">
        <f t="shared" si="7"/>
        <v>5042</v>
      </c>
      <c r="S21" s="10">
        <f>INT(参数调整!K3*Q21)</f>
        <v>1650</v>
      </c>
      <c r="T21" s="10">
        <f t="shared" si="8"/>
        <v>4840</v>
      </c>
      <c r="U21" s="10">
        <f t="shared" si="9"/>
        <v>7395</v>
      </c>
      <c r="V21" s="10">
        <f>INT(参数调整!K3*T21)</f>
        <v>2420</v>
      </c>
      <c r="W21" s="10">
        <f t="shared" si="43"/>
        <v>4400</v>
      </c>
      <c r="X21" s="10">
        <f t="shared" si="22"/>
        <v>6723</v>
      </c>
      <c r="Y21" s="10">
        <f>INT(参数调整!$K$3*W21)</f>
        <v>2200</v>
      </c>
      <c r="Z21" s="10">
        <f t="shared" si="23"/>
        <v>4400</v>
      </c>
      <c r="AA21" s="10">
        <f t="shared" si="24"/>
        <v>6723</v>
      </c>
      <c r="AB21" s="10">
        <f>INT(参数调整!$K$3*Z21)</f>
        <v>2200</v>
      </c>
      <c r="AC21" s="10">
        <f t="shared" si="25"/>
        <v>4400</v>
      </c>
      <c r="AD21" s="10">
        <f t="shared" si="26"/>
        <v>6723</v>
      </c>
      <c r="AE21" s="10">
        <f>INT(参数调整!$K$3*AC21)</f>
        <v>2200</v>
      </c>
      <c r="AF21" s="10">
        <f t="shared" si="27"/>
        <v>4400</v>
      </c>
      <c r="AG21" s="10">
        <f t="shared" si="28"/>
        <v>6723</v>
      </c>
      <c r="AH21" s="10">
        <f>INT(参数调整!$K$3*AF21)</f>
        <v>2200</v>
      </c>
      <c r="AI21" s="10">
        <f t="shared" si="29"/>
        <v>4400</v>
      </c>
      <c r="AJ21" s="10">
        <f t="shared" si="30"/>
        <v>6723</v>
      </c>
      <c r="AK21" s="10">
        <f>INT(参数调整!$K$3*AI21)</f>
        <v>2200</v>
      </c>
      <c r="AL21" s="10">
        <f t="shared" si="31"/>
        <v>4400</v>
      </c>
      <c r="AM21" s="10">
        <f t="shared" si="32"/>
        <v>6723</v>
      </c>
      <c r="AN21" s="10">
        <f>INT(参数调整!$K$3*AL21)</f>
        <v>2200</v>
      </c>
      <c r="AO21" s="10">
        <f t="shared" si="33"/>
        <v>4400</v>
      </c>
      <c r="AP21" s="10">
        <f t="shared" si="34"/>
        <v>6723</v>
      </c>
      <c r="AQ21" s="10">
        <f>INT(参数调整!$K$3*AO21)</f>
        <v>2200</v>
      </c>
      <c r="AR21" s="165">
        <f t="shared" si="35"/>
        <v>1</v>
      </c>
      <c r="AS21" s="165">
        <f t="shared" si="35"/>
        <v>10</v>
      </c>
      <c r="AT21" s="165">
        <f t="shared" si="35"/>
        <v>120</v>
      </c>
      <c r="AU21" s="165">
        <f t="shared" si="35"/>
        <v>600</v>
      </c>
      <c r="AV21" s="165">
        <f t="shared" si="35"/>
        <v>1200</v>
      </c>
      <c r="AW21" s="165">
        <f t="shared" si="35"/>
        <v>1800</v>
      </c>
      <c r="AX21" s="165">
        <f t="shared" si="35"/>
        <v>999</v>
      </c>
      <c r="AY21" s="165">
        <f t="shared" si="35"/>
        <v>999</v>
      </c>
      <c r="AZ21" s="165">
        <f t="shared" si="35"/>
        <v>999</v>
      </c>
      <c r="BA21" s="165">
        <f t="shared" si="35"/>
        <v>999</v>
      </c>
      <c r="BB21" s="165">
        <f t="shared" si="35"/>
        <v>999</v>
      </c>
      <c r="BC21" s="165">
        <f t="shared" si="35"/>
        <v>999</v>
      </c>
      <c r="BD21" s="165">
        <f t="shared" si="35"/>
        <v>999</v>
      </c>
      <c r="BE21" s="10">
        <f t="shared" si="12"/>
        <v>229700</v>
      </c>
      <c r="BF21" s="10">
        <f t="shared" si="13"/>
        <v>2658300</v>
      </c>
      <c r="BG21" s="10">
        <f t="shared" si="14"/>
        <v>12799000</v>
      </c>
      <c r="BH21" s="10">
        <f t="shared" si="15"/>
        <v>12307000</v>
      </c>
      <c r="BI21" s="146">
        <f t="shared" si="16"/>
        <v>26580000</v>
      </c>
      <c r="BJ21" s="146">
        <f t="shared" si="36"/>
        <v>16390000</v>
      </c>
      <c r="BK21" s="146">
        <f t="shared" si="37"/>
        <v>16390000</v>
      </c>
      <c r="BL21" s="146">
        <f t="shared" si="38"/>
        <v>16390000</v>
      </c>
      <c r="BM21" s="146">
        <f t="shared" si="39"/>
        <v>16390000</v>
      </c>
      <c r="BN21" s="146">
        <f t="shared" si="40"/>
        <v>16390000</v>
      </c>
      <c r="BO21" s="146">
        <f t="shared" si="41"/>
        <v>16390000</v>
      </c>
      <c r="BP21" s="146">
        <f t="shared" si="42"/>
        <v>16390000</v>
      </c>
      <c r="BQ21" s="149">
        <v>18</v>
      </c>
      <c r="BR21" s="151">
        <f t="shared" si="17"/>
        <v>7.4587965090764659</v>
      </c>
      <c r="BS21" s="151">
        <f t="shared" si="18"/>
        <v>0.65441920867780279</v>
      </c>
      <c r="BT21" s="150">
        <f>参数调整!H21</f>
        <v>0.85099999999999898</v>
      </c>
      <c r="BU21" s="149">
        <f>BQ21/BQ30*BT21*BU30</f>
        <v>151.47799999999981</v>
      </c>
      <c r="BV21" s="149">
        <f>BQ21/BQ30*BT21*BV30</f>
        <v>22.031444444444418</v>
      </c>
      <c r="BW21" s="149">
        <f>BQ21/BQ30*BT21*BW30</f>
        <v>85.352148148148032</v>
      </c>
      <c r="BX21" s="149">
        <f>BQ21/BQ30*BT21*BX30</f>
        <v>102.11999999999986</v>
      </c>
      <c r="BY21" s="149">
        <v>0</v>
      </c>
      <c r="BZ21" s="149">
        <f>基本装备!AH20</f>
        <v>4</v>
      </c>
      <c r="CA21" s="149">
        <f>BQ21/BQ30*BT21*CA30</f>
        <v>26.570111111111075</v>
      </c>
      <c r="CB21" s="149">
        <f>BQ21/BQ30*BT21*CB30</f>
        <v>14.088777777777759</v>
      </c>
      <c r="CC21" s="149">
        <f>BQ21/BQ30*BT21*CC30</f>
        <v>14.088777777777759</v>
      </c>
      <c r="CD21" s="149">
        <f>BQ21/BQ30*BT21*CD30</f>
        <v>204.96492592592568</v>
      </c>
      <c r="CE21" s="149">
        <f>BQ21/BQ30*BT21*CE30</f>
        <v>199.29159259259237</v>
      </c>
      <c r="CF21" s="149">
        <f>BQ21/BQ30*BT21*CF30</f>
        <v>27.231999999999964</v>
      </c>
      <c r="CG21" s="149">
        <f>BQ21/BQ30*BT21*CG30</f>
        <v>27.231999999999964</v>
      </c>
      <c r="CH21" s="149">
        <f>BQ21/BQ30*BT21*CH30</f>
        <v>48.822185185185113</v>
      </c>
      <c r="CI21" s="149">
        <f>BQ21/BQ30*BT21*CI30</f>
        <v>14.656111111111093</v>
      </c>
      <c r="CJ21" s="149">
        <f>BQ21/BQ30*BT21*CJ30</f>
        <v>5.6733333333333258</v>
      </c>
      <c r="CK21" s="149">
        <f>BQ21/BQ30*BT21*CK30</f>
        <v>11.819444444444429</v>
      </c>
      <c r="CL21" s="149">
        <f>BQ21/BQ30*BT21*CL30</f>
        <v>17.492777777777754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10.684777777777763</v>
      </c>
      <c r="CP21" s="149">
        <f>BQ21/BQ30*BT21*CP30</f>
        <v>11.819444444444429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5">
        <f>参数调整!C22</f>
        <v>210</v>
      </c>
      <c r="C22" s="15">
        <f>参数调整!D22</f>
        <v>12</v>
      </c>
      <c r="D22" s="10">
        <f t="shared" ref="D22:D30" si="44">10*F22</f>
        <v>48000</v>
      </c>
      <c r="E22" s="10">
        <f t="shared" ref="E22:E30" si="45">20*F22</f>
        <v>96000</v>
      </c>
      <c r="F22" s="15">
        <f>参数调整!E22</f>
        <v>4800</v>
      </c>
      <c r="G22" s="10">
        <f t="shared" ref="G22:G30" si="46">1/2*F22</f>
        <v>2400</v>
      </c>
      <c r="H22" s="10">
        <f t="shared" si="3"/>
        <v>2880</v>
      </c>
      <c r="I22" s="10">
        <f t="shared" si="4"/>
        <v>4549</v>
      </c>
      <c r="J22" s="10">
        <f>参数调整!K3*H22</f>
        <v>1440</v>
      </c>
      <c r="K22" s="10">
        <f t="shared" si="19"/>
        <v>3120</v>
      </c>
      <c r="L22" s="10">
        <f t="shared" si="5"/>
        <v>4928</v>
      </c>
      <c r="M22" s="10">
        <f>INT(参数调整!K3*K22)</f>
        <v>1560</v>
      </c>
      <c r="N22" s="10">
        <f t="shared" si="20"/>
        <v>3360</v>
      </c>
      <c r="O22" s="10">
        <f t="shared" si="6"/>
        <v>5307</v>
      </c>
      <c r="P22" s="10">
        <f>INT(参数调整!K3*N22)</f>
        <v>1680</v>
      </c>
      <c r="Q22" s="10">
        <f t="shared" si="21"/>
        <v>3600</v>
      </c>
      <c r="R22" s="10">
        <f t="shared" si="7"/>
        <v>5686</v>
      </c>
      <c r="S22" s="10">
        <f>INT(参数调整!K3*Q22)</f>
        <v>1800</v>
      </c>
      <c r="T22" s="10">
        <f t="shared" si="8"/>
        <v>5280</v>
      </c>
      <c r="U22" s="10">
        <f t="shared" si="9"/>
        <v>8339</v>
      </c>
      <c r="V22" s="10">
        <f>INT(参数调整!K3*T22)</f>
        <v>2640</v>
      </c>
      <c r="W22" s="10">
        <f t="shared" si="43"/>
        <v>4800</v>
      </c>
      <c r="X22" s="10">
        <f t="shared" si="22"/>
        <v>7581</v>
      </c>
      <c r="Y22" s="10">
        <f>INT(参数调整!$K$3*W22)</f>
        <v>2400</v>
      </c>
      <c r="Z22" s="10">
        <f t="shared" si="23"/>
        <v>4800</v>
      </c>
      <c r="AA22" s="10">
        <f t="shared" si="24"/>
        <v>7581</v>
      </c>
      <c r="AB22" s="10">
        <f>INT(参数调整!$K$3*Z22)</f>
        <v>2400</v>
      </c>
      <c r="AC22" s="10">
        <f t="shared" si="25"/>
        <v>4800</v>
      </c>
      <c r="AD22" s="10">
        <f t="shared" si="26"/>
        <v>7581</v>
      </c>
      <c r="AE22" s="10">
        <f>INT(参数调整!$K$3*AC22)</f>
        <v>2400</v>
      </c>
      <c r="AF22" s="10">
        <f t="shared" si="27"/>
        <v>4800</v>
      </c>
      <c r="AG22" s="10">
        <f t="shared" si="28"/>
        <v>7581</v>
      </c>
      <c r="AH22" s="10">
        <f>INT(参数调整!$K$3*AF22)</f>
        <v>2400</v>
      </c>
      <c r="AI22" s="10">
        <f t="shared" si="29"/>
        <v>4800</v>
      </c>
      <c r="AJ22" s="10">
        <f t="shared" si="30"/>
        <v>7581</v>
      </c>
      <c r="AK22" s="10">
        <f>INT(参数调整!$K$3*AI22)</f>
        <v>2400</v>
      </c>
      <c r="AL22" s="10">
        <f t="shared" si="31"/>
        <v>4800</v>
      </c>
      <c r="AM22" s="10">
        <f t="shared" si="32"/>
        <v>7581</v>
      </c>
      <c r="AN22" s="10">
        <f>INT(参数调整!$K$3*AL22)</f>
        <v>2400</v>
      </c>
      <c r="AO22" s="10">
        <f t="shared" si="33"/>
        <v>4800</v>
      </c>
      <c r="AP22" s="10">
        <f t="shared" si="34"/>
        <v>7581</v>
      </c>
      <c r="AQ22" s="10">
        <f>INT(参数调整!$K$3*AO22)</f>
        <v>2400</v>
      </c>
      <c r="AR22" s="165">
        <f t="shared" si="35"/>
        <v>1</v>
      </c>
      <c r="AS22" s="165">
        <f t="shared" si="35"/>
        <v>10</v>
      </c>
      <c r="AT22" s="165">
        <f t="shared" si="35"/>
        <v>120</v>
      </c>
      <c r="AU22" s="165">
        <f t="shared" si="35"/>
        <v>600</v>
      </c>
      <c r="AV22" s="165">
        <f t="shared" si="35"/>
        <v>1200</v>
      </c>
      <c r="AW22" s="165">
        <f t="shared" si="35"/>
        <v>1800</v>
      </c>
      <c r="AX22" s="165">
        <f t="shared" si="35"/>
        <v>999</v>
      </c>
      <c r="AY22" s="165">
        <f t="shared" si="35"/>
        <v>999</v>
      </c>
      <c r="AZ22" s="165">
        <f t="shared" si="35"/>
        <v>999</v>
      </c>
      <c r="BA22" s="165">
        <f t="shared" si="35"/>
        <v>999</v>
      </c>
      <c r="BB22" s="165">
        <f t="shared" si="35"/>
        <v>999</v>
      </c>
      <c r="BC22" s="165">
        <f t="shared" si="35"/>
        <v>999</v>
      </c>
      <c r="BD22" s="165">
        <f t="shared" si="35"/>
        <v>999</v>
      </c>
      <c r="BE22" s="10">
        <f t="shared" si="12"/>
        <v>293800</v>
      </c>
      <c r="BF22" s="10">
        <f t="shared" si="13"/>
        <v>3399700</v>
      </c>
      <c r="BG22" s="10">
        <f t="shared" si="14"/>
        <v>16369000</v>
      </c>
      <c r="BH22" s="10">
        <f t="shared" si="15"/>
        <v>15739000</v>
      </c>
      <c r="BI22" s="146">
        <f t="shared" si="16"/>
        <v>33990000</v>
      </c>
      <c r="BJ22" s="146">
        <f t="shared" si="36"/>
        <v>20960000</v>
      </c>
      <c r="BK22" s="146">
        <f t="shared" si="37"/>
        <v>20960000</v>
      </c>
      <c r="BL22" s="146">
        <f t="shared" si="38"/>
        <v>20960000</v>
      </c>
      <c r="BM22" s="146">
        <f t="shared" si="39"/>
        <v>20960000</v>
      </c>
      <c r="BN22" s="146">
        <f t="shared" si="40"/>
        <v>20960000</v>
      </c>
      <c r="BO22" s="146">
        <f t="shared" si="41"/>
        <v>20960000</v>
      </c>
      <c r="BP22" s="146">
        <f t="shared" si="42"/>
        <v>20960000</v>
      </c>
      <c r="BQ22" s="149">
        <v>19</v>
      </c>
      <c r="BR22" s="151">
        <f t="shared" si="17"/>
        <v>8.7441669914404816</v>
      </c>
      <c r="BS22" s="151">
        <f t="shared" si="18"/>
        <v>0.63309517875886967</v>
      </c>
      <c r="BT22" s="150">
        <f>参数调整!H22</f>
        <v>0.86449999999999905</v>
      </c>
      <c r="BU22" s="149">
        <f>BQ22/BQ30*BT22*BU30</f>
        <v>162.42994444444426</v>
      </c>
      <c r="BV22" s="149">
        <f>BQ22/BQ30*BT22*BV30</f>
        <v>23.624330246913555</v>
      </c>
      <c r="BW22" s="149">
        <f>BQ22/BQ30*BT22*BW30</f>
        <v>91.523156378600703</v>
      </c>
      <c r="BX22" s="149">
        <f>BQ22/BQ30*BT22*BX30</f>
        <v>109.5033333333332</v>
      </c>
      <c r="BY22" s="149">
        <v>0</v>
      </c>
      <c r="BZ22" s="149">
        <f>基本装备!AH21</f>
        <v>5</v>
      </c>
      <c r="CA22" s="149">
        <f>BQ22/BQ30*BT22*CA30</f>
        <v>28.491145061728361</v>
      </c>
      <c r="CB22" s="149">
        <f>BQ22/BQ30*BT22*CB30</f>
        <v>15.107404320987635</v>
      </c>
      <c r="CC22" s="149">
        <f>BQ22/BQ30*BT22*CC30</f>
        <v>15.107404320987635</v>
      </c>
      <c r="CD22" s="149">
        <f>BQ22/BQ30*BT22*CD30</f>
        <v>219.7840051440327</v>
      </c>
      <c r="CE22" s="149">
        <f>BQ22/BQ30*BT22*CE30</f>
        <v>213.70048662551417</v>
      </c>
      <c r="CF22" s="149">
        <f>BQ22/BQ30*BT22*CF30</f>
        <v>29.200888888888855</v>
      </c>
      <c r="CG22" s="149">
        <f>BQ22/BQ30*BT22*CG30</f>
        <v>29.200888888888855</v>
      </c>
      <c r="CH22" s="149">
        <f>BQ22/BQ30*BT22*CH30</f>
        <v>52.352056584362074</v>
      </c>
      <c r="CI22" s="149">
        <f>BQ22/BQ30*BT22*CI30</f>
        <v>15.715756172839489</v>
      </c>
      <c r="CJ22" s="149">
        <f>BQ22/BQ30*BT22*CJ30</f>
        <v>6.0835185185185114</v>
      </c>
      <c r="CK22" s="149">
        <f>BQ22/BQ30*BT22*CK30</f>
        <v>12.673996913580231</v>
      </c>
      <c r="CL22" s="149">
        <f>BQ22/BQ30*BT22*CL30</f>
        <v>18.757515432098742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11.457293209876529</v>
      </c>
      <c r="CP22" s="149">
        <f>BQ22/BQ30*BT22*CP30</f>
        <v>12.673996913580231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5">
        <f>参数调整!C23</f>
        <v>210</v>
      </c>
      <c r="C23" s="15">
        <f>参数调整!D23</f>
        <v>13</v>
      </c>
      <c r="D23" s="10">
        <f t="shared" si="44"/>
        <v>53000</v>
      </c>
      <c r="E23" s="10">
        <f t="shared" si="45"/>
        <v>106000</v>
      </c>
      <c r="F23" s="15">
        <f>参数调整!E23</f>
        <v>5300</v>
      </c>
      <c r="G23" s="10">
        <f t="shared" si="46"/>
        <v>2650</v>
      </c>
      <c r="H23" s="10">
        <f t="shared" si="3"/>
        <v>3180</v>
      </c>
      <c r="I23" s="10">
        <f t="shared" si="4"/>
        <v>5198</v>
      </c>
      <c r="J23" s="10">
        <f>参数调整!K3*H23</f>
        <v>1590</v>
      </c>
      <c r="K23" s="10">
        <f t="shared" si="19"/>
        <v>3445</v>
      </c>
      <c r="L23" s="10">
        <f t="shared" si="5"/>
        <v>5631</v>
      </c>
      <c r="M23" s="10">
        <f>INT(参数调整!K3*K23)</f>
        <v>1722</v>
      </c>
      <c r="N23" s="10">
        <f t="shared" si="20"/>
        <v>3709.9999999999995</v>
      </c>
      <c r="O23" s="10">
        <f t="shared" si="6"/>
        <v>6064</v>
      </c>
      <c r="P23" s="10">
        <f>INT(参数调整!K3*N23)</f>
        <v>1855</v>
      </c>
      <c r="Q23" s="10">
        <f t="shared" si="21"/>
        <v>3975</v>
      </c>
      <c r="R23" s="10">
        <f t="shared" si="7"/>
        <v>6497</v>
      </c>
      <c r="S23" s="10">
        <f>INT(参数调整!K3*Q23)</f>
        <v>1987</v>
      </c>
      <c r="T23" s="10">
        <f t="shared" si="8"/>
        <v>5830.0000000000009</v>
      </c>
      <c r="U23" s="10">
        <f t="shared" si="9"/>
        <v>9530</v>
      </c>
      <c r="V23" s="10">
        <f>INT(参数调整!K3*T23)</f>
        <v>2915</v>
      </c>
      <c r="W23" s="10">
        <f t="shared" si="43"/>
        <v>5300</v>
      </c>
      <c r="X23" s="10">
        <f t="shared" si="22"/>
        <v>8663</v>
      </c>
      <c r="Y23" s="10">
        <f>INT(参数调整!$K$3*W23)</f>
        <v>2650</v>
      </c>
      <c r="Z23" s="10">
        <f t="shared" si="23"/>
        <v>5300</v>
      </c>
      <c r="AA23" s="10">
        <f t="shared" si="24"/>
        <v>8663</v>
      </c>
      <c r="AB23" s="10">
        <f>INT(参数调整!$K$3*Z23)</f>
        <v>2650</v>
      </c>
      <c r="AC23" s="10">
        <f t="shared" si="25"/>
        <v>5300</v>
      </c>
      <c r="AD23" s="10">
        <f t="shared" si="26"/>
        <v>8663</v>
      </c>
      <c r="AE23" s="10">
        <f>INT(参数调整!$K$3*AC23)</f>
        <v>2650</v>
      </c>
      <c r="AF23" s="10">
        <f t="shared" si="27"/>
        <v>5300</v>
      </c>
      <c r="AG23" s="10">
        <f t="shared" si="28"/>
        <v>8663</v>
      </c>
      <c r="AH23" s="10">
        <f>INT(参数调整!$K$3*AF23)</f>
        <v>2650</v>
      </c>
      <c r="AI23" s="10">
        <f t="shared" si="29"/>
        <v>5300</v>
      </c>
      <c r="AJ23" s="10">
        <f t="shared" si="30"/>
        <v>8663</v>
      </c>
      <c r="AK23" s="10">
        <f>INT(参数调整!$K$3*AI23)</f>
        <v>2650</v>
      </c>
      <c r="AL23" s="10">
        <f t="shared" si="31"/>
        <v>5300</v>
      </c>
      <c r="AM23" s="10">
        <f t="shared" si="32"/>
        <v>8663</v>
      </c>
      <c r="AN23" s="10">
        <f>INT(参数调整!$K$3*AL23)</f>
        <v>2650</v>
      </c>
      <c r="AO23" s="10">
        <f t="shared" si="33"/>
        <v>5300</v>
      </c>
      <c r="AP23" s="10">
        <f t="shared" si="34"/>
        <v>8663</v>
      </c>
      <c r="AQ23" s="10">
        <f>INT(参数调整!$K$3*AO23)</f>
        <v>2650</v>
      </c>
      <c r="AR23" s="165">
        <f t="shared" si="35"/>
        <v>1</v>
      </c>
      <c r="AS23" s="165">
        <f t="shared" si="35"/>
        <v>10</v>
      </c>
      <c r="AT23" s="165">
        <f t="shared" si="35"/>
        <v>120</v>
      </c>
      <c r="AU23" s="165">
        <f t="shared" si="35"/>
        <v>600</v>
      </c>
      <c r="AV23" s="165">
        <f t="shared" si="35"/>
        <v>1200</v>
      </c>
      <c r="AW23" s="165">
        <f t="shared" si="35"/>
        <v>1800</v>
      </c>
      <c r="AX23" s="165">
        <f t="shared" si="35"/>
        <v>999</v>
      </c>
      <c r="AY23" s="165">
        <f t="shared" si="35"/>
        <v>999</v>
      </c>
      <c r="AZ23" s="165">
        <f t="shared" si="35"/>
        <v>999</v>
      </c>
      <c r="BA23" s="165">
        <f t="shared" si="35"/>
        <v>999</v>
      </c>
      <c r="BB23" s="165">
        <f t="shared" si="35"/>
        <v>999</v>
      </c>
      <c r="BC23" s="165">
        <f t="shared" si="35"/>
        <v>999</v>
      </c>
      <c r="BD23" s="165">
        <f t="shared" si="35"/>
        <v>999</v>
      </c>
      <c r="BE23" s="10">
        <f t="shared" si="12"/>
        <v>354800</v>
      </c>
      <c r="BF23" s="10">
        <f t="shared" si="13"/>
        <v>4106100</v>
      </c>
      <c r="BG23" s="10">
        <f t="shared" si="14"/>
        <v>19767000</v>
      </c>
      <c r="BH23" s="10">
        <f t="shared" si="15"/>
        <v>19010000</v>
      </c>
      <c r="BI23" s="146">
        <f t="shared" si="16"/>
        <v>41050000</v>
      </c>
      <c r="BJ23" s="146">
        <f t="shared" si="36"/>
        <v>25310000</v>
      </c>
      <c r="BK23" s="146">
        <f t="shared" si="37"/>
        <v>25310000</v>
      </c>
      <c r="BL23" s="146">
        <f t="shared" si="38"/>
        <v>25310000</v>
      </c>
      <c r="BM23" s="146">
        <f t="shared" si="39"/>
        <v>25310000</v>
      </c>
      <c r="BN23" s="146">
        <f t="shared" si="40"/>
        <v>25310000</v>
      </c>
      <c r="BO23" s="146">
        <f t="shared" si="41"/>
        <v>25310000</v>
      </c>
      <c r="BP23" s="146">
        <f t="shared" si="42"/>
        <v>25310000</v>
      </c>
      <c r="BQ23" s="149">
        <v>20</v>
      </c>
      <c r="BR23" s="151">
        <f t="shared" si="17"/>
        <v>9.5634766024481159</v>
      </c>
      <c r="BS23" s="151">
        <f t="shared" si="18"/>
        <v>0.61173509206022159</v>
      </c>
      <c r="BT23" s="150">
        <f>参数调整!H23</f>
        <v>0.877999999999999</v>
      </c>
      <c r="BU23" s="149">
        <f>BQ23/BQ30*BT23*BU30</f>
        <v>173.64888888888868</v>
      </c>
      <c r="BV23" s="149">
        <f>BQ23/BQ30*BT23*BV30</f>
        <v>25.256049382716022</v>
      </c>
      <c r="BW23" s="149">
        <f>BQ23/BQ30*BT23*BW30</f>
        <v>97.84460905349782</v>
      </c>
      <c r="BX23" s="149">
        <f>BQ23/BQ30*BT23*BX30</f>
        <v>117.06666666666652</v>
      </c>
      <c r="BY23" s="149">
        <v>0</v>
      </c>
      <c r="BZ23" s="149">
        <f>基本装备!AH22</f>
        <v>5</v>
      </c>
      <c r="CA23" s="149">
        <f>BQ23/BQ30*BT23*CA30</f>
        <v>30.459012345678975</v>
      </c>
      <c r="CB23" s="149">
        <f>BQ23/BQ30*BT23*CB30</f>
        <v>16.150864197530844</v>
      </c>
      <c r="CC23" s="149">
        <f>BQ23/BQ30*BT23*CC30</f>
        <v>16.150864197530844</v>
      </c>
      <c r="CD23" s="149">
        <f>BQ23/BQ30*BT23*CD30</f>
        <v>234.96436213991745</v>
      </c>
      <c r="CE23" s="149">
        <f>BQ23/BQ30*BT23*CE30</f>
        <v>228.46065843621375</v>
      </c>
      <c r="CF23" s="149">
        <f>BQ23/BQ30*BT23*CF30</f>
        <v>31.217777777777741</v>
      </c>
      <c r="CG23" s="149">
        <f>BQ23/BQ30*BT23*CG30</f>
        <v>31.217777777777741</v>
      </c>
      <c r="CH23" s="149">
        <f>BQ23/BQ30*BT23*CH30</f>
        <v>55.967983539094575</v>
      </c>
      <c r="CI23" s="149">
        <f>BQ23/BQ30*BT23*CI30</f>
        <v>16.801234567901215</v>
      </c>
      <c r="CJ23" s="149">
        <f>BQ23/BQ30*BT23*CJ30</f>
        <v>6.503703703703696</v>
      </c>
      <c r="CK23" s="149">
        <f>BQ23/BQ30*BT23*CK30</f>
        <v>13.549382716049365</v>
      </c>
      <c r="CL23" s="149">
        <f>BQ23/BQ30*BT23*CL30</f>
        <v>20.053086419753061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12.248641975308626</v>
      </c>
      <c r="CP23" s="149">
        <f>BQ23/BQ30*BT23*CP30</f>
        <v>13.549382716049365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5">
        <f>参数调整!C24</f>
        <v>220</v>
      </c>
      <c r="C24" s="15">
        <f>参数调整!D24</f>
        <v>14</v>
      </c>
      <c r="D24" s="10">
        <f t="shared" si="44"/>
        <v>58000</v>
      </c>
      <c r="E24" s="10">
        <f t="shared" si="45"/>
        <v>116000</v>
      </c>
      <c r="F24" s="15">
        <f>参数调整!E24</f>
        <v>5800</v>
      </c>
      <c r="G24" s="10">
        <f t="shared" si="46"/>
        <v>2900</v>
      </c>
      <c r="H24" s="10">
        <f t="shared" si="3"/>
        <v>3480</v>
      </c>
      <c r="I24" s="10">
        <f t="shared" si="4"/>
        <v>5894</v>
      </c>
      <c r="J24" s="10">
        <f>参数调整!K3*H24</f>
        <v>1740</v>
      </c>
      <c r="K24" s="10">
        <f t="shared" si="19"/>
        <v>3770</v>
      </c>
      <c r="L24" s="10">
        <f t="shared" si="5"/>
        <v>6385</v>
      </c>
      <c r="M24" s="10">
        <f>INT(参数调整!K3*K24)</f>
        <v>1885</v>
      </c>
      <c r="N24" s="10">
        <f t="shared" si="20"/>
        <v>4059.9999999999995</v>
      </c>
      <c r="O24" s="10">
        <f t="shared" si="6"/>
        <v>6877</v>
      </c>
      <c r="P24" s="10">
        <f>INT(参数调整!K3*N24)</f>
        <v>2030</v>
      </c>
      <c r="Q24" s="10">
        <f t="shared" si="21"/>
        <v>4350</v>
      </c>
      <c r="R24" s="10">
        <f t="shared" si="7"/>
        <v>7368</v>
      </c>
      <c r="S24" s="10">
        <f>INT(参数调整!K3*Q24)</f>
        <v>2175</v>
      </c>
      <c r="T24" s="10">
        <f t="shared" si="8"/>
        <v>6380.0000000000009</v>
      </c>
      <c r="U24" s="10">
        <f t="shared" si="9"/>
        <v>10806</v>
      </c>
      <c r="V24" s="10">
        <f>INT(参数调整!K3*T24)</f>
        <v>3190</v>
      </c>
      <c r="W24" s="10">
        <f t="shared" si="43"/>
        <v>5800</v>
      </c>
      <c r="X24" s="10">
        <f t="shared" si="22"/>
        <v>9824</v>
      </c>
      <c r="Y24" s="10">
        <f>INT(参数调整!$K$3*W24)</f>
        <v>2900</v>
      </c>
      <c r="Z24" s="10">
        <f t="shared" si="23"/>
        <v>5800</v>
      </c>
      <c r="AA24" s="10">
        <f t="shared" si="24"/>
        <v>9824</v>
      </c>
      <c r="AB24" s="10">
        <f>INT(参数调整!$K$3*Z24)</f>
        <v>2900</v>
      </c>
      <c r="AC24" s="10">
        <f t="shared" si="25"/>
        <v>5800</v>
      </c>
      <c r="AD24" s="10">
        <f t="shared" si="26"/>
        <v>9824</v>
      </c>
      <c r="AE24" s="10">
        <f>INT(参数调整!$K$3*AC24)</f>
        <v>2900</v>
      </c>
      <c r="AF24" s="10">
        <f t="shared" si="27"/>
        <v>5800</v>
      </c>
      <c r="AG24" s="10">
        <f t="shared" si="28"/>
        <v>9824</v>
      </c>
      <c r="AH24" s="10">
        <f>INT(参数调整!$K$3*AF24)</f>
        <v>2900</v>
      </c>
      <c r="AI24" s="10">
        <f t="shared" si="29"/>
        <v>5800</v>
      </c>
      <c r="AJ24" s="10">
        <f t="shared" si="30"/>
        <v>9824</v>
      </c>
      <c r="AK24" s="10">
        <f>INT(参数调整!$K$3*AI24)</f>
        <v>2900</v>
      </c>
      <c r="AL24" s="10">
        <f t="shared" si="31"/>
        <v>5800</v>
      </c>
      <c r="AM24" s="10">
        <f t="shared" si="32"/>
        <v>9824</v>
      </c>
      <c r="AN24" s="10">
        <f>INT(参数调整!$K$3*AL24)</f>
        <v>2900</v>
      </c>
      <c r="AO24" s="10">
        <f t="shared" si="33"/>
        <v>5800</v>
      </c>
      <c r="AP24" s="10">
        <f t="shared" si="34"/>
        <v>9824</v>
      </c>
      <c r="AQ24" s="10">
        <f>INT(参数调整!$K$3*AO24)</f>
        <v>2900</v>
      </c>
      <c r="AR24" s="165">
        <f t="shared" si="35"/>
        <v>1</v>
      </c>
      <c r="AS24" s="165">
        <f t="shared" si="35"/>
        <v>10</v>
      </c>
      <c r="AT24" s="165">
        <f t="shared" si="35"/>
        <v>120</v>
      </c>
      <c r="AU24" s="165">
        <f t="shared" si="35"/>
        <v>600</v>
      </c>
      <c r="AV24" s="165">
        <f t="shared" si="35"/>
        <v>1200</v>
      </c>
      <c r="AW24" s="165">
        <f t="shared" si="35"/>
        <v>1800</v>
      </c>
      <c r="AX24" s="165">
        <f t="shared" si="35"/>
        <v>999</v>
      </c>
      <c r="AY24" s="165">
        <f t="shared" si="35"/>
        <v>999</v>
      </c>
      <c r="AZ24" s="165">
        <f t="shared" si="35"/>
        <v>999</v>
      </c>
      <c r="BA24" s="165">
        <f t="shared" si="35"/>
        <v>999</v>
      </c>
      <c r="BB24" s="165">
        <f t="shared" si="35"/>
        <v>999</v>
      </c>
      <c r="BC24" s="165">
        <f t="shared" si="35"/>
        <v>999</v>
      </c>
      <c r="BD24" s="165">
        <f t="shared" si="35"/>
        <v>999</v>
      </c>
      <c r="BE24" s="10">
        <f t="shared" si="12"/>
        <v>424400</v>
      </c>
      <c r="BF24" s="10">
        <f t="shared" si="13"/>
        <v>4911700</v>
      </c>
      <c r="BG24" s="10">
        <f t="shared" si="14"/>
        <v>23648000</v>
      </c>
      <c r="BH24" s="10">
        <f t="shared" si="15"/>
        <v>22739000</v>
      </c>
      <c r="BI24" s="146">
        <f t="shared" si="16"/>
        <v>49110000</v>
      </c>
      <c r="BJ24" s="146">
        <f t="shared" si="36"/>
        <v>30280000</v>
      </c>
      <c r="BK24" s="146">
        <f t="shared" si="37"/>
        <v>30280000</v>
      </c>
      <c r="BL24" s="146">
        <f t="shared" si="38"/>
        <v>30280000</v>
      </c>
      <c r="BM24" s="146">
        <f t="shared" si="39"/>
        <v>30280000</v>
      </c>
      <c r="BN24" s="146">
        <f t="shared" si="40"/>
        <v>30280000</v>
      </c>
      <c r="BO24" s="146">
        <f t="shared" si="41"/>
        <v>30280000</v>
      </c>
      <c r="BP24" s="146">
        <f t="shared" si="42"/>
        <v>30280000</v>
      </c>
      <c r="BQ24" s="149">
        <v>21</v>
      </c>
      <c r="BR24" s="151">
        <f t="shared" si="17"/>
        <v>10.45487788663322</v>
      </c>
      <c r="BS24" s="151">
        <f t="shared" si="18"/>
        <v>0.59036818123469836</v>
      </c>
      <c r="BT24" s="150">
        <f>参数调整!H24</f>
        <v>0.89149999999999896</v>
      </c>
      <c r="BU24" s="149">
        <f>BQ24/BQ30*BT24*BU30</f>
        <v>185.13483333333312</v>
      </c>
      <c r="BV24" s="149">
        <f>BQ24/BQ30*BT24*BV30</f>
        <v>26.926601851851821</v>
      </c>
      <c r="BW24" s="149">
        <f>BQ24/BQ30*BT24*BW30</f>
        <v>104.31650617283937</v>
      </c>
      <c r="BX24" s="149">
        <f>BQ24/BQ30*BT24*BX30</f>
        <v>124.80999999999985</v>
      </c>
      <c r="BY24" s="149">
        <v>0</v>
      </c>
      <c r="BZ24" s="149">
        <f>基本装备!AH23</f>
        <v>5</v>
      </c>
      <c r="CA24" s="149">
        <f>BQ24/BQ30*BT24*CA30</f>
        <v>32.473712962962921</v>
      </c>
      <c r="CB24" s="149">
        <f>BQ24/BQ30*BT24*CB30</f>
        <v>17.219157407407387</v>
      </c>
      <c r="CC24" s="149">
        <f>BQ24/BQ30*BT24*CC30</f>
        <v>17.219157407407387</v>
      </c>
      <c r="CD24" s="149">
        <f>BQ24/BQ30*BT24*CD30</f>
        <v>250.50599691357999</v>
      </c>
      <c r="CE24" s="149">
        <f>BQ24/BQ30*BT24*CE30</f>
        <v>243.57210802469109</v>
      </c>
      <c r="CF24" s="149">
        <f>BQ24/BQ30*BT24*CF30</f>
        <v>33.282666666666628</v>
      </c>
      <c r="CG24" s="149">
        <f>BQ24/BQ30*BT24*CG30</f>
        <v>33.282666666666628</v>
      </c>
      <c r="CH24" s="149">
        <f>BQ24/BQ30*BT24*CH30</f>
        <v>59.669966049382637</v>
      </c>
      <c r="CI24" s="149">
        <f>BQ24/BQ30*BT24*CI30</f>
        <v>17.912546296296277</v>
      </c>
      <c r="CJ24" s="149">
        <f>BQ24/BQ30*BT24*CJ30</f>
        <v>6.9338888888888803</v>
      </c>
      <c r="CK24" s="149">
        <f>BQ24/BQ30*BT24*CK30</f>
        <v>14.445601851851833</v>
      </c>
      <c r="CL24" s="149">
        <f>BQ24/BQ30*BT24*CL30</f>
        <v>21.379490740740714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13.058824074074058</v>
      </c>
      <c r="CP24" s="149">
        <f>BQ24/BQ30*BT24*CP30</f>
        <v>14.445601851851833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5">
        <f>参数调整!C25</f>
        <v>220</v>
      </c>
      <c r="C25" s="15">
        <f>参数调整!D25</f>
        <v>15</v>
      </c>
      <c r="D25" s="10">
        <f t="shared" si="44"/>
        <v>64000</v>
      </c>
      <c r="E25" s="10">
        <f t="shared" si="45"/>
        <v>128000</v>
      </c>
      <c r="F25" s="15">
        <f>参数调整!E25</f>
        <v>6400</v>
      </c>
      <c r="G25" s="10">
        <f t="shared" si="46"/>
        <v>3200</v>
      </c>
      <c r="H25" s="10">
        <f t="shared" si="3"/>
        <v>3840</v>
      </c>
      <c r="I25" s="10">
        <f t="shared" si="4"/>
        <v>6748</v>
      </c>
      <c r="J25" s="10">
        <f>参数调整!K3*H25</f>
        <v>1920</v>
      </c>
      <c r="K25" s="10">
        <f t="shared" si="19"/>
        <v>4160</v>
      </c>
      <c r="L25" s="10">
        <f t="shared" si="5"/>
        <v>7310</v>
      </c>
      <c r="M25" s="10">
        <f>INT(参数调整!K3*K25)</f>
        <v>2080</v>
      </c>
      <c r="N25" s="10">
        <f t="shared" si="20"/>
        <v>4480</v>
      </c>
      <c r="O25" s="10">
        <f t="shared" si="6"/>
        <v>7873</v>
      </c>
      <c r="P25" s="10">
        <f>INT(参数调整!K3*N25)</f>
        <v>2240</v>
      </c>
      <c r="Q25" s="10">
        <f t="shared" si="21"/>
        <v>4800</v>
      </c>
      <c r="R25" s="10">
        <f t="shared" si="7"/>
        <v>8435</v>
      </c>
      <c r="S25" s="10">
        <f>INT(参数调整!K3*Q25)</f>
        <v>2400</v>
      </c>
      <c r="T25" s="10">
        <f t="shared" si="8"/>
        <v>7040.0000000000009</v>
      </c>
      <c r="U25" s="10">
        <f t="shared" si="9"/>
        <v>12372</v>
      </c>
      <c r="V25" s="10">
        <f>INT(参数调整!K3*T25)</f>
        <v>3520</v>
      </c>
      <c r="W25" s="10">
        <f t="shared" si="43"/>
        <v>6400</v>
      </c>
      <c r="X25" s="10">
        <f t="shared" si="22"/>
        <v>11247</v>
      </c>
      <c r="Y25" s="10">
        <f>INT(参数调整!$K$3*W25)</f>
        <v>3200</v>
      </c>
      <c r="Z25" s="10">
        <f t="shared" si="23"/>
        <v>6400</v>
      </c>
      <c r="AA25" s="10">
        <f t="shared" si="24"/>
        <v>11247</v>
      </c>
      <c r="AB25" s="10">
        <f>INT(参数调整!$K$3*Z25)</f>
        <v>3200</v>
      </c>
      <c r="AC25" s="10">
        <f t="shared" si="25"/>
        <v>6400</v>
      </c>
      <c r="AD25" s="10">
        <f t="shared" si="26"/>
        <v>11247</v>
      </c>
      <c r="AE25" s="10">
        <f>INT(参数调整!$K$3*AC25)</f>
        <v>3200</v>
      </c>
      <c r="AF25" s="10">
        <f t="shared" si="27"/>
        <v>6400</v>
      </c>
      <c r="AG25" s="10">
        <f t="shared" si="28"/>
        <v>11247</v>
      </c>
      <c r="AH25" s="10">
        <f>INT(参数调整!$K$3*AF25)</f>
        <v>3200</v>
      </c>
      <c r="AI25" s="10">
        <f t="shared" si="29"/>
        <v>6400</v>
      </c>
      <c r="AJ25" s="10">
        <f t="shared" si="30"/>
        <v>11247</v>
      </c>
      <c r="AK25" s="10">
        <f>INT(参数调整!$K$3*AI25)</f>
        <v>3200</v>
      </c>
      <c r="AL25" s="10">
        <f t="shared" si="31"/>
        <v>6400</v>
      </c>
      <c r="AM25" s="10">
        <f t="shared" si="32"/>
        <v>11247</v>
      </c>
      <c r="AN25" s="10">
        <f>INT(参数调整!$K$3*AL25)</f>
        <v>3200</v>
      </c>
      <c r="AO25" s="10">
        <f t="shared" si="33"/>
        <v>6400</v>
      </c>
      <c r="AP25" s="10">
        <f t="shared" si="34"/>
        <v>11247</v>
      </c>
      <c r="AQ25" s="10">
        <f>INT(参数调整!$K$3*AO25)</f>
        <v>3200</v>
      </c>
      <c r="AR25" s="165">
        <f t="shared" si="35"/>
        <v>1</v>
      </c>
      <c r="AS25" s="165">
        <f t="shared" si="35"/>
        <v>10</v>
      </c>
      <c r="AT25" s="165">
        <f t="shared" si="35"/>
        <v>120</v>
      </c>
      <c r="AU25" s="165">
        <f t="shared" si="35"/>
        <v>600</v>
      </c>
      <c r="AV25" s="165">
        <f t="shared" si="35"/>
        <v>1200</v>
      </c>
      <c r="AW25" s="165">
        <f t="shared" si="35"/>
        <v>1800</v>
      </c>
      <c r="AX25" s="165">
        <f t="shared" si="35"/>
        <v>999</v>
      </c>
      <c r="AY25" s="165">
        <f t="shared" si="35"/>
        <v>999</v>
      </c>
      <c r="AZ25" s="165">
        <f t="shared" si="35"/>
        <v>999</v>
      </c>
      <c r="BA25" s="165">
        <f t="shared" si="35"/>
        <v>999</v>
      </c>
      <c r="BB25" s="165">
        <f t="shared" si="35"/>
        <v>999</v>
      </c>
      <c r="BC25" s="165">
        <f t="shared" si="35"/>
        <v>999</v>
      </c>
      <c r="BD25" s="165">
        <f t="shared" si="35"/>
        <v>999</v>
      </c>
      <c r="BE25" s="10">
        <f t="shared" si="12"/>
        <v>511800</v>
      </c>
      <c r="BF25" s="10">
        <f t="shared" si="13"/>
        <v>5922200</v>
      </c>
      <c r="BG25" s="10">
        <f t="shared" si="14"/>
        <v>28514000</v>
      </c>
      <c r="BH25" s="10">
        <f t="shared" si="15"/>
        <v>27417000</v>
      </c>
      <c r="BI25" s="146">
        <f t="shared" si="16"/>
        <v>59220000</v>
      </c>
      <c r="BJ25" s="146">
        <f t="shared" si="36"/>
        <v>36520000</v>
      </c>
      <c r="BK25" s="146">
        <f t="shared" si="37"/>
        <v>36520000</v>
      </c>
      <c r="BL25" s="146">
        <f t="shared" si="38"/>
        <v>36520000</v>
      </c>
      <c r="BM25" s="146">
        <f t="shared" si="39"/>
        <v>36520000</v>
      </c>
      <c r="BN25" s="146">
        <f t="shared" si="40"/>
        <v>36520000</v>
      </c>
      <c r="BO25" s="146">
        <f t="shared" si="41"/>
        <v>36520000</v>
      </c>
      <c r="BP25" s="146">
        <f t="shared" si="42"/>
        <v>36520000</v>
      </c>
      <c r="BQ25" s="149">
        <v>22</v>
      </c>
      <c r="BR25" s="151">
        <f t="shared" si="17"/>
        <v>11.424133025856822</v>
      </c>
      <c r="BS25" s="151">
        <f t="shared" si="18"/>
        <v>0.56902369331026392</v>
      </c>
      <c r="BT25" s="150">
        <f>参数调整!H25</f>
        <v>0.90499999999999903</v>
      </c>
      <c r="BU25" s="149">
        <f>BQ25/BQ30*BT25*BU30</f>
        <v>196.88777777777756</v>
      </c>
      <c r="BV25" s="149">
        <f>BQ25/BQ30*BT25*BV30</f>
        <v>28.63598765432096</v>
      </c>
      <c r="BW25" s="149">
        <f>BQ25/BQ30*BT25*BW30</f>
        <v>110.93884773662539</v>
      </c>
      <c r="BX25" s="149">
        <f>BQ25/BQ30*BT25*BX30</f>
        <v>132.73333333333318</v>
      </c>
      <c r="BY25" s="149">
        <v>0</v>
      </c>
      <c r="BZ25" s="149">
        <f>基本装备!AH24</f>
        <v>5</v>
      </c>
      <c r="CA25" s="149">
        <f>BQ25/BQ30*BT25*CA30</f>
        <v>34.53524691358021</v>
      </c>
      <c r="CB25" s="149">
        <f>BQ25/BQ30*BT25*CB30</f>
        <v>18.312283950617264</v>
      </c>
      <c r="CC25" s="149">
        <f>BQ25/BQ30*BT25*CC30</f>
        <v>18.312283950617264</v>
      </c>
      <c r="CD25" s="149">
        <f>BQ25/BQ30*BT25*CD30</f>
        <v>266.40890946502032</v>
      </c>
      <c r="CE25" s="149">
        <f>BQ25/BQ30*BT25*CE30</f>
        <v>259.03483539094628</v>
      </c>
      <c r="CF25" s="149">
        <f>BQ25/BQ30*BT25*CF30</f>
        <v>35.395555555555518</v>
      </c>
      <c r="CG25" s="149">
        <f>BQ25/BQ30*BT25*CG30</f>
        <v>35.395555555555518</v>
      </c>
      <c r="CH25" s="149">
        <f>BQ25/BQ30*BT25*CH30</f>
        <v>63.45800411522626</v>
      </c>
      <c r="CI25" s="149">
        <f>BQ25/BQ30*BT25*CI30</f>
        <v>19.049691358024674</v>
      </c>
      <c r="CJ25" s="149">
        <f>BQ25/BQ30*BT25*CJ30</f>
        <v>7.3740740740740662</v>
      </c>
      <c r="CK25" s="149">
        <f>BQ25/BQ30*BT25*CK30</f>
        <v>15.362654320987637</v>
      </c>
      <c r="CL25" s="149">
        <f>BQ25/BQ30*BT25*CL30</f>
        <v>22.736728395061704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13.887839506172824</v>
      </c>
      <c r="CP25" s="149">
        <f>BQ25/BQ30*BT25*CP30</f>
        <v>15.362654320987637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5">
        <f>参数调整!C26</f>
        <v>230</v>
      </c>
      <c r="C26" s="15">
        <f>参数调整!D26</f>
        <v>16</v>
      </c>
      <c r="D26" s="10">
        <f t="shared" si="44"/>
        <v>70000</v>
      </c>
      <c r="E26" s="10">
        <f t="shared" si="45"/>
        <v>140000</v>
      </c>
      <c r="F26" s="15">
        <f>参数调整!E26</f>
        <v>7000</v>
      </c>
      <c r="G26" s="10">
        <f t="shared" si="46"/>
        <v>3500</v>
      </c>
      <c r="H26" s="10">
        <f t="shared" si="3"/>
        <v>4200</v>
      </c>
      <c r="I26" s="10">
        <f t="shared" si="4"/>
        <v>7667</v>
      </c>
      <c r="J26" s="10">
        <f>参数调整!K3*H26</f>
        <v>2100</v>
      </c>
      <c r="K26" s="10">
        <f t="shared" si="19"/>
        <v>4550</v>
      </c>
      <c r="L26" s="10">
        <f t="shared" si="5"/>
        <v>8306</v>
      </c>
      <c r="M26" s="10">
        <f>INT(参数调整!K3*K26)</f>
        <v>2275</v>
      </c>
      <c r="N26" s="10">
        <f t="shared" si="20"/>
        <v>4900</v>
      </c>
      <c r="O26" s="10">
        <f t="shared" si="6"/>
        <v>8945</v>
      </c>
      <c r="P26" s="10">
        <f>INT(参数调整!K3*N26)</f>
        <v>2450</v>
      </c>
      <c r="Q26" s="10">
        <f t="shared" si="21"/>
        <v>5250</v>
      </c>
      <c r="R26" s="10">
        <f t="shared" si="7"/>
        <v>9584</v>
      </c>
      <c r="S26" s="10">
        <f>INT(参数调整!K3*Q26)</f>
        <v>2625</v>
      </c>
      <c r="T26" s="10">
        <f t="shared" si="8"/>
        <v>7700.0000000000009</v>
      </c>
      <c r="U26" s="10">
        <f t="shared" si="9"/>
        <v>14057</v>
      </c>
      <c r="V26" s="10">
        <f>INT(参数调整!K3*T26)</f>
        <v>3850</v>
      </c>
      <c r="W26" s="10">
        <f t="shared" si="43"/>
        <v>7000</v>
      </c>
      <c r="X26" s="10">
        <f t="shared" si="22"/>
        <v>12779</v>
      </c>
      <c r="Y26" s="10">
        <f>INT(参数调整!$K$3*W26)</f>
        <v>3500</v>
      </c>
      <c r="Z26" s="10">
        <f t="shared" si="23"/>
        <v>7000</v>
      </c>
      <c r="AA26" s="10">
        <f t="shared" si="24"/>
        <v>12779</v>
      </c>
      <c r="AB26" s="10">
        <f>INT(参数调整!$K$3*Z26)</f>
        <v>3500</v>
      </c>
      <c r="AC26" s="10">
        <f t="shared" si="25"/>
        <v>7000</v>
      </c>
      <c r="AD26" s="10">
        <f t="shared" si="26"/>
        <v>12779</v>
      </c>
      <c r="AE26" s="10">
        <f>INT(参数调整!$K$3*AC26)</f>
        <v>3500</v>
      </c>
      <c r="AF26" s="10">
        <f t="shared" si="27"/>
        <v>7000</v>
      </c>
      <c r="AG26" s="10">
        <f t="shared" si="28"/>
        <v>12779</v>
      </c>
      <c r="AH26" s="10">
        <f>INT(参数调整!$K$3*AF26)</f>
        <v>3500</v>
      </c>
      <c r="AI26" s="10">
        <f t="shared" si="29"/>
        <v>7000</v>
      </c>
      <c r="AJ26" s="10">
        <f t="shared" si="30"/>
        <v>12779</v>
      </c>
      <c r="AK26" s="10">
        <f>INT(参数调整!$K$3*AI26)</f>
        <v>3500</v>
      </c>
      <c r="AL26" s="10">
        <f t="shared" si="31"/>
        <v>7000</v>
      </c>
      <c r="AM26" s="10">
        <f t="shared" si="32"/>
        <v>12779</v>
      </c>
      <c r="AN26" s="10">
        <f>INT(参数调整!$K$3*AL26)</f>
        <v>3500</v>
      </c>
      <c r="AO26" s="10">
        <f t="shared" si="33"/>
        <v>7000</v>
      </c>
      <c r="AP26" s="10">
        <f t="shared" si="34"/>
        <v>12779</v>
      </c>
      <c r="AQ26" s="10">
        <f>INT(参数调整!$K$3*AO26)</f>
        <v>3500</v>
      </c>
      <c r="AR26" s="165">
        <f t="shared" si="35"/>
        <v>1</v>
      </c>
      <c r="AS26" s="165">
        <f t="shared" si="35"/>
        <v>10</v>
      </c>
      <c r="AT26" s="165">
        <f t="shared" si="35"/>
        <v>120</v>
      </c>
      <c r="AU26" s="165">
        <f t="shared" si="35"/>
        <v>600</v>
      </c>
      <c r="AV26" s="165">
        <f t="shared" si="35"/>
        <v>1200</v>
      </c>
      <c r="AW26" s="165">
        <f t="shared" si="35"/>
        <v>1800</v>
      </c>
      <c r="AX26" s="165">
        <f t="shared" si="35"/>
        <v>999</v>
      </c>
      <c r="AY26" s="165">
        <f t="shared" si="35"/>
        <v>999</v>
      </c>
      <c r="AZ26" s="165">
        <f t="shared" si="35"/>
        <v>999</v>
      </c>
      <c r="BA26" s="165">
        <f t="shared" si="35"/>
        <v>999</v>
      </c>
      <c r="BB26" s="165">
        <f t="shared" si="35"/>
        <v>999</v>
      </c>
      <c r="BC26" s="165">
        <f t="shared" si="35"/>
        <v>999</v>
      </c>
      <c r="BD26" s="165">
        <f t="shared" si="35"/>
        <v>999</v>
      </c>
      <c r="BE26" s="10">
        <f t="shared" si="12"/>
        <v>652100</v>
      </c>
      <c r="BF26" s="10">
        <f t="shared" si="13"/>
        <v>7546300</v>
      </c>
      <c r="BG26" s="10">
        <f t="shared" si="14"/>
        <v>36334000</v>
      </c>
      <c r="BH26" s="10">
        <f t="shared" si="15"/>
        <v>34936000</v>
      </c>
      <c r="BI26" s="146">
        <f t="shared" si="16"/>
        <v>75460000</v>
      </c>
      <c r="BJ26" s="146">
        <f t="shared" si="36"/>
        <v>46530000</v>
      </c>
      <c r="BK26" s="146">
        <f t="shared" si="37"/>
        <v>46530000</v>
      </c>
      <c r="BL26" s="146">
        <f t="shared" si="38"/>
        <v>46530000</v>
      </c>
      <c r="BM26" s="146">
        <f t="shared" si="39"/>
        <v>46530000</v>
      </c>
      <c r="BN26" s="146">
        <f t="shared" si="40"/>
        <v>46530000</v>
      </c>
      <c r="BO26" s="146">
        <f t="shared" si="41"/>
        <v>46530000</v>
      </c>
      <c r="BP26" s="146">
        <f t="shared" si="42"/>
        <v>46530000</v>
      </c>
      <c r="BQ26" s="149">
        <v>23</v>
      </c>
      <c r="BR26" s="151">
        <f t="shared" si="17"/>
        <v>13.309234664174809</v>
      </c>
      <c r="BS26" s="151">
        <f t="shared" si="18"/>
        <v>0.54773084161681307</v>
      </c>
      <c r="BT26" s="150">
        <f>参数调整!H26</f>
        <v>0.91849999999999898</v>
      </c>
      <c r="BU26" s="149">
        <f>BQ26/BQ30*BT26*BU30</f>
        <v>208.90772222222199</v>
      </c>
      <c r="BV26" s="149">
        <f>BQ26/BQ30*BT26*BV30</f>
        <v>30.384206790123425</v>
      </c>
      <c r="BW26" s="149">
        <f>BQ26/BQ30*BT26*BW30</f>
        <v>117.71163374485583</v>
      </c>
      <c r="BX26" s="149">
        <f>BQ26/BQ30*BT26*BX30</f>
        <v>140.8366666666665</v>
      </c>
      <c r="BY26" s="149">
        <v>0</v>
      </c>
      <c r="BZ26" s="149">
        <f>基本装备!AH25</f>
        <v>6</v>
      </c>
      <c r="CA26" s="149">
        <f>BQ26/BQ30*BT26*CA30</f>
        <v>36.643614197530823</v>
      </c>
      <c r="CB26" s="149">
        <f>BQ26/BQ30*BT26*CB30</f>
        <v>19.430243827160471</v>
      </c>
      <c r="CC26" s="149">
        <f>BQ26/BQ30*BT26*CC30</f>
        <v>19.430243827160471</v>
      </c>
      <c r="CD26" s="149">
        <f>BQ26/BQ30*BT26*CD30</f>
        <v>282.6730997942384</v>
      </c>
      <c r="CE26" s="149">
        <f>BQ26/BQ30*BT26*CE30</f>
        <v>274.84884053497916</v>
      </c>
      <c r="CF26" s="149">
        <f>BQ26/BQ30*BT26*CF30</f>
        <v>37.556444444444402</v>
      </c>
      <c r="CG26" s="149">
        <f>BQ26/BQ30*BT26*CG30</f>
        <v>37.556444444444402</v>
      </c>
      <c r="CH26" s="149">
        <f>BQ26/BQ30*BT26*CH30</f>
        <v>67.332097736625428</v>
      </c>
      <c r="CI26" s="149">
        <f>BQ26/BQ30*BT26*CI30</f>
        <v>20.212669753086399</v>
      </c>
      <c r="CJ26" s="149">
        <f>BQ26/BQ30*BT26*CJ30</f>
        <v>7.824259259259251</v>
      </c>
      <c r="CK26" s="149">
        <f>BQ26/BQ30*BT26*CK30</f>
        <v>16.30054012345677</v>
      </c>
      <c r="CL26" s="149">
        <f>BQ26/BQ30*BT26*CL30</f>
        <v>24.124799382716024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14.735688271604921</v>
      </c>
      <c r="CP26" s="149">
        <f>BQ26/BQ30*BT26*CP30</f>
        <v>16.30054012345677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5">
        <f>参数调整!C27</f>
        <v>230</v>
      </c>
      <c r="C27" s="15">
        <f>参数调整!D27</f>
        <v>17</v>
      </c>
      <c r="D27" s="10">
        <f t="shared" si="44"/>
        <v>75000</v>
      </c>
      <c r="E27" s="10">
        <f t="shared" si="45"/>
        <v>150000</v>
      </c>
      <c r="F27" s="15">
        <f>参数调整!E27</f>
        <v>7500</v>
      </c>
      <c r="G27" s="10">
        <f t="shared" si="46"/>
        <v>3750</v>
      </c>
      <c r="H27" s="10">
        <f t="shared" si="3"/>
        <v>4500</v>
      </c>
      <c r="I27" s="10">
        <f t="shared" si="4"/>
        <v>8546</v>
      </c>
      <c r="J27" s="10">
        <f>参数调整!K3*H27</f>
        <v>2250</v>
      </c>
      <c r="K27" s="10">
        <f t="shared" si="19"/>
        <v>4875</v>
      </c>
      <c r="L27" s="10">
        <f t="shared" si="5"/>
        <v>9258</v>
      </c>
      <c r="M27" s="10">
        <f>INT(参数调整!K3*K27)</f>
        <v>2437</v>
      </c>
      <c r="N27" s="10">
        <f t="shared" si="20"/>
        <v>5250</v>
      </c>
      <c r="O27" s="10">
        <f t="shared" si="6"/>
        <v>9971</v>
      </c>
      <c r="P27" s="10">
        <f>INT(参数调整!K3*N27)</f>
        <v>2625</v>
      </c>
      <c r="Q27" s="10">
        <f t="shared" si="21"/>
        <v>5625</v>
      </c>
      <c r="R27" s="10">
        <f t="shared" si="7"/>
        <v>10683</v>
      </c>
      <c r="S27" s="10">
        <f>INT(参数调整!K3*Q27)</f>
        <v>2812</v>
      </c>
      <c r="T27" s="10">
        <f t="shared" si="8"/>
        <v>8250</v>
      </c>
      <c r="U27" s="10">
        <f t="shared" si="9"/>
        <v>15668</v>
      </c>
      <c r="V27" s="10">
        <f>INT(参数调整!K3*T27)</f>
        <v>4125</v>
      </c>
      <c r="W27" s="10">
        <f t="shared" si="43"/>
        <v>7500</v>
      </c>
      <c r="X27" s="10">
        <f t="shared" si="22"/>
        <v>14244</v>
      </c>
      <c r="Y27" s="10">
        <f>INT(参数调整!$K$3*W27)</f>
        <v>3750</v>
      </c>
      <c r="Z27" s="10">
        <f t="shared" si="23"/>
        <v>7500</v>
      </c>
      <c r="AA27" s="10">
        <f t="shared" si="24"/>
        <v>14244</v>
      </c>
      <c r="AB27" s="10">
        <f>INT(参数调整!$K$3*Z27)</f>
        <v>3750</v>
      </c>
      <c r="AC27" s="10">
        <f t="shared" si="25"/>
        <v>7500</v>
      </c>
      <c r="AD27" s="10">
        <f t="shared" si="26"/>
        <v>14244</v>
      </c>
      <c r="AE27" s="10">
        <f>INT(参数调整!$K$3*AC27)</f>
        <v>3750</v>
      </c>
      <c r="AF27" s="10">
        <f t="shared" si="27"/>
        <v>7500</v>
      </c>
      <c r="AG27" s="10">
        <f t="shared" si="28"/>
        <v>14244</v>
      </c>
      <c r="AH27" s="10">
        <f>INT(参数调整!$K$3*AF27)</f>
        <v>3750</v>
      </c>
      <c r="AI27" s="10">
        <f t="shared" si="29"/>
        <v>7500</v>
      </c>
      <c r="AJ27" s="10">
        <f t="shared" si="30"/>
        <v>14244</v>
      </c>
      <c r="AK27" s="10">
        <f>INT(参数调整!$K$3*AI27)</f>
        <v>3750</v>
      </c>
      <c r="AL27" s="10">
        <f t="shared" si="31"/>
        <v>7500</v>
      </c>
      <c r="AM27" s="10">
        <f t="shared" si="32"/>
        <v>14244</v>
      </c>
      <c r="AN27" s="10">
        <f>INT(参数调整!$K$3*AL27)</f>
        <v>3750</v>
      </c>
      <c r="AO27" s="10">
        <f t="shared" si="33"/>
        <v>7500</v>
      </c>
      <c r="AP27" s="10">
        <f t="shared" si="34"/>
        <v>14244</v>
      </c>
      <c r="AQ27" s="10">
        <f>INT(参数调整!$K$3*AO27)</f>
        <v>3750</v>
      </c>
      <c r="AR27" s="165">
        <f t="shared" si="35"/>
        <v>1</v>
      </c>
      <c r="AS27" s="165">
        <f t="shared" si="35"/>
        <v>10</v>
      </c>
      <c r="AT27" s="165">
        <f t="shared" si="35"/>
        <v>120</v>
      </c>
      <c r="AU27" s="165">
        <f t="shared" si="35"/>
        <v>600</v>
      </c>
      <c r="AV27" s="165">
        <f t="shared" si="35"/>
        <v>1200</v>
      </c>
      <c r="AW27" s="165">
        <f t="shared" si="35"/>
        <v>1800</v>
      </c>
      <c r="AX27" s="165">
        <f t="shared" si="35"/>
        <v>999</v>
      </c>
      <c r="AY27" s="165">
        <f t="shared" si="35"/>
        <v>999</v>
      </c>
      <c r="AZ27" s="165">
        <f t="shared" ref="AZ27:BD30" si="47">AZ$2</f>
        <v>999</v>
      </c>
      <c r="BA27" s="165">
        <f t="shared" si="47"/>
        <v>999</v>
      </c>
      <c r="BB27" s="165">
        <f t="shared" si="47"/>
        <v>999</v>
      </c>
      <c r="BC27" s="165">
        <f t="shared" si="47"/>
        <v>999</v>
      </c>
      <c r="BD27" s="165">
        <f t="shared" si="47"/>
        <v>999</v>
      </c>
      <c r="BE27" s="10">
        <f t="shared" si="12"/>
        <v>762700</v>
      </c>
      <c r="BF27" s="10">
        <f t="shared" si="13"/>
        <v>8827400</v>
      </c>
      <c r="BG27" s="10">
        <f t="shared" si="14"/>
        <v>42498000</v>
      </c>
      <c r="BH27" s="10">
        <f t="shared" si="15"/>
        <v>40868000</v>
      </c>
      <c r="BI27" s="146">
        <f t="shared" si="16"/>
        <v>88260000</v>
      </c>
      <c r="BJ27" s="146">
        <f t="shared" si="36"/>
        <v>54430000</v>
      </c>
      <c r="BK27" s="146">
        <f t="shared" si="37"/>
        <v>54430000</v>
      </c>
      <c r="BL27" s="146">
        <f t="shared" si="38"/>
        <v>54430000</v>
      </c>
      <c r="BM27" s="146">
        <f t="shared" si="39"/>
        <v>54430000</v>
      </c>
      <c r="BN27" s="146">
        <f t="shared" si="40"/>
        <v>54430000</v>
      </c>
      <c r="BO27" s="146">
        <f t="shared" si="41"/>
        <v>54430000</v>
      </c>
      <c r="BP27" s="146">
        <f t="shared" si="42"/>
        <v>54430000</v>
      </c>
      <c r="BQ27" s="149">
        <v>24</v>
      </c>
      <c r="BR27" s="151">
        <f t="shared" si="17"/>
        <v>14.529379858105024</v>
      </c>
      <c r="BS27" s="151">
        <f t="shared" si="18"/>
        <v>0.52651875659547542</v>
      </c>
      <c r="BT27" s="150">
        <f>参数调整!H27</f>
        <v>0.93199999999999905</v>
      </c>
      <c r="BU27" s="149">
        <f>BQ27/BQ30*BT27*BU30</f>
        <v>221.19466666666642</v>
      </c>
      <c r="BV27" s="149">
        <f>BQ27/BQ30*BT27*BV30</f>
        <v>32.171259259259223</v>
      </c>
      <c r="BW27" s="149">
        <f>BQ27/BQ30*BT27*BW30</f>
        <v>124.63486419753072</v>
      </c>
      <c r="BX27" s="149">
        <f>BQ27/BQ30*BT27*BX30</f>
        <v>149.11999999999983</v>
      </c>
      <c r="BY27" s="149">
        <v>0</v>
      </c>
      <c r="BZ27" s="149">
        <f>基本装备!AH26</f>
        <v>6</v>
      </c>
      <c r="CA27" s="149">
        <f>BQ27/BQ30*BT27*CA30</f>
        <v>38.798814814814769</v>
      </c>
      <c r="CB27" s="149">
        <f>BQ27/BQ30*BT27*CB30</f>
        <v>20.573037037037015</v>
      </c>
      <c r="CC27" s="149">
        <f>BQ27/BQ30*BT27*CC30</f>
        <v>20.573037037037015</v>
      </c>
      <c r="CD27" s="149">
        <f>BQ27/BQ30*BT27*CD30</f>
        <v>299.29856790123426</v>
      </c>
      <c r="CE27" s="149">
        <f>BQ27/BQ30*BT27*CE30</f>
        <v>291.01412345678983</v>
      </c>
      <c r="CF27" s="149">
        <f>BQ27/BQ30*BT27*CF30</f>
        <v>39.765333333333288</v>
      </c>
      <c r="CG27" s="149">
        <f>BQ27/BQ30*BT27*CG30</f>
        <v>39.765333333333288</v>
      </c>
      <c r="CH27" s="149">
        <f>BQ27/BQ30*BT27*CH30</f>
        <v>71.292246913580158</v>
      </c>
      <c r="CI27" s="149">
        <f>BQ27/BQ30*BT27*CI30</f>
        <v>21.401481481481461</v>
      </c>
      <c r="CJ27" s="149">
        <f>BQ27/BQ30*BT27*CJ30</f>
        <v>8.2844444444444356</v>
      </c>
      <c r="CK27" s="149">
        <f>BQ27/BQ30*BT27*CK30</f>
        <v>17.259259259259238</v>
      </c>
      <c r="CL27" s="149">
        <f>BQ27/BQ30*BT27*CL30</f>
        <v>25.543703703703674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15.602370370370352</v>
      </c>
      <c r="CP27" s="149">
        <f>BQ27/BQ30*BT27*CP30</f>
        <v>17.259259259259238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5">
        <f>参数调整!C28</f>
        <v>240</v>
      </c>
      <c r="C28" s="15">
        <f>参数调整!D28</f>
        <v>18</v>
      </c>
      <c r="D28" s="10">
        <f t="shared" si="44"/>
        <v>80000</v>
      </c>
      <c r="E28" s="10">
        <f t="shared" si="45"/>
        <v>160000</v>
      </c>
      <c r="F28" s="15">
        <f>参数调整!E28</f>
        <v>8000</v>
      </c>
      <c r="G28" s="10">
        <f t="shared" si="46"/>
        <v>4000</v>
      </c>
      <c r="H28" s="10">
        <f t="shared" si="3"/>
        <v>4800</v>
      </c>
      <c r="I28" s="10">
        <f t="shared" si="4"/>
        <v>9497</v>
      </c>
      <c r="J28" s="10">
        <f>参数调整!K3*H28</f>
        <v>2400</v>
      </c>
      <c r="K28" s="10">
        <f t="shared" si="19"/>
        <v>5200</v>
      </c>
      <c r="L28" s="10">
        <f t="shared" si="5"/>
        <v>10288</v>
      </c>
      <c r="M28" s="10">
        <f>INT(参数调整!K3*K28)</f>
        <v>2600</v>
      </c>
      <c r="N28" s="10">
        <f t="shared" si="20"/>
        <v>5600</v>
      </c>
      <c r="O28" s="10">
        <f t="shared" si="6"/>
        <v>11079</v>
      </c>
      <c r="P28" s="10">
        <f>INT(参数调整!K3*N28)</f>
        <v>2800</v>
      </c>
      <c r="Q28" s="10">
        <f t="shared" si="21"/>
        <v>6000</v>
      </c>
      <c r="R28" s="10">
        <f t="shared" si="7"/>
        <v>11871</v>
      </c>
      <c r="S28" s="10">
        <f>INT(参数调整!K3*Q28)</f>
        <v>3000</v>
      </c>
      <c r="T28" s="10">
        <f t="shared" si="8"/>
        <v>8800</v>
      </c>
      <c r="U28" s="10">
        <f t="shared" si="9"/>
        <v>17411</v>
      </c>
      <c r="V28" s="10">
        <f>INT(参数调整!K3*T28)</f>
        <v>4400</v>
      </c>
      <c r="W28" s="10">
        <f t="shared" si="43"/>
        <v>8000</v>
      </c>
      <c r="X28" s="10">
        <f t="shared" si="22"/>
        <v>15828</v>
      </c>
      <c r="Y28" s="10">
        <f>INT(参数调整!$K$3*W28)</f>
        <v>4000</v>
      </c>
      <c r="Z28" s="10">
        <f t="shared" si="23"/>
        <v>8000</v>
      </c>
      <c r="AA28" s="10">
        <f t="shared" si="24"/>
        <v>15828</v>
      </c>
      <c r="AB28" s="10">
        <f>INT(参数调整!$K$3*Z28)</f>
        <v>4000</v>
      </c>
      <c r="AC28" s="10">
        <f t="shared" si="25"/>
        <v>8000</v>
      </c>
      <c r="AD28" s="10">
        <f t="shared" si="26"/>
        <v>15828</v>
      </c>
      <c r="AE28" s="10">
        <f>INT(参数调整!$K$3*AC28)</f>
        <v>4000</v>
      </c>
      <c r="AF28" s="10">
        <f t="shared" si="27"/>
        <v>8000</v>
      </c>
      <c r="AG28" s="10">
        <f t="shared" si="28"/>
        <v>15828</v>
      </c>
      <c r="AH28" s="10">
        <f>INT(参数调整!$K$3*AF28)</f>
        <v>4000</v>
      </c>
      <c r="AI28" s="10">
        <f t="shared" si="29"/>
        <v>8000</v>
      </c>
      <c r="AJ28" s="10">
        <f t="shared" si="30"/>
        <v>15828</v>
      </c>
      <c r="AK28" s="10">
        <f>INT(参数调整!$K$3*AI28)</f>
        <v>4000</v>
      </c>
      <c r="AL28" s="10">
        <f t="shared" si="31"/>
        <v>8000</v>
      </c>
      <c r="AM28" s="10">
        <f t="shared" si="32"/>
        <v>15828</v>
      </c>
      <c r="AN28" s="10">
        <f>INT(参数调整!$K$3*AL28)</f>
        <v>4000</v>
      </c>
      <c r="AO28" s="10">
        <f t="shared" si="33"/>
        <v>8000</v>
      </c>
      <c r="AP28" s="10">
        <f t="shared" si="34"/>
        <v>15828</v>
      </c>
      <c r="AQ28" s="10">
        <f>INT(参数调整!$K$3*AO28)</f>
        <v>4000</v>
      </c>
      <c r="AR28" s="165">
        <f t="shared" si="35"/>
        <v>1</v>
      </c>
      <c r="AS28" s="165">
        <f t="shared" si="35"/>
        <v>10</v>
      </c>
      <c r="AT28" s="165">
        <f t="shared" si="35"/>
        <v>120</v>
      </c>
      <c r="AU28" s="165">
        <f t="shared" si="35"/>
        <v>600</v>
      </c>
      <c r="AV28" s="165">
        <f t="shared" si="35"/>
        <v>1200</v>
      </c>
      <c r="AW28" s="165">
        <f t="shared" si="35"/>
        <v>1800</v>
      </c>
      <c r="AX28" s="165">
        <f t="shared" si="35"/>
        <v>999</v>
      </c>
      <c r="AY28" s="165">
        <f t="shared" ref="AY28:AY30" si="48">AY$2</f>
        <v>999</v>
      </c>
      <c r="AZ28" s="165">
        <f t="shared" si="47"/>
        <v>999</v>
      </c>
      <c r="BA28" s="165">
        <f t="shared" si="47"/>
        <v>999</v>
      </c>
      <c r="BB28" s="165">
        <f t="shared" si="47"/>
        <v>999</v>
      </c>
      <c r="BC28" s="165">
        <f t="shared" si="47"/>
        <v>999</v>
      </c>
      <c r="BD28" s="165">
        <f t="shared" si="47"/>
        <v>999</v>
      </c>
      <c r="BE28" s="10">
        <f t="shared" si="12"/>
        <v>887800</v>
      </c>
      <c r="BF28" s="10">
        <f t="shared" si="13"/>
        <v>10273100</v>
      </c>
      <c r="BG28" s="10">
        <f t="shared" si="14"/>
        <v>49463000</v>
      </c>
      <c r="BH28" s="10">
        <f t="shared" si="15"/>
        <v>47561000</v>
      </c>
      <c r="BI28" s="146">
        <f t="shared" si="16"/>
        <v>102730000</v>
      </c>
      <c r="BJ28" s="146">
        <f t="shared" si="36"/>
        <v>63350000</v>
      </c>
      <c r="BK28" s="146">
        <f t="shared" si="37"/>
        <v>63350000</v>
      </c>
      <c r="BL28" s="146">
        <f t="shared" si="38"/>
        <v>63350000</v>
      </c>
      <c r="BM28" s="146">
        <f t="shared" si="39"/>
        <v>63350000</v>
      </c>
      <c r="BN28" s="146">
        <f t="shared" si="40"/>
        <v>63350000</v>
      </c>
      <c r="BO28" s="146">
        <f t="shared" si="41"/>
        <v>63350000</v>
      </c>
      <c r="BP28" s="146">
        <f t="shared" si="42"/>
        <v>63350000</v>
      </c>
      <c r="BQ28" s="149">
        <v>25</v>
      </c>
      <c r="BR28" s="151">
        <f t="shared" si="17"/>
        <v>15.853690856051175</v>
      </c>
      <c r="BS28" s="151">
        <f t="shared" si="18"/>
        <v>0.50541643549042237</v>
      </c>
      <c r="BT28" s="150">
        <f>参数调整!H28</f>
        <v>0.94549999999999901</v>
      </c>
      <c r="BU28" s="149">
        <f>BQ28/BQ30*BT28*BU30</f>
        <v>233.74861111111085</v>
      </c>
      <c r="BV28" s="149">
        <f>BQ28/BQ30*BT28*BV30</f>
        <v>33.997145061728361</v>
      </c>
      <c r="BW28" s="149">
        <f>BQ28/BQ30*BT28*BW30</f>
        <v>131.70853909465004</v>
      </c>
      <c r="BX28" s="149">
        <f>BQ28/BQ30*BT28*BX30</f>
        <v>157.58333333333317</v>
      </c>
      <c r="BY28" s="149">
        <v>0</v>
      </c>
      <c r="BZ28" s="149">
        <f>基本装备!AH27</f>
        <v>6</v>
      </c>
      <c r="CA28" s="149">
        <f>BQ28/BQ30*BT28*CA30</f>
        <v>41.000848765432046</v>
      </c>
      <c r="CB28" s="149">
        <f>BQ28/BQ30*BT28*CB30</f>
        <v>21.740663580246888</v>
      </c>
      <c r="CC28" s="149">
        <f>BQ28/BQ30*BT28*CC30</f>
        <v>21.740663580246888</v>
      </c>
      <c r="CD28" s="149">
        <f>BQ28/BQ30*BT28*CD30</f>
        <v>316.28531378600792</v>
      </c>
      <c r="CE28" s="149">
        <f>BQ28/BQ30*BT28*CE30</f>
        <v>307.5306841563783</v>
      </c>
      <c r="CF28" s="149">
        <f>BQ28/BQ30*BT28*CF30</f>
        <v>42.022222222222176</v>
      </c>
      <c r="CG28" s="149">
        <f>BQ28/BQ30*BT28*CG30</f>
        <v>42.022222222222176</v>
      </c>
      <c r="CH28" s="149">
        <f>BQ28/BQ30*BT28*CH30</f>
        <v>75.338451646090448</v>
      </c>
      <c r="CI28" s="149">
        <f>BQ28/BQ30*BT28*CI30</f>
        <v>22.616126543209855</v>
      </c>
      <c r="CJ28" s="149">
        <f>BQ28/BQ30*BT28*CJ30</f>
        <v>8.7546296296296191</v>
      </c>
      <c r="CK28" s="149">
        <f>BQ28/BQ30*BT28*CK30</f>
        <v>18.238811728395042</v>
      </c>
      <c r="CL28" s="149">
        <f>BQ28/BQ30*BT28*CL30</f>
        <v>26.993441358024661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16.487885802469116</v>
      </c>
      <c r="CP28" s="149">
        <f>BQ28/BQ30*BT28*CP30</f>
        <v>18.238811728395042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5">
        <f>参数调整!C29</f>
        <v>240</v>
      </c>
      <c r="C29" s="15">
        <f>参数调整!D29</f>
        <v>19</v>
      </c>
      <c r="D29" s="10">
        <f t="shared" si="44"/>
        <v>90000</v>
      </c>
      <c r="E29" s="10">
        <f t="shared" si="45"/>
        <v>180000</v>
      </c>
      <c r="F29" s="15">
        <f>参数调整!E29</f>
        <v>9000</v>
      </c>
      <c r="G29" s="10">
        <f t="shared" si="46"/>
        <v>4500</v>
      </c>
      <c r="H29" s="10">
        <f t="shared" si="3"/>
        <v>5400</v>
      </c>
      <c r="I29" s="10">
        <f t="shared" si="4"/>
        <v>11146</v>
      </c>
      <c r="J29" s="10">
        <f>参数调整!K3*H29</f>
        <v>2700</v>
      </c>
      <c r="K29" s="10">
        <f t="shared" si="19"/>
        <v>5850</v>
      </c>
      <c r="L29" s="10">
        <f t="shared" si="5"/>
        <v>12075</v>
      </c>
      <c r="M29" s="10">
        <f>INT(参数调整!K3*K29)</f>
        <v>2925</v>
      </c>
      <c r="N29" s="10">
        <f t="shared" si="20"/>
        <v>6300</v>
      </c>
      <c r="O29" s="10">
        <f t="shared" si="6"/>
        <v>13004</v>
      </c>
      <c r="P29" s="10">
        <f>INT(参数调整!K3*N29)</f>
        <v>3150</v>
      </c>
      <c r="Q29" s="10">
        <f t="shared" si="21"/>
        <v>6750</v>
      </c>
      <c r="R29" s="10">
        <f t="shared" si="7"/>
        <v>13933</v>
      </c>
      <c r="S29" s="10">
        <f>INT(参数调整!K3*Q29)</f>
        <v>3375</v>
      </c>
      <c r="T29" s="10">
        <f t="shared" si="8"/>
        <v>9900</v>
      </c>
      <c r="U29" s="10">
        <f t="shared" si="9"/>
        <v>20435</v>
      </c>
      <c r="V29" s="10">
        <f>INT(参数调整!K3*T29)</f>
        <v>4950</v>
      </c>
      <c r="W29" s="10">
        <f t="shared" si="43"/>
        <v>9000</v>
      </c>
      <c r="X29" s="10">
        <f t="shared" si="22"/>
        <v>18577</v>
      </c>
      <c r="Y29" s="10">
        <f>INT(参数调整!$K$3*W29)</f>
        <v>4500</v>
      </c>
      <c r="Z29" s="10">
        <f t="shared" si="23"/>
        <v>9000</v>
      </c>
      <c r="AA29" s="10">
        <f t="shared" si="24"/>
        <v>18577</v>
      </c>
      <c r="AB29" s="10">
        <f>INT(参数调整!$K$3*Z29)</f>
        <v>4500</v>
      </c>
      <c r="AC29" s="10">
        <f t="shared" si="25"/>
        <v>9000</v>
      </c>
      <c r="AD29" s="10">
        <f t="shared" si="26"/>
        <v>18577</v>
      </c>
      <c r="AE29" s="10">
        <f>INT(参数调整!$K$3*AC29)</f>
        <v>4500</v>
      </c>
      <c r="AF29" s="10">
        <f t="shared" si="27"/>
        <v>9000</v>
      </c>
      <c r="AG29" s="10">
        <f t="shared" si="28"/>
        <v>18577</v>
      </c>
      <c r="AH29" s="10">
        <f>INT(参数调整!$K$3*AF29)</f>
        <v>4500</v>
      </c>
      <c r="AI29" s="10">
        <f t="shared" si="29"/>
        <v>9000</v>
      </c>
      <c r="AJ29" s="10">
        <f t="shared" si="30"/>
        <v>18577</v>
      </c>
      <c r="AK29" s="10">
        <f>INT(参数调整!$K$3*AI29)</f>
        <v>4500</v>
      </c>
      <c r="AL29" s="10">
        <f t="shared" si="31"/>
        <v>9000</v>
      </c>
      <c r="AM29" s="10">
        <f t="shared" si="32"/>
        <v>18577</v>
      </c>
      <c r="AN29" s="10">
        <f>INT(参数调整!$K$3*AL29)</f>
        <v>4500</v>
      </c>
      <c r="AO29" s="10">
        <f t="shared" si="33"/>
        <v>9000</v>
      </c>
      <c r="AP29" s="10">
        <f t="shared" si="34"/>
        <v>18577</v>
      </c>
      <c r="AQ29" s="10">
        <f>INT(参数调整!$K$3*AO29)</f>
        <v>4500</v>
      </c>
      <c r="AR29" s="165">
        <f t="shared" si="35"/>
        <v>1</v>
      </c>
      <c r="AS29" s="165">
        <f t="shared" si="35"/>
        <v>10</v>
      </c>
      <c r="AT29" s="165">
        <f t="shared" si="35"/>
        <v>120</v>
      </c>
      <c r="AU29" s="165">
        <f t="shared" si="35"/>
        <v>600</v>
      </c>
      <c r="AV29" s="165">
        <f t="shared" si="35"/>
        <v>1200</v>
      </c>
      <c r="AW29" s="165">
        <f t="shared" si="35"/>
        <v>1800</v>
      </c>
      <c r="AX29" s="165">
        <f t="shared" si="35"/>
        <v>999</v>
      </c>
      <c r="AY29" s="165">
        <f t="shared" si="48"/>
        <v>999</v>
      </c>
      <c r="AZ29" s="165">
        <f t="shared" si="47"/>
        <v>999</v>
      </c>
      <c r="BA29" s="165">
        <f t="shared" si="47"/>
        <v>999</v>
      </c>
      <c r="BB29" s="165">
        <f t="shared" si="47"/>
        <v>999</v>
      </c>
      <c r="BC29" s="165">
        <f t="shared" si="47"/>
        <v>999</v>
      </c>
      <c r="BD29" s="165">
        <f t="shared" si="47"/>
        <v>999</v>
      </c>
      <c r="BE29" s="10">
        <f t="shared" si="12"/>
        <v>1089200</v>
      </c>
      <c r="BF29" s="10">
        <f t="shared" si="13"/>
        <v>12604500</v>
      </c>
      <c r="BG29" s="10">
        <f t="shared" si="14"/>
        <v>60688000</v>
      </c>
      <c r="BH29" s="10">
        <f t="shared" si="15"/>
        <v>58354000</v>
      </c>
      <c r="BI29" s="146">
        <f t="shared" si="16"/>
        <v>126040000</v>
      </c>
      <c r="BJ29" s="146">
        <f t="shared" si="36"/>
        <v>77720000</v>
      </c>
      <c r="BK29" s="146">
        <f t="shared" si="37"/>
        <v>77720000</v>
      </c>
      <c r="BL29" s="146">
        <f t="shared" si="38"/>
        <v>77720000</v>
      </c>
      <c r="BM29" s="146">
        <f t="shared" si="39"/>
        <v>77720000</v>
      </c>
      <c r="BN29" s="146">
        <f t="shared" si="40"/>
        <v>77720000</v>
      </c>
      <c r="BO29" s="146">
        <f t="shared" si="41"/>
        <v>77720000</v>
      </c>
      <c r="BP29" s="146">
        <f t="shared" si="42"/>
        <v>77720000</v>
      </c>
      <c r="BQ29" s="149">
        <v>26</v>
      </c>
      <c r="BR29" s="151">
        <f t="shared" si="17"/>
        <v>17.290190113401039</v>
      </c>
      <c r="BS29" s="151">
        <f t="shared" si="18"/>
        <v>0.4844526909231715</v>
      </c>
      <c r="BT29" s="150">
        <f>参数调整!H29</f>
        <v>0.95899999999999896</v>
      </c>
      <c r="BU29" s="149">
        <f>BQ29/BQ30*BT29*BU30</f>
        <v>246.56955555555527</v>
      </c>
      <c r="BV29" s="149">
        <f>BQ29/BQ30*BT29*BV30</f>
        <v>35.861864197530828</v>
      </c>
      <c r="BW29" s="149">
        <f>BQ29/BQ30*BT29*BW30</f>
        <v>138.93265843621381</v>
      </c>
      <c r="BX29" s="149">
        <f>BQ29/BQ30*BT29*BX30</f>
        <v>166.22666666666649</v>
      </c>
      <c r="BY29" s="149">
        <v>0</v>
      </c>
      <c r="BZ29" s="149">
        <f>基本装备!AH28</f>
        <v>6</v>
      </c>
      <c r="CA29" s="149">
        <f>BQ29/BQ30*BT29*CA30</f>
        <v>43.249716049382663</v>
      </c>
      <c r="CB29" s="149">
        <f>BQ29/BQ30*BT29*CB30</f>
        <v>22.933123456790096</v>
      </c>
      <c r="CC29" s="149">
        <f>BQ29/BQ30*BT29*CC30</f>
        <v>22.933123456790096</v>
      </c>
      <c r="CD29" s="149">
        <f>BQ29/BQ30*BT29*CD30</f>
        <v>333.63333744855936</v>
      </c>
      <c r="CE29" s="149">
        <f>BQ29/BQ30*BT29*CE30</f>
        <v>324.39852263374456</v>
      </c>
      <c r="CF29" s="149">
        <f>BQ29/BQ30*BT29*CF30</f>
        <v>44.327111111111066</v>
      </c>
      <c r="CG29" s="149">
        <f>BQ29/BQ30*BT29*CG30</f>
        <v>44.327111111111066</v>
      </c>
      <c r="CH29" s="149">
        <f>BQ29/BQ30*BT29*CH30</f>
        <v>79.470711934156284</v>
      </c>
      <c r="CI29" s="149">
        <f>BQ29/BQ30*BT29*CI30</f>
        <v>23.85660493827158</v>
      </c>
      <c r="CJ29" s="149">
        <f>BQ29/BQ30*BT29*CJ30</f>
        <v>9.2348148148148042</v>
      </c>
      <c r="CK29" s="149">
        <f>BQ29/BQ30*BT29*CK30</f>
        <v>19.239197530864175</v>
      </c>
      <c r="CL29" s="149">
        <f>BQ29/BQ30*BT29*CL30</f>
        <v>28.474012345678979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17.392234567901212</v>
      </c>
      <c r="CP29" s="149">
        <f>BQ29/BQ30*BT29*CP30</f>
        <v>19.239197530864175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5">
        <f>参数调整!C30</f>
        <v>250</v>
      </c>
      <c r="C30" s="15">
        <f>参数调整!D30</f>
        <v>20</v>
      </c>
      <c r="D30" s="10">
        <f t="shared" si="44"/>
        <v>100000</v>
      </c>
      <c r="E30" s="10">
        <f t="shared" si="45"/>
        <v>200000</v>
      </c>
      <c r="F30" s="15">
        <f>参数调整!E30</f>
        <v>10000</v>
      </c>
      <c r="G30" s="10">
        <f t="shared" si="46"/>
        <v>5000</v>
      </c>
      <c r="H30" s="10">
        <f t="shared" si="3"/>
        <v>6000</v>
      </c>
      <c r="I30" s="10">
        <f t="shared" si="4"/>
        <v>13266</v>
      </c>
      <c r="J30" s="10">
        <f>参数调整!K3*H30</f>
        <v>3000</v>
      </c>
      <c r="K30" s="10">
        <f t="shared" si="19"/>
        <v>6500</v>
      </c>
      <c r="L30" s="10">
        <f t="shared" si="5"/>
        <v>14372</v>
      </c>
      <c r="M30" s="10">
        <f>INT(参数调整!K3*K30)</f>
        <v>3250</v>
      </c>
      <c r="N30" s="10">
        <f t="shared" si="20"/>
        <v>7000</v>
      </c>
      <c r="O30" s="10">
        <f t="shared" si="6"/>
        <v>15478</v>
      </c>
      <c r="P30" s="10">
        <f>INT(参数调整!K3*N30)</f>
        <v>3500</v>
      </c>
      <c r="Q30" s="10">
        <f t="shared" si="21"/>
        <v>7500</v>
      </c>
      <c r="R30" s="10">
        <f t="shared" si="7"/>
        <v>16583</v>
      </c>
      <c r="S30" s="10">
        <f>INT(参数调整!K3*Q30)</f>
        <v>3750</v>
      </c>
      <c r="T30" s="10">
        <f t="shared" si="8"/>
        <v>11000</v>
      </c>
      <c r="U30" s="10">
        <f t="shared" si="9"/>
        <v>24322</v>
      </c>
      <c r="V30" s="10">
        <f>INT(参数调整!K3*T30)</f>
        <v>5500</v>
      </c>
      <c r="W30" s="10">
        <f t="shared" si="43"/>
        <v>10000</v>
      </c>
      <c r="X30" s="10">
        <f t="shared" si="22"/>
        <v>22111</v>
      </c>
      <c r="Y30" s="10">
        <f>INT(参数调整!$K$3*W30)</f>
        <v>5000</v>
      </c>
      <c r="Z30" s="10">
        <f t="shared" si="23"/>
        <v>10000</v>
      </c>
      <c r="AA30" s="10">
        <f t="shared" si="24"/>
        <v>22111</v>
      </c>
      <c r="AB30" s="10">
        <f>INT(参数调整!$K$3*Z30)</f>
        <v>5000</v>
      </c>
      <c r="AC30" s="10">
        <f t="shared" si="25"/>
        <v>10000</v>
      </c>
      <c r="AD30" s="10">
        <f t="shared" si="26"/>
        <v>22111</v>
      </c>
      <c r="AE30" s="10">
        <f>INT(参数调整!$K$3*AC30)</f>
        <v>5000</v>
      </c>
      <c r="AF30" s="10">
        <f t="shared" si="27"/>
        <v>10000</v>
      </c>
      <c r="AG30" s="10">
        <f t="shared" si="28"/>
        <v>22111</v>
      </c>
      <c r="AH30" s="10">
        <f>INT(参数调整!$K$3*AF30)</f>
        <v>5000</v>
      </c>
      <c r="AI30" s="10">
        <f t="shared" si="29"/>
        <v>10000</v>
      </c>
      <c r="AJ30" s="10">
        <f t="shared" si="30"/>
        <v>22111</v>
      </c>
      <c r="AK30" s="10">
        <f>INT(参数调整!$K$3*AI30)</f>
        <v>5000</v>
      </c>
      <c r="AL30" s="10">
        <f t="shared" si="31"/>
        <v>10000</v>
      </c>
      <c r="AM30" s="10">
        <f t="shared" si="32"/>
        <v>22111</v>
      </c>
      <c r="AN30" s="10">
        <f>INT(参数调整!$K$3*AL30)</f>
        <v>5000</v>
      </c>
      <c r="AO30" s="10">
        <f t="shared" si="33"/>
        <v>10000</v>
      </c>
      <c r="AP30" s="10">
        <f t="shared" si="34"/>
        <v>22111</v>
      </c>
      <c r="AQ30" s="10">
        <f>INT(参数调整!$K$3*AO30)</f>
        <v>5000</v>
      </c>
      <c r="AR30" s="165">
        <f t="shared" si="35"/>
        <v>1</v>
      </c>
      <c r="AS30" s="165">
        <f t="shared" si="35"/>
        <v>10</v>
      </c>
      <c r="AT30" s="165">
        <f t="shared" si="35"/>
        <v>120</v>
      </c>
      <c r="AU30" s="165">
        <f t="shared" si="35"/>
        <v>600</v>
      </c>
      <c r="AV30" s="165">
        <f t="shared" si="35"/>
        <v>1200</v>
      </c>
      <c r="AW30" s="165">
        <f t="shared" si="35"/>
        <v>1800</v>
      </c>
      <c r="AX30" s="165">
        <f t="shared" si="35"/>
        <v>999</v>
      </c>
      <c r="AY30" s="165">
        <f t="shared" si="48"/>
        <v>999</v>
      </c>
      <c r="AZ30" s="165">
        <f t="shared" si="47"/>
        <v>999</v>
      </c>
      <c r="BA30" s="165">
        <f t="shared" si="47"/>
        <v>999</v>
      </c>
      <c r="BB30" s="165">
        <f t="shared" si="47"/>
        <v>999</v>
      </c>
      <c r="BC30" s="165">
        <f t="shared" si="47"/>
        <v>999</v>
      </c>
      <c r="BD30" s="165">
        <f t="shared" si="47"/>
        <v>999</v>
      </c>
      <c r="BE30" s="10">
        <f t="shared" si="12"/>
        <v>1469800</v>
      </c>
      <c r="BF30" s="10">
        <f t="shared" si="13"/>
        <v>17008100</v>
      </c>
      <c r="BG30" s="10">
        <f t="shared" si="14"/>
        <v>81890000</v>
      </c>
      <c r="BH30" s="10">
        <f t="shared" si="15"/>
        <v>78741000</v>
      </c>
      <c r="BI30" s="146">
        <f t="shared" si="16"/>
        <v>170080000</v>
      </c>
      <c r="BJ30" s="146">
        <f t="shared" si="36"/>
        <v>104880000</v>
      </c>
      <c r="BK30" s="146">
        <f t="shared" si="37"/>
        <v>104880000</v>
      </c>
      <c r="BL30" s="146">
        <f t="shared" si="38"/>
        <v>104880000</v>
      </c>
      <c r="BM30" s="146">
        <f t="shared" si="39"/>
        <v>104880000</v>
      </c>
      <c r="BN30" s="146">
        <f t="shared" si="40"/>
        <v>104880000</v>
      </c>
      <c r="BO30" s="146">
        <f t="shared" si="41"/>
        <v>104880000</v>
      </c>
      <c r="BP30" s="146">
        <f t="shared" si="42"/>
        <v>104880000</v>
      </c>
      <c r="BQ30" s="149">
        <v>27</v>
      </c>
      <c r="BR30" s="151">
        <f>1*(1+BU30/100)*(1+BV30/100*(1.5+BW30/100)+(CA30+CL30)/100)*(1+BZ30/10)*(1+CH30/600)</f>
        <v>20.997675188023312</v>
      </c>
      <c r="BS30" s="151">
        <f>1*(1-CB30/100)*(1-CF30/200)*(1-CK30/100)</f>
        <v>0.45225277777777784</v>
      </c>
      <c r="BT30" s="150">
        <f>参数调整!H30</f>
        <v>1</v>
      </c>
      <c r="BU30" s="149">
        <f>基本装备!AK29+基本装备!BB29*8+附件合成!AM103+装备强化!AG39+装备强化!AH39+装备强化!AI39+装备强化!AJ39+宝石镶嵌!H13+新养成线1!AK30+新养成线2!AK30+新养成线3!AK30+新养成线4!AK30+新养成线5!AK30+新养成线6!AK30+新养成线7!AK30+新养成线8!AK30+新养成线9!AK30+新养成线10!AK30+新养成线11!AK30+新养成线12!AK30+新养成线13!AK30</f>
        <v>267</v>
      </c>
      <c r="BV30" s="149">
        <f>基本装备!AJ29+1/12*星座装备!K13+装备强化!AE39+火龙元神!AD12+新养成线1!AL30+新养成线2!AL30+新养成线3!AL30+新养成线4!AL30+新养成线5!AL30+新养成线6!AL30+新养成线7!AL30+新养成线8!AL30+新养成线9!AL30+新养成线10!AL30+新养成线11!AL30+新养成线12!AL30+新养成线13!AL30</f>
        <v>38.833333333333336</v>
      </c>
      <c r="BW30" s="149">
        <f>龙魂炼体!V53+宝石镶嵌!K13*3+37/45*宝石镶嵌!K13*11+新养成线1!AM30+新养成线2!AM30+新养成线3!AM30+新养成线4!AM30+新养成线5!AM30+新养成线6!AM30+新养成线7!AM30+新养成线8!AM30+新养成线9!AM30+新养成线10!AM30+新养成线11!AM30+新养成线12!AM30+新养成线13!AM30</f>
        <v>150.44444444444443</v>
      </c>
      <c r="BX30" s="149">
        <f>基本装备!AG29+龙魂炼体!Y53+新养成线1!AN30+新养成线2!AN30+新养成线3!AN30+新养成线4!AN30+新养成线5!AN30+新养成线6!AN30+新养成线7!AN30+新养成线8!AN30+新养成线9!AN30+新养成线10!AN30+新养成线11!AN30+新养成线12!AN30+新养成线13!AN30</f>
        <v>180</v>
      </c>
      <c r="BY30" s="149" t="s">
        <v>4077</v>
      </c>
      <c r="BZ30" s="149">
        <f>基本装备!AH29+新养成线1!AP30+新养成线2!AP30+新养成线3!AP30+新养成线4!AP30+新养成线5!AP30+新养成线6!AP30+新养成线7!AP30+新养成线8!AP30+新养成线9!AP30+新养成线10!AP30+新养成线11!AP30+新养成线12!AP30+新养成线13!AP30</f>
        <v>7</v>
      </c>
      <c r="CA30" s="149">
        <f>基本装备!AI29+1/12*星座装备!M13+装备强化!AC39+火龙元神!AC12+新养成线1!AQ30+新养成线2!AQ30+新养成线3!AQ30+新养成线4!AQ30+新养成线5!AQ30+新养成线6!AQ30+新养成线7!AQ30+新养成线8!AQ30+新养成线9!AQ30+新养成线10!AQ30+新养成线11!AQ30+新养成线12!AQ30+新养成线13!AQ30</f>
        <v>46.833333333333329</v>
      </c>
      <c r="CB30" s="149">
        <f>基本装备!AP29+1/12*星座装备!T13+装备强化!AB39+新养成线1!AR30+新养成线2!AR30+新养成线3!AR30+新养成线4!AR30+新养成线5!AR30+新养成线6!AR30+新养成线7!AR30+新养成线8!AR30+新养成线9!AR30+新养成线10!AR30+新养成线11!AR30+新养成线12!AR30+新养成线13!AR30</f>
        <v>24.833333333333332</v>
      </c>
      <c r="CC30" s="149">
        <f>基本装备!AQ29+1/12*星座装备!U13+装备强化!AB39+新养成线1!AS30+新养成线2!AS30+新养成线3!AS30+新养成线4!AS30+新养成线5!AS30+新养成线6!AS30+新养成线7!AS30+新养成线8!AS30+新养成线9!AS30+新养成线10!AS30+新养成线11!AS30+新养成线12!AS30+新养成线13!AS30</f>
        <v>24.833333333333332</v>
      </c>
      <c r="CD30" s="149">
        <f>基本装备!AR29+基本装备!AW29+附件合成!AC103+附件合成!AG103+附件合成!AL103+1/12*星座装备!S13+装备强化!AK39+装备强化!AL39+火龙元神!AE12+37/45*宝石镶嵌!L13*11+新养成线1!AT30+新养成线2!AT30+新养成线3!AT30+新养成线4!AT30+新养成线5!AT30+新养成线6!AT30+新养成线7!AT30+新养成线8!AT30+新养成线9!AT30+新养成线10!AT30+新养成线11!AT30+新养成线12!AT30+新养成线13!AT30</f>
        <v>361.27777777777783</v>
      </c>
      <c r="CE30" s="149">
        <f>基本装备!AR29+基本装备!AW29+附件合成!AC103+附件合成!AG103+附件合成!AL103+1/12*星座装备!L13+装备强化!AK39+装备强化!AL39+37/45*宝石镶嵌!L13*11+新养成线1!AU30+新养成线2!AU30+新养成线3!AU30+新养成线4!AU30+新养成线5!AU30+新养成线6!AU30+新养成线7!AU30+新养成线8!AU30+新养成线9!AU30+新养成线10!AU30+新养成线11!AU30+新养成线12!AU30+新养成线13!AU30</f>
        <v>351.27777777777783</v>
      </c>
      <c r="CF30" s="149">
        <f>基本装备!BC29+附件合成!AI103+装备强化!AF39+新养成线1!AV30+新养成线2!AV30+新养成线3!AV30+新养成线4!AV30+新养成线5!AV30+新养成线6!AV30+新养成线7!AV30+新养成线8!AV30+新养成线9!AV30+新养成线10!AV30+新养成线11!AV30+新养成线12!AV30+新养成线13!AV30</f>
        <v>48</v>
      </c>
      <c r="CG30" s="149">
        <f>基本装备!BC29+附件合成!AI103+装备强化!AF39+新养成线1!AW30+新养成线2!AW30+新养成线3!AW30+新养成线4!AW30+新养成线5!AW30+新养成线6!AW30+新养成线7!AW30+新养成线8!AW30+新养成线9!AW30+新养成线10!AW30+新养成线11!AW30+新养成线12!AW30+新养成线13!AW30</f>
        <v>48</v>
      </c>
      <c r="CH30" s="149">
        <f>龙魂炼体!U53+附件合成!AF103+1/12*星座装备!J13+火龙元神!AB12+37/45*宝石镶嵌!J13*11+新养成线1!AX30+新养成线2!AX30+新养成线3!AX30+新养成线4!AX30+新养成线5!AX30+新养成线6!AX30+新养成线7!AX30+新养成线8!AX30+新养成线9!AX30+新养成线10!AX30+新养成线11!AX30+新养成线12!AX30+新养成线13!AX30</f>
        <v>86.055555555555543</v>
      </c>
      <c r="CI30" s="149">
        <f>0.01*龙魂炼体!R53+1/12*星座装备!N13+火龙元神!AA12+新养成线1!AY30+新养成线2!AY30+新养成线3!AY30+新养成线4!AY30+新养成线5!AY30+新养成线6!AY30+新养成线7!AY30+新养成线8!AY30+新养成线9!AY30+新养成线10!AY30+新养成线11!AY30+新养成线12!AY30+新养成线13!AY30</f>
        <v>25.833333333333336</v>
      </c>
      <c r="CJ30" s="149">
        <f>1/100*龙魂炼体!S53+新养成线1!AZ30+新养成线2!AZ30+新养成线3!AZ30+新养成线4!AZ30+新养成线5!AZ30+新养成线6!AZ30+新养成线7!AZ30+新养成线8!AZ30+新养成线9!AZ30+新养成线10!AZ30+新养成线11!AZ30+新养成线12!AZ30+新养成线13!AZ30</f>
        <v>10</v>
      </c>
      <c r="CK30" s="149">
        <f>1/100*龙魂炼体!Z53+1/12*星座装备!Q13+新养成线1!BA30+新养成线2!BA30+新养成线3!BA30+新养成线4!BA30+新养成线5!BA30+新养成线6!BA30+新养成线7!BA30+新养成线8!BA30+新养成线9!BA30+新养成线10!BA30+新养成线11!BA30+新养成线12!BA30+新养成线13!BA30</f>
        <v>20.833333333333332</v>
      </c>
      <c r="CL30" s="149">
        <f>1/100*龙魂炼体!AA53+1/12*星座装备!O13+新养成线1!BB30+新养成线2!BB30+新养成线3!BB30+新养成线4!BB30+新养成线5!BB30+新养成线6!BB30+新养成线7!BB30+新养成线8!BB30+新养成线9!BB30+新养成线10!BB30+新养成线11!BB30+新养成线12!BB30+新养成线13!BB30</f>
        <v>30.833333333333332</v>
      </c>
      <c r="CM30" s="149">
        <f>附件合成!AN103+新养成线1!BC30+新养成线2!BC30+新养成线3!BC30+新养成线4!BC30+新养成线5!BC30+新养成线6!BC30+新养成线7!BC30+新养成线8!BC30+新养成线9!BC30+新养成线10!BC30+新养成线11!BC30+新养成线12!BC30+新养成线13!BC30</f>
        <v>2000</v>
      </c>
      <c r="CN30" s="149">
        <f>附件合成!AN103+新养成线1!BD30+新养成线2!BD30+新养成线3!BD30+新养成线4!BD30+新养成线5!BD30+新养成线6!BD30+新养成线7!BD30+新养成线8!BD30+新养成线9!BD30+新养成线10!BD30+新养成线11!BD30+新养成线12!BD30+新养成线13!BD30</f>
        <v>2000</v>
      </c>
      <c r="CO30" s="149">
        <f>1/12*星座装备!R13+装备强化!AD39+新养成线1!BE30+新养成线2!BE30+新养成线3!BE30+新养成线4!BE30+新养成线5!BE30+新养成线6!BE30+新养成线7!BE30+新养成线8!BE30+新养成线9!BE30+新养成线10!BE30+新养成线11!BE30+新养成线12!BE30+新养成线13!BE30</f>
        <v>18.833333333333332</v>
      </c>
      <c r="CP30" s="149">
        <f>20+1/12*星座装备!P13+新养成线1!BF30+新养成线2!BF30+新养成线3!BF30+新养成线4!BF30+新养成线5!BF30+新养成线6!BF30+新养成线7!BF30+新养成线8!BF30+新养成线9!BF30+新养成线10!BF30+新养成线11!BF30+新养成线12!BF30+新养成线13!BF30</f>
        <v>20.833333333333332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5">
    <mergeCell ref="BQ1:CP1"/>
    <mergeCell ref="B1:G1"/>
    <mergeCell ref="H1:V1"/>
    <mergeCell ref="B2:F2"/>
    <mergeCell ref="AS1:BP1"/>
  </mergeCells>
  <phoneticPr fontId="1" type="noConversion"/>
  <pageMargins left="0.7" right="0.7" top="0.75" bottom="0.75" header="0.3" footer="0.3"/>
  <ignoredErrors>
    <ignoredError sqref="C1:G1 J3:K3 M3:N3 P3:Q3 S3:T3 B3 D4:E30 V2:V3 M2 P2 S2 BE2:BI3 D3:H3 G4:H30 AR3:AW3 AR1:AS1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topLeftCell="DB1" workbookViewId="0">
      <selection activeCell="BF4" sqref="BF4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25" t="s">
        <v>25</v>
      </c>
      <c r="B1" s="225"/>
      <c r="C1" s="7"/>
      <c r="D1" s="7"/>
      <c r="E1" s="7"/>
      <c r="F1" s="7"/>
      <c r="G1" s="230" t="s">
        <v>3722</v>
      </c>
      <c r="H1" s="231"/>
      <c r="I1" s="231"/>
      <c r="J1" s="240"/>
      <c r="K1" s="243" t="s">
        <v>39</v>
      </c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  <c r="BM1" s="244"/>
      <c r="BN1" s="244"/>
      <c r="BO1" s="244"/>
      <c r="BP1" s="244"/>
      <c r="BQ1" s="244"/>
      <c r="BR1" s="244"/>
      <c r="BS1" s="244"/>
      <c r="BT1" s="244"/>
      <c r="BU1" s="244"/>
      <c r="BV1" s="244"/>
      <c r="BW1" s="244"/>
      <c r="BX1" s="244"/>
      <c r="BY1" s="244"/>
      <c r="BZ1" s="244"/>
      <c r="CA1" s="244"/>
      <c r="CB1" s="244"/>
      <c r="CC1" s="244"/>
      <c r="CD1" s="244"/>
      <c r="CE1" s="244"/>
      <c r="CF1" s="244"/>
      <c r="CG1" s="244"/>
      <c r="CH1" s="244"/>
      <c r="CI1" s="244"/>
      <c r="CJ1" s="244"/>
      <c r="CK1" s="244"/>
      <c r="CL1" s="244"/>
      <c r="CM1" s="244"/>
      <c r="CN1" s="244"/>
      <c r="CO1" s="244"/>
      <c r="CP1" s="244"/>
      <c r="CQ1" s="244"/>
      <c r="CR1" s="244"/>
      <c r="CS1" s="244"/>
      <c r="CT1" s="244"/>
      <c r="CU1" s="244"/>
      <c r="CV1" s="244"/>
      <c r="CW1" s="244"/>
      <c r="CX1" s="244"/>
      <c r="CY1" s="244"/>
      <c r="CZ1" s="244"/>
      <c r="DA1" s="244"/>
      <c r="DB1" s="244"/>
      <c r="DC1" s="244"/>
      <c r="DD1" s="244"/>
      <c r="DE1" s="244"/>
      <c r="DF1" s="244"/>
      <c r="DG1" s="244"/>
      <c r="DH1" s="244"/>
      <c r="DI1" s="244"/>
      <c r="DJ1" s="244"/>
      <c r="DK1" s="244"/>
      <c r="DL1" s="244"/>
      <c r="DM1" s="244"/>
      <c r="DN1" s="244"/>
      <c r="DO1" s="244"/>
      <c r="DP1" s="244"/>
      <c r="DQ1" s="244"/>
      <c r="DR1" s="244"/>
      <c r="DS1" s="244"/>
      <c r="DT1" s="244"/>
      <c r="DU1" s="244"/>
      <c r="DV1" s="244"/>
      <c r="DW1" s="244"/>
      <c r="DX1" s="244"/>
      <c r="DY1" s="244"/>
      <c r="DZ1" s="244"/>
      <c r="EA1" s="244"/>
      <c r="EB1" s="244"/>
      <c r="EC1" s="244"/>
      <c r="ED1" s="244"/>
      <c r="EE1" s="244"/>
      <c r="EF1" s="244"/>
      <c r="EG1" s="244"/>
      <c r="EH1" s="244"/>
    </row>
    <row r="2" spans="1:138" s="19" customFormat="1" ht="15" x14ac:dyDescent="0.25">
      <c r="A2" s="17"/>
      <c r="B2" s="17"/>
      <c r="C2" s="17"/>
      <c r="D2" s="17"/>
      <c r="E2" s="18"/>
      <c r="F2" s="17"/>
      <c r="G2" s="232" t="s">
        <v>4056</v>
      </c>
      <c r="H2" s="233"/>
      <c r="I2" s="233"/>
      <c r="J2" s="234"/>
      <c r="K2" s="245" t="s">
        <v>28</v>
      </c>
      <c r="L2" s="245"/>
      <c r="M2" s="245"/>
      <c r="N2" s="245"/>
      <c r="O2" s="18" t="s">
        <v>29</v>
      </c>
      <c r="P2" s="245" t="s">
        <v>30</v>
      </c>
      <c r="Q2" s="245"/>
      <c r="R2" s="245"/>
      <c r="S2" s="245" t="s">
        <v>31</v>
      </c>
      <c r="T2" s="245"/>
      <c r="U2" s="245"/>
      <c r="V2" s="245" t="s">
        <v>32</v>
      </c>
      <c r="W2" s="245"/>
      <c r="X2" s="245"/>
      <c r="Y2" s="245"/>
      <c r="Z2" s="245" t="s">
        <v>45</v>
      </c>
      <c r="AA2" s="245"/>
      <c r="AB2" s="245"/>
      <c r="AC2" s="245" t="s">
        <v>46</v>
      </c>
      <c r="AD2" s="245"/>
      <c r="AE2" s="245"/>
      <c r="AF2" s="245"/>
      <c r="AG2" s="245" t="s">
        <v>47</v>
      </c>
      <c r="AH2" s="245"/>
      <c r="AI2" s="245" t="s">
        <v>48</v>
      </c>
      <c r="AJ2" s="245"/>
      <c r="AK2" s="18" t="s">
        <v>33</v>
      </c>
      <c r="AL2" s="245" t="s">
        <v>40</v>
      </c>
      <c r="AM2" s="245"/>
      <c r="AN2" s="245"/>
      <c r="AO2" s="18" t="s">
        <v>34</v>
      </c>
      <c r="AP2" s="245" t="s">
        <v>35</v>
      </c>
      <c r="AQ2" s="245"/>
      <c r="AR2" s="245"/>
      <c r="AS2" s="245"/>
      <c r="AT2" s="227" t="s">
        <v>41</v>
      </c>
      <c r="AU2" s="229"/>
      <c r="AV2" s="245" t="s">
        <v>42</v>
      </c>
      <c r="AW2" s="245"/>
      <c r="AX2" s="245"/>
      <c r="AY2" s="245"/>
      <c r="AZ2" s="18" t="s">
        <v>43</v>
      </c>
      <c r="BA2" s="245" t="s">
        <v>44</v>
      </c>
      <c r="BB2" s="245"/>
      <c r="BC2" s="241" t="s">
        <v>3974</v>
      </c>
      <c r="BD2" s="242"/>
      <c r="BE2" s="242"/>
      <c r="BF2" s="242"/>
      <c r="BG2" s="241" t="s">
        <v>3975</v>
      </c>
      <c r="BH2" s="242"/>
      <c r="BI2" s="242"/>
      <c r="BJ2" s="242"/>
      <c r="BK2" s="241" t="s">
        <v>3976</v>
      </c>
      <c r="BL2" s="242"/>
      <c r="BM2" s="242"/>
      <c r="BN2" s="242"/>
      <c r="BO2" s="241" t="s">
        <v>3977</v>
      </c>
      <c r="BP2" s="242"/>
      <c r="BQ2" s="242"/>
      <c r="BR2" s="242"/>
      <c r="BS2" s="241" t="s">
        <v>3978</v>
      </c>
      <c r="BT2" s="242"/>
      <c r="BU2" s="242"/>
      <c r="BV2" s="242"/>
      <c r="BW2" s="241" t="s">
        <v>3979</v>
      </c>
      <c r="BX2" s="242"/>
      <c r="BY2" s="242"/>
      <c r="BZ2" s="242"/>
      <c r="CA2" s="241" t="s">
        <v>3980</v>
      </c>
      <c r="CB2" s="242"/>
      <c r="CC2" s="242"/>
      <c r="CD2" s="242"/>
      <c r="CE2" s="241" t="s">
        <v>3981</v>
      </c>
      <c r="CF2" s="242"/>
      <c r="CG2" s="242"/>
      <c r="CH2" s="242"/>
      <c r="CI2" s="241" t="s">
        <v>3982</v>
      </c>
      <c r="CJ2" s="242"/>
      <c r="CK2" s="242"/>
      <c r="CL2" s="242"/>
      <c r="CM2" s="241" t="s">
        <v>3983</v>
      </c>
      <c r="CN2" s="242"/>
      <c r="CO2" s="242"/>
      <c r="CP2" s="242"/>
      <c r="CQ2" s="241" t="s">
        <v>3984</v>
      </c>
      <c r="CR2" s="242"/>
      <c r="CS2" s="242"/>
      <c r="CT2" s="242"/>
      <c r="CU2" s="241" t="s">
        <v>3985</v>
      </c>
      <c r="CV2" s="242"/>
      <c r="CW2" s="242"/>
      <c r="CX2" s="242"/>
      <c r="CY2" s="241" t="s">
        <v>3986</v>
      </c>
      <c r="CZ2" s="242"/>
      <c r="DA2" s="242"/>
      <c r="DB2" s="242"/>
      <c r="DC2" s="241" t="s">
        <v>3987</v>
      </c>
      <c r="DD2" s="242"/>
      <c r="DE2" s="242"/>
      <c r="DF2" s="242"/>
      <c r="DG2" s="241" t="s">
        <v>3988</v>
      </c>
      <c r="DH2" s="242"/>
      <c r="DI2" s="242"/>
      <c r="DJ2" s="242"/>
      <c r="DK2" s="241" t="s">
        <v>3989</v>
      </c>
      <c r="DL2" s="242"/>
      <c r="DM2" s="242"/>
      <c r="DN2" s="242"/>
      <c r="DO2" s="241" t="s">
        <v>3990</v>
      </c>
      <c r="DP2" s="242"/>
      <c r="DQ2" s="242"/>
      <c r="DR2" s="242"/>
      <c r="DS2" s="241" t="s">
        <v>3991</v>
      </c>
      <c r="DT2" s="242"/>
      <c r="DU2" s="242"/>
      <c r="DV2" s="242"/>
      <c r="DW2" s="241" t="s">
        <v>3992</v>
      </c>
      <c r="DX2" s="242"/>
      <c r="DY2" s="242"/>
      <c r="DZ2" s="242"/>
      <c r="EA2" s="241" t="s">
        <v>3993</v>
      </c>
      <c r="EB2" s="242"/>
      <c r="EC2" s="242"/>
      <c r="ED2" s="242"/>
      <c r="EE2" s="241" t="s">
        <v>3994</v>
      </c>
      <c r="EF2" s="242"/>
      <c r="EG2" s="242"/>
      <c r="EH2" s="242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324">
        <f>K4+P4+S4+V4+Z4+AC4+AL4+AP4+AV4+BC4+BG4+BK4+BO4+BS4+BW4+CA4+CE4+CI4+CM4+CQ4+CU4+CY4+DC4+DG4+DK4+DO4+DS4+DW4+EA4+EE4</f>
        <v>100000</v>
      </c>
      <c r="H4" s="324">
        <f>L4+T4+W4+AD4+AQ4+AW4+BD4+BH4+BL4+BP4+BT4+BX4+CB4+CF4+CJ4+CN4+CR4+CV4+CZ4+DD4+DH4+DL4+DP4+DT4+DX4+EB4+EF4</f>
        <v>200000</v>
      </c>
      <c r="I4" s="324">
        <f>M4+O4+Q4+U4+X4+AA4+AE4+AG4+AI4+AK4+AM4+AR4+AT4+AX4+BA4+BE4+BI4+BM4+BQ4+BU4+BY4+CC4+CG4+CK4+CO4+CS4+CW4+DA4+DE4+DI4+DM4+DQ4+DU4+DY4+EC4+EG4</f>
        <v>10000</v>
      </c>
      <c r="J4" s="324">
        <f>N4+R4+Y4+AB4+AF4+AH4+AJ4+AN4+AS4+AU4+AY4+BB4</f>
        <v>5000</v>
      </c>
      <c r="K4" s="322">
        <f>参数调整!M4</f>
        <v>35000</v>
      </c>
      <c r="L4" s="322">
        <f>参数调整!N4</f>
        <v>60000</v>
      </c>
      <c r="M4" s="322">
        <f>参数调整!O4</f>
        <v>500</v>
      </c>
      <c r="N4" s="322">
        <f>参数调整!P4</f>
        <v>500</v>
      </c>
      <c r="O4" s="322">
        <f>参数调整!M7</f>
        <v>500</v>
      </c>
      <c r="P4" s="322">
        <f>参数调整!N7</f>
        <v>5000</v>
      </c>
      <c r="Q4" s="322">
        <f>参数调整!O7</f>
        <v>500</v>
      </c>
      <c r="R4" s="322">
        <f>参数调整!P7</f>
        <v>250</v>
      </c>
      <c r="S4" s="322">
        <f>参数调整!M10</f>
        <v>10000</v>
      </c>
      <c r="T4" s="322">
        <f>参数调整!N10</f>
        <v>20000</v>
      </c>
      <c r="U4" s="322">
        <f>参数调整!O10</f>
        <v>500</v>
      </c>
      <c r="V4" s="322">
        <f>参数调整!M13</f>
        <v>15000</v>
      </c>
      <c r="W4" s="322">
        <f>参数调整!N13</f>
        <v>60000</v>
      </c>
      <c r="X4" s="322">
        <f>参数调整!O13</f>
        <v>2000</v>
      </c>
      <c r="Y4" s="322">
        <f>参数调整!P13</f>
        <v>1500</v>
      </c>
      <c r="Z4" s="323">
        <f>参数调整!M16</f>
        <v>5000</v>
      </c>
      <c r="AA4" s="323">
        <f>参数调整!N16</f>
        <v>500</v>
      </c>
      <c r="AB4" s="323">
        <f>参数调整!O16</f>
        <v>250</v>
      </c>
      <c r="AC4" s="323">
        <f>参数调整!M19</f>
        <v>10000</v>
      </c>
      <c r="AD4" s="323">
        <f>参数调整!N19</f>
        <v>40000</v>
      </c>
      <c r="AE4" s="323">
        <f>参数调整!O19</f>
        <v>500</v>
      </c>
      <c r="AF4" s="323">
        <f>参数调整!P19</f>
        <v>500</v>
      </c>
      <c r="AG4" s="323">
        <f>参数调整!M22</f>
        <v>500</v>
      </c>
      <c r="AH4" s="323">
        <f>参数调整!N22</f>
        <v>250</v>
      </c>
      <c r="AI4" s="323">
        <f>参数调整!O22</f>
        <v>500</v>
      </c>
      <c r="AJ4" s="323">
        <f>参数调整!P22</f>
        <v>250</v>
      </c>
      <c r="AK4" s="323">
        <f>参数调整!M25</f>
        <v>2000</v>
      </c>
      <c r="AL4" s="323">
        <f>参数调整!N25</f>
        <v>15000</v>
      </c>
      <c r="AM4" s="323">
        <f>参数调整!O25</f>
        <v>600</v>
      </c>
      <c r="AN4" s="323">
        <f>参数调整!P25</f>
        <v>600</v>
      </c>
      <c r="AO4" s="323"/>
      <c r="AP4" s="323">
        <f>参数调整!M28</f>
        <v>5000</v>
      </c>
      <c r="AQ4" s="323">
        <f>参数调整!N28</f>
        <v>20000</v>
      </c>
      <c r="AR4" s="323">
        <f>参数调整!O28</f>
        <v>500</v>
      </c>
      <c r="AS4" s="323">
        <f>参数调整!P28</f>
        <v>250</v>
      </c>
      <c r="AT4" s="323">
        <f>参数调整!M31</f>
        <v>500</v>
      </c>
      <c r="AU4" s="323">
        <f>参数调整!N31</f>
        <v>250</v>
      </c>
      <c r="AV4" s="323">
        <f>参数调整!M34</f>
        <v>0</v>
      </c>
      <c r="AW4" s="323">
        <f>参数调整!N34</f>
        <v>0</v>
      </c>
      <c r="AX4" s="323">
        <f>参数调整!O34</f>
        <v>0</v>
      </c>
      <c r="AY4" s="323">
        <f>参数调整!P34</f>
        <v>0</v>
      </c>
      <c r="AZ4" s="323"/>
      <c r="BA4" s="323">
        <f>参数调整!M37</f>
        <v>400</v>
      </c>
      <c r="BB4" s="323">
        <f>参数调整!N37</f>
        <v>400</v>
      </c>
      <c r="BC4" s="323">
        <f>参数调整!M40</f>
        <v>0</v>
      </c>
      <c r="BD4" s="323">
        <f>参数调整!N40</f>
        <v>0</v>
      </c>
      <c r="BE4" s="323">
        <f>参数调整!O40</f>
        <v>0</v>
      </c>
      <c r="BF4" s="323">
        <f>参数调整!P40</f>
        <v>0</v>
      </c>
      <c r="BG4" s="323">
        <f>参数调整!M43</f>
        <v>0</v>
      </c>
      <c r="BH4" s="323">
        <f>参数调整!N43</f>
        <v>0</v>
      </c>
      <c r="BI4" s="323">
        <f>参数调整!O43</f>
        <v>0</v>
      </c>
      <c r="BJ4" s="323">
        <f>参数调整!P43</f>
        <v>0</v>
      </c>
      <c r="BK4" s="323">
        <f>参数调整!M46</f>
        <v>0</v>
      </c>
      <c r="BL4" s="323">
        <f>参数调整!N46</f>
        <v>0</v>
      </c>
      <c r="BM4" s="323">
        <f>参数调整!O46</f>
        <v>0</v>
      </c>
      <c r="BN4" s="323">
        <f>参数调整!P46</f>
        <v>0</v>
      </c>
      <c r="BO4" s="323">
        <f>参数调整!M49</f>
        <v>0</v>
      </c>
      <c r="BP4" s="323">
        <f>参数调整!N49</f>
        <v>0</v>
      </c>
      <c r="BQ4" s="323">
        <f>参数调整!O49</f>
        <v>0</v>
      </c>
      <c r="BR4" s="323">
        <f>参数调整!P49</f>
        <v>0</v>
      </c>
      <c r="BS4" s="323">
        <f>参数调整!M52</f>
        <v>0</v>
      </c>
      <c r="BT4" s="323">
        <f>参数调整!N52</f>
        <v>0</v>
      </c>
      <c r="BU4" s="323">
        <f>参数调整!O52</f>
        <v>0</v>
      </c>
      <c r="BV4" s="323">
        <f>参数调整!P52</f>
        <v>0</v>
      </c>
      <c r="BW4" s="323">
        <f>参数调整!M55</f>
        <v>0</v>
      </c>
      <c r="BX4" s="323">
        <f>参数调整!N55</f>
        <v>0</v>
      </c>
      <c r="BY4" s="323">
        <f>参数调整!O55</f>
        <v>0</v>
      </c>
      <c r="BZ4" s="323">
        <f>参数调整!P55</f>
        <v>0</v>
      </c>
      <c r="CA4" s="323">
        <f>参数调整!M58</f>
        <v>0</v>
      </c>
      <c r="CB4" s="323">
        <f>参数调整!N58</f>
        <v>0</v>
      </c>
      <c r="CC4" s="323">
        <f>参数调整!O58</f>
        <v>0</v>
      </c>
      <c r="CD4" s="323">
        <f>参数调整!P58</f>
        <v>0</v>
      </c>
      <c r="CE4" s="323">
        <f>参数调整!M61</f>
        <v>0</v>
      </c>
      <c r="CF4" s="323">
        <f>参数调整!N61</f>
        <v>0</v>
      </c>
      <c r="CG4" s="323">
        <f>参数调整!O61</f>
        <v>0</v>
      </c>
      <c r="CH4" s="323">
        <f>参数调整!P61</f>
        <v>0</v>
      </c>
      <c r="CI4" s="323">
        <f>参数调整!M64</f>
        <v>0</v>
      </c>
      <c r="CJ4" s="323">
        <f>参数调整!N64</f>
        <v>0</v>
      </c>
      <c r="CK4" s="323">
        <f>参数调整!O64</f>
        <v>0</v>
      </c>
      <c r="CL4" s="323">
        <f>参数调整!P64</f>
        <v>0</v>
      </c>
      <c r="CM4" s="323">
        <f>参数调整!M67</f>
        <v>0</v>
      </c>
      <c r="CN4" s="323">
        <f>参数调整!N67</f>
        <v>0</v>
      </c>
      <c r="CO4" s="323">
        <f>参数调整!O67</f>
        <v>0</v>
      </c>
      <c r="CP4" s="323">
        <f>参数调整!P67</f>
        <v>0</v>
      </c>
      <c r="CQ4" s="323">
        <f>参数调整!M70</f>
        <v>0</v>
      </c>
      <c r="CR4" s="323">
        <f>参数调整!N70</f>
        <v>0</v>
      </c>
      <c r="CS4" s="323">
        <f>参数调整!O70</f>
        <v>0</v>
      </c>
      <c r="CT4" s="323">
        <f>参数调整!P70</f>
        <v>0</v>
      </c>
      <c r="CU4" s="323">
        <f>参数调整!M73</f>
        <v>0</v>
      </c>
      <c r="CV4" s="323">
        <f>参数调整!N73</f>
        <v>0</v>
      </c>
      <c r="CW4" s="323">
        <f>参数调整!O73</f>
        <v>0</v>
      </c>
      <c r="CX4" s="323">
        <f>参数调整!P73</f>
        <v>0</v>
      </c>
      <c r="CY4" s="323">
        <f>参数调整!M76</f>
        <v>0</v>
      </c>
      <c r="CZ4" s="323">
        <f>参数调整!N76</f>
        <v>0</v>
      </c>
      <c r="DA4" s="323">
        <f>参数调整!O76</f>
        <v>0</v>
      </c>
      <c r="DB4" s="323">
        <f>参数调整!P76</f>
        <v>0</v>
      </c>
      <c r="DC4" s="323">
        <f>参数调整!M79</f>
        <v>0</v>
      </c>
      <c r="DD4" s="323">
        <f>参数调整!N79</f>
        <v>0</v>
      </c>
      <c r="DE4" s="323">
        <f>参数调整!O79</f>
        <v>0</v>
      </c>
      <c r="DF4" s="323">
        <f>参数调整!P79</f>
        <v>0</v>
      </c>
      <c r="DG4" s="323">
        <f>参数调整!M82</f>
        <v>0</v>
      </c>
      <c r="DH4" s="323">
        <f>参数调整!N82</f>
        <v>0</v>
      </c>
      <c r="DI4" s="323">
        <f>参数调整!O82</f>
        <v>0</v>
      </c>
      <c r="DJ4" s="323">
        <f>参数调整!P82</f>
        <v>0</v>
      </c>
      <c r="DK4" s="323">
        <f>参数调整!M85</f>
        <v>0</v>
      </c>
      <c r="DL4" s="323">
        <f>参数调整!N85</f>
        <v>0</v>
      </c>
      <c r="DM4" s="323">
        <f>参数调整!O85</f>
        <v>0</v>
      </c>
      <c r="DN4" s="323">
        <f>参数调整!P85</f>
        <v>0</v>
      </c>
      <c r="DO4" s="323">
        <f>参数调整!M88</f>
        <v>0</v>
      </c>
      <c r="DP4" s="323">
        <f>参数调整!N88</f>
        <v>0</v>
      </c>
      <c r="DQ4" s="323">
        <f>参数调整!O88</f>
        <v>0</v>
      </c>
      <c r="DR4" s="323">
        <f>参数调整!P88</f>
        <v>0</v>
      </c>
      <c r="DS4" s="323">
        <f>参数调整!M91</f>
        <v>0</v>
      </c>
      <c r="DT4" s="323">
        <f>参数调整!N91</f>
        <v>0</v>
      </c>
      <c r="DU4" s="323">
        <f>参数调整!O91</f>
        <v>0</v>
      </c>
      <c r="DV4" s="323">
        <f>参数调整!P91</f>
        <v>0</v>
      </c>
      <c r="DW4" s="323">
        <f>参数调整!M94</f>
        <v>0</v>
      </c>
      <c r="DX4" s="323">
        <f>参数调整!N94</f>
        <v>0</v>
      </c>
      <c r="DY4" s="323">
        <f>参数调整!O94</f>
        <v>0</v>
      </c>
      <c r="DZ4" s="323">
        <f>参数调整!P94</f>
        <v>0</v>
      </c>
      <c r="EA4" s="323">
        <f>参数调整!M97</f>
        <v>0</v>
      </c>
      <c r="EB4" s="323">
        <f>参数调整!N97</f>
        <v>0</v>
      </c>
      <c r="EC4" s="323">
        <f>参数调整!O97</f>
        <v>0</v>
      </c>
      <c r="ED4" s="323">
        <f>参数调整!P97</f>
        <v>0</v>
      </c>
      <c r="EE4" s="323">
        <f>参数调整!M100</f>
        <v>0</v>
      </c>
      <c r="EF4" s="323">
        <f>参数调整!N100</f>
        <v>0</v>
      </c>
      <c r="EG4" s="323">
        <f>参数调整!O100</f>
        <v>0</v>
      </c>
      <c r="EH4" s="323">
        <f>参数调整!P100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324">
        <f>K4+P4+S4+V4+Z4+AC4+AL4+AP4+AV4+BC4+BG4+BK4+BO4+BS4+BW4+CA4+CE4+CI4+CM4+CQ4+CU4+CY4+DC4+DG4+DK4+DO4+DS4+DW4+EA4+EE4</f>
        <v>100000</v>
      </c>
      <c r="H5" s="324">
        <f>L4+T4+W4+AD4+AQ4+AW4+BD4+BH4+BL4+BP4+BT4+BX4+CB4+CF4+CJ4+CN4+CR4+CV4+CZ4+DD4+DH4+DL4+DP4+DT4+DX4+EB4+EF4</f>
        <v>200000</v>
      </c>
      <c r="I5" s="324">
        <f>M4+O4+Q4+U4+X4+AA4+AE4+AG4+AI4+AK4+AM4+AR4+AT4+AX4+BA4</f>
        <v>10000</v>
      </c>
      <c r="J5" s="324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P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324">
        <f>K4+P4+S4+V4+Z4+AC4+AL4+AP4+AV4+BC4+BG4+BK4+BO4+BS4+BW4+CA4+CE4+CI4+CM4+CQ4+CU4+CY4+DC4+DG4+DK4+DO4+DS4+DW4+EA4+EE4</f>
        <v>100000</v>
      </c>
      <c r="H6" s="324">
        <f>L4+T4+W4+AD4+AQ4+AW4+BD4+BH4+BL4+BP4+BT4+BX4+CB4+CF4+CJ4+CN4+CR4+CV4+CZ4+DD4+DH4+DL4+DP4+DT4+DX4+EB4+EF4</f>
        <v>200000</v>
      </c>
      <c r="I6" s="324">
        <f>M4+O4+Q4+U4+X4+AA4+AE4+AG4+AI4+AK4+AM4+AR4+AT4+AX4+BA4</f>
        <v>10000</v>
      </c>
      <c r="J6" s="324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324">
        <f>K4+P4+S4+V4+Z4+AC4+AL4+AP4+AV4+BC4+BG4+BK4+BO4+BS4+BW4+CA4+CE4+CI4+CM4+CQ4+CU4+CY4+DC4+DG4+DK4+DO4+DS4+DW4+EA4+EE4</f>
        <v>100000</v>
      </c>
      <c r="H7" s="324">
        <f>L4+T4+W4+AD4+AQ4+AW4+BD4+BH4+BL4+BP4+BT4+BX4+CB4+CF4+CJ4+CN4+CR4+CV4+CZ4+DD4+DH4+DL4+DP4+DT4+DX4+EB4+EF4</f>
        <v>200000</v>
      </c>
      <c r="I7" s="324">
        <f>M4+O4+Q4+U4+X4+AA4+AE4+AG4+AI4+AK4+AM4+AR4+AT4+AX4+BA4</f>
        <v>10000</v>
      </c>
      <c r="J7" s="324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324">
        <f>K4+P4+S4+V4+Z4+AC4+AL4+AP4+AV4+BC4+BG4+BK4+BO4+BS4+BW4+CA4+CE4+CI4+CM4+CQ4+CU4+CY4+DC4+DG4+DK4+DO4+DS4+DW4+EA4+EE4</f>
        <v>100000</v>
      </c>
      <c r="H8" s="324">
        <f>L4+T4+W4+AD4+AQ4+AW4+BD4+BH4+BL4+BP4+BT4+BX4+CB4+CF4+CJ4+CN4+CR4+CV4+CZ4+DD4+DH4+DL4+DP4+DT4+DX4+EB4+EF4</f>
        <v>200000</v>
      </c>
      <c r="I8" s="324">
        <f>M4+O4+Q4+U4+X4+AA4+AE4+AG4+AI4+AK4+AM4+AR4+AT4+AX4+BA4</f>
        <v>10000</v>
      </c>
      <c r="J8" s="324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324">
        <f>K4+P4+S4+V4+Z4+AC4+AL4+AP4+AV4+BC4+BG4+BK4+BO4+BS4+BW4+CA4+CE4+CI4+CM4+CQ4+CU4+CY4+DC4+DG4+DK4+DO4+DS4+DW4+EA4+EE4</f>
        <v>100000</v>
      </c>
      <c r="H9" s="324">
        <f>L4+T4+W4+AD4+AQ4+AW4+BD4+BH4+BL4+BP4+BT4+BX4+CB4+CF4+CJ4+CN4+CR4+CV4+CZ4+DD4+DH4+DL4+DP4+DT4+DX4+EB4+EF4</f>
        <v>200000</v>
      </c>
      <c r="I9" s="324">
        <f>M4+O4+Q4+U4+X4+AA4+AE4+AG4+AI4+AK4+AM4+AR4+AT4+AX4+BA4</f>
        <v>10000</v>
      </c>
      <c r="J9" s="324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324">
        <f>K4+P4+S4+V4+Z4+AC4+AL4+AP4+AV4+BC4+BG4+BK4+BO4+BS4+BW4+CA4+CE4+CI4+CM4+CQ4+CU4+CY4+DC4+DG4+DK4+DO4+DS4+DW4+EA4+EE4</f>
        <v>100000</v>
      </c>
      <c r="H10" s="324">
        <f>L4+T4+W4+AD4+AQ4+AW4+BD4+BH4+BL4+BP4+BT4+BX4+CB4+CF4+CJ4+CN4+CR4+CV4+CZ4+DD4+DH4+DL4+DP4+DT4+DX4+EB4+EF4</f>
        <v>200000</v>
      </c>
      <c r="I10" s="324">
        <f>M4+O4+Q4+U4+X4+AA4+AE4+AG4+AI4+AK4+AM4+AR4+AT4+AX4+BA4</f>
        <v>10000</v>
      </c>
      <c r="J10" s="324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324">
        <f>K4+P4+S4+V4+Z4+AC4+AL4+AP4+AV4+BC4+BG4+BK4+BO4+BS4+BW4+CA4+CE4+CI4+CM4+CQ4+CU4+CY4+DC4+DG4+DK4+DO4+DS4+DW4+EA4+EE4</f>
        <v>100000</v>
      </c>
      <c r="H11" s="324">
        <f>L4+T4+W4+AD4+AQ4+AW4+BD4+BH4+BL4+BP4+BT4+BX4+CB4+CF4+CJ4+CN4+CR4+CV4+CZ4+DD4+DH4+DL4+DP4+DT4+DX4+EB4+EF4</f>
        <v>200000</v>
      </c>
      <c r="I11" s="324">
        <f>M4+O4+Q4+U4+X4+AA4+AE4+AG4+AI4+AK4+AM4+AR4+AT4+AX4+BA4</f>
        <v>10000</v>
      </c>
      <c r="J11" s="324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325">
        <f>K4+P4+S4+V4+Z4+AC4+AL4+AP4+AV4+BC4+BG4+BK4+BO4+BS4+BW4+CA4+CE4+CI4+CM4+CQ4+CU4+CY4+DC4+DG4+DK4+DO4+DS4+DW4+EA4+EE4</f>
        <v>100000</v>
      </c>
      <c r="H12" s="325">
        <f>L4+T4+W4+AD4+AQ4+AW4+BD4+BH4+BL4+BP4+BT4+BX4+CB4+CF4+CJ4+CN4+CR4+CV4+CZ4+DD4+DH4+DL4+DP4+DT4+DX4+EB4+EF4</f>
        <v>200000</v>
      </c>
      <c r="I12" s="325">
        <f>M4+O4+Q4+U4+X4+AA4+AE4+AG4+AI4+AK4+AM4+AR4+AT4+AX4+BA4</f>
        <v>10000</v>
      </c>
      <c r="J12" s="325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324">
        <f>K4+P4+S4+V4+Z4+AC4+AL4+AP4+AV4+BC4+BG4+BK4+BO4+BS4+BW4+CA4+CE4+CI4+CM4+CQ4+CU4+CY4+DC4+DG4+DK4+DO4+DS4+DW4+EA4+EE4</f>
        <v>100000</v>
      </c>
      <c r="H13" s="324">
        <f>L4+T4+W4+AD4+AQ4+AW4+BD4+BH4+BL4+BP4+BT4+BX4+CB4+CF4+CJ4+CN4+CR4+CV4+CZ4+DD4+DH4+DL4+DP4+DT4+DX4+EB4+EF4</f>
        <v>200000</v>
      </c>
      <c r="I13" s="324">
        <f>M4+O4+Q4+U4+X4+AA4+AE4+AG4+AI4+AK4+AM4+AR4+AT4+AX4+BA4</f>
        <v>10000</v>
      </c>
      <c r="J13" s="324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324">
        <f>K4+P4+S4+V4+Z4+AC4+AL4+AP4+AV4+BC4+BG4+BK4+BO4+BS4+BW4+CA4+CE4+CI4+CM4+CQ4+CU4+CY4+DC4+DG4+DK4+DO4+DS4+DW4+EA4+EE4</f>
        <v>100000</v>
      </c>
      <c r="H14" s="324">
        <f>L4+T4+W4+AD4+AQ4+AW4+BD4+BH4+BL4+BP4+BT4+BX4+CB4+CF4+CJ4+CN4+CR4+CV4+CZ4+DD4+DH4+DL4+DP4+DT4+DX4+EB4+EF4</f>
        <v>200000</v>
      </c>
      <c r="I14" s="324">
        <f>M4+O4+Q4+U4+X4+AA4+AE4+AG4+AI4+AK4+AM4+AR4+AT4+AX4+BA4</f>
        <v>10000</v>
      </c>
      <c r="J14" s="324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324">
        <f>K4+P4+S4+V4+Z4+AC4+AL4+AP4+AV4+BC4+BG4+BK4+BO4+BS4+BW4+CA4+CE4+CI4+CM4+CQ4+CU4+CY4+DC4+DG4+DK4+DO4+DS4+DW4+EA4+EE4</f>
        <v>100000</v>
      </c>
      <c r="H15" s="324">
        <f>L4+T4+W4+AD4+AQ4+AW4+BD4+BH4+BL4+BP4+BT4+BX4+CB4+CF4+CJ4+CN4+CR4+CV4+CZ4+DD4+DH4+DL4+DP4+DT4+DX4+EB4+EF4</f>
        <v>200000</v>
      </c>
      <c r="I15" s="324">
        <f>M4+O4+Q4+U4+X4+AA4+AE4+AG4+AI4+AK4+AM4+AR4+AT4+AX4+BA4</f>
        <v>10000</v>
      </c>
      <c r="J15" s="324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324">
        <f>K4+P4+S4+V4+Z4+AC4+AL4+AP4+AV4+BC4+BG4+BK4+BO4+BS4+BW4+CA4+CE4+CI4+CM4+CQ4+CU4+CY4+DC4+DG4+DK4+DO4+DS4+DW4+EA4+EE4</f>
        <v>100000</v>
      </c>
      <c r="H16" s="324">
        <f>L4+T4+W4+AD4+AQ4+AW4+BD4+BH4+BL4+BP4+BT4+BX4+CB4+CF4+CJ4+CN4+CR4+CV4+CZ4+DD4+DH4+DL4+DP4+DT4+DX4+EB4+EF4</f>
        <v>200000</v>
      </c>
      <c r="I16" s="324">
        <f>M4+O4+Q4+U4+X4+AA4+AE4+AG4+AI4+AK4+AM4+AR4+AT4+AX4+BA4</f>
        <v>10000</v>
      </c>
      <c r="J16" s="324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324">
        <f>K4+P4+S4+V4+Z4+AC4+AL4+AP4+AV4+BC4+BG4+BK4+BO4+BS4+BW4+CA4+CE4+CI4+CM4+CQ4+CU4+CY4+DC4+DG4+DK4+DO4+DS4+DW4+EA4+EE4</f>
        <v>100000</v>
      </c>
      <c r="H17" s="324">
        <f>L4+T4+W4+AD4+AQ4+AW4+BD4+BH4+BL4+BP4+BT4+BX4+CB4+CF4+CJ4+CN4+CR4+CV4+CZ4+DD4+DH4+DL4+DP4+DT4+DX4+EB4+EF4</f>
        <v>200000</v>
      </c>
      <c r="I17" s="324">
        <f>M4+O4+Q4+U4+X4+AA4+AE4+AG4+AI4+AK4+AM4+AR4+AT4+AX4+BA4</f>
        <v>10000</v>
      </c>
      <c r="J17" s="324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324">
        <f>K4+P4+S4+V4+Z4+AC4+AL4+AP4+AV4+BC4+BG4+BK4+BO4+BS4+BW4+CA4+CE4+CI4+CM4+CQ4+CU4+CY4+DC4+DG4+DK4+DO4+DS4+DW4+EA4+EE4</f>
        <v>100000</v>
      </c>
      <c r="H18" s="324">
        <f>L4+T4+W4+AD4+AQ4+AW4+BD4+BH4+BL4+BP4+BT4+BX4+CB4+CF4+CJ4+CN4+CR4+CV4+CZ4+DD4+DH4+DL4+DP4+DT4+DX4+EB4+EF4</f>
        <v>200000</v>
      </c>
      <c r="I18" s="324">
        <f>M4+O4+Q4+U4+X4+AA4+AE4+AG4+AI4+AK4+AM4+AR4+AT4+AX4+BA4</f>
        <v>10000</v>
      </c>
      <c r="J18" s="324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324">
        <f>K4+P4+S4+V4+Z4+AC4+AL4+AP4+AV4+BC4+BG4+BK4+BO4+BS4+BW4+CA4+CE4+CI4+CM4+CQ4+CU4+CY4+DC4+DG4+DK4+DO4+DS4+DW4+EA4+EE4</f>
        <v>100000</v>
      </c>
      <c r="H19" s="324">
        <f>L4+T4+W4+AD4+AQ4+AW4+BD4+BH4+BL4+BP4+BT4+BX4+CB4+CF4+CJ4+CN4+CR4+CV4+CZ4+DD4+DH4+DL4+DP4+DT4+DX4+EB4+EF4</f>
        <v>200000</v>
      </c>
      <c r="I19" s="324">
        <f>M4+O4+Q4+U4+X4+AA4+AE4+AG4+AI4+AK4+AM4+AR4+AT4+AX4+BA4</f>
        <v>10000</v>
      </c>
      <c r="J19" s="324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324">
        <f>K4+P4+S4+V4+Z4+AC4+AL4+AP4+AV4+BC4+BG4+BK4+BO4+BS4+BW4+CA4+CE4+CI4+CM4+CQ4+CU4+CY4+DC4+DG4+DK4+DO4+DS4+DW4+EA4+EE4</f>
        <v>100000</v>
      </c>
      <c r="H20" s="324">
        <f>L4+T4+W4+AD4+AQ4+AW4+BD4+BH4+BL4+BP4+BT4+BX4+CB4+CF4+CJ4+CN4+CR4+CV4+CZ4+DD4+DH4+DL4+DP4+DT4+DX4+EB4+EF4</f>
        <v>200000</v>
      </c>
      <c r="I20" s="324">
        <f>M4+O4+Q4+U4+X4+AA4+AE4+AG4+AI4+AK4+AM4+AR4+AT4+AX4+BA4</f>
        <v>10000</v>
      </c>
      <c r="J20" s="324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325">
        <f>K4+P4+S4+V4+Z4+AC4+AL4+AP4+AV4+BC4+BG4+BK4+BO4+BS4+BW4+CA4+CE4+CI4+CM4+CQ4+CU4+CY4+DC4+DG4+DK4+DO4+DS4+DW4+EA4+EE4</f>
        <v>100000</v>
      </c>
      <c r="H21" s="325">
        <f>L4+T4+W4+AD4+AQ4+AW4+BD4+BH4+BL4+BP4+BT4+BX4+CB4+CF4+CJ4+CN4+CR4+CV4+CZ4+DD4+DH4+DL4+DP4+DT4+DX4+EB4+EF4</f>
        <v>200000</v>
      </c>
      <c r="I21" s="325">
        <f>M4+O4+Q4+U4+X4+AA4+AE4+AG4+AI4+AK4+AM4+AR4+AT4+AX4+BA4</f>
        <v>10000</v>
      </c>
      <c r="J21" s="325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324">
        <f>K4+P4+S4+V4+Z4+AC4+AL4+AP4+AV4+BC4+BG4+BK4+BO4+BS4+BW4+CA4+CE4+CI4+CM4+CQ4+CU4+CY4+DC4+DG4+DK4+DO4+DS4+DW4+EA4+EE4</f>
        <v>100000</v>
      </c>
      <c r="H22" s="324">
        <f>L4+T4+W4+AD4+AQ4+AW4+BD4+BH4+BL4+BP4+BT4+BX4+CB4+CF4+CJ4+CN4+CR4+CV4+CZ4+DD4+DH4+DL4+DP4+DT4+DX4+EB4+EF4</f>
        <v>200000</v>
      </c>
      <c r="I22" s="324">
        <f>M4+O4+Q4+U4+X4+AA4+AE4+AG4+AI4+AK4+AM4+AR4+AT4+AX4+BA4</f>
        <v>10000</v>
      </c>
      <c r="J22" s="324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324">
        <f>K4+P4+S4+V4+Z4+AC4+AL4+AP4+AV4+BC4+BG4+BK4+BO4+BS4+BW4+CA4+CE4+CI4+CM4+CQ4+CU4+CY4+DC4+DG4+DK4+DO4+DS4+DW4+EA4+EE4</f>
        <v>100000</v>
      </c>
      <c r="H23" s="324">
        <f>L4+T4+W4+AD4+AQ4+AW4+BD4+BH4+BL4+BP4+BT4+BX4+CB4+CF4+CJ4+CN4+CR4+CV4+CZ4+DD4+DH4+DL4+DP4+DT4+DX4+EB4+EF4</f>
        <v>200000</v>
      </c>
      <c r="I23" s="324">
        <f>M4+O4+Q4+U4+X4+AA4+AE4+AG4+AI4+AK4+AM4+AR4+AT4+AX4+BA4</f>
        <v>10000</v>
      </c>
      <c r="J23" s="324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324">
        <f>K4+P4+S4+V4+Z4+AC4+AL4+AP4+AV4+BC4+BG4+BK4+BO4+BS4+BW4+CA4+CE4+CI4+CM4+CQ4+CU4+CY4+DC4+DG4+DK4+DO4+DS4+DW4+EA4+EE4</f>
        <v>100000</v>
      </c>
      <c r="H24" s="324">
        <f>L4+T4+W4+AD4+AQ4+AW4+BD4+BH4+BL4+BP4+BT4+BX4+CB4+CF4+CJ4+CN4+CR4+CV4+CZ4+DD4+DH4+DL4+DP4+DT4+DX4+EB4+EF4</f>
        <v>200000</v>
      </c>
      <c r="I24" s="324">
        <f>M4+O4+Q4+U4+X4+AA4+AE4+AG4+AI4+AK4+AM4+AR4+AT4+AX4+BA4</f>
        <v>10000</v>
      </c>
      <c r="J24" s="324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324">
        <f>K4+P4+S4+V4+Z4+AC4+AL4+AP4+AV4+BC4+BG4+BK4+BO4+BS4+BW4+CA4+CE4+CI4+CM4+CQ4+CU4+CY4+DC4+DG4+DK4+DO4+DS4+DW4+EA4+EE4</f>
        <v>100000</v>
      </c>
      <c r="H25" s="324">
        <f>L4+T4+W4+AD4+AQ4+AW4+BD4+BH4+BL4+BP4+BT4+BX4+CB4+CF4+CJ4+CN4+CR4+CV4+CZ4+DD4+DH4+DL4+DP4+DT4+DX4+EB4+EF4</f>
        <v>200000</v>
      </c>
      <c r="I25" s="324">
        <f>M4+O4+Q4+U4+X4+AA4+AE4+AG4+AI4+AK4+AM4+AR4+AT4+AX4+BA4</f>
        <v>10000</v>
      </c>
      <c r="J25" s="324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325">
        <f>K4+P4+S4+V4+Z4+AC4+AL4+AP4+AV4+BC4+BG4+BK4+BO4+BS4+BW4+CA4+CE4+CI4+CM4+CQ4+CU4+CY4+DC4+DG4+DK4+DO4+DS4+DW4+EA4+EE4</f>
        <v>100000</v>
      </c>
      <c r="H26" s="325">
        <f>L4+T4+W4+AD4+AQ4+AW4+BD4+BH4+BL4+BP4+BT4+BX4+CB4+CF4+CJ4+CN4+CR4+CV4+CZ4+DD4+DH4+DL4+DP4+DT4+DX4+EB4+EF4</f>
        <v>200000</v>
      </c>
      <c r="I26" s="325">
        <f>M4+O4+Q4+U4+X4+AA4+AE4+AG4+AI4+AK4+AM4+AR4+AT4+AX4+BA4</f>
        <v>10000</v>
      </c>
      <c r="J26" s="325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324">
        <f>K4+P4+S4+V4+Z4+AC4+AL4+AP4+AV4+BC4+BG4+BK4+BO4+BS4+BW4+CA4+CE4+CI4+CM4+CQ4+CU4+CY4+DC4+DG4+DK4+DO4+DS4+DW4+EA4+EE4</f>
        <v>100000</v>
      </c>
      <c r="H27" s="324">
        <f>L4+T4+W4+AD4+AQ4+AW4+BD4+BH4+BL4+BP4+BT4+BX4+CB4+CF4+CJ4+CN4+CR4+CV4+CZ4+DD4+DH4+DL4+DP4+DT4+DX4+EB4+EF4</f>
        <v>200000</v>
      </c>
      <c r="I27" s="324">
        <f>M4+O4+Q4+U4+X4+AA4+AE4+AG4+AI4+AK4+AM4+AR4+AT4+AX4+BA4</f>
        <v>10000</v>
      </c>
      <c r="J27" s="324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324">
        <f>K4+P4+S4+V4+Z4+AC4+AL4+AP4+AV4+BC4+BG4+BK4+BO4+BS4+BW4+CA4+CE4+CI4+CM4+CQ4+CU4+CY4+DC4+DG4+DK4+DO4+DS4+DW4+EA4+EE4</f>
        <v>100000</v>
      </c>
      <c r="H28" s="324">
        <f>L4+T4+W4+AD4+AQ4+AW4+BD4+BH4+BL4+BP4+BT4+BX4+CB4+CF4+CJ4+CN4+CR4+CV4+CZ4+DD4+DH4+DL4+DP4+DT4+DX4+EB4+EF4</f>
        <v>200000</v>
      </c>
      <c r="I28" s="324">
        <f>M4+O4+Q4+U4+X4+AA4+AE4+AG4+AI4+AK4+AM4+AR4+AT4+AX4+BA4</f>
        <v>10000</v>
      </c>
      <c r="J28" s="324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324">
        <f>K4+P4+S4+V4+Z4+AC4+AL4+AP4+AV4+BC4+BG4+BK4+BO4+BS4+BW4+CA4+CE4+CI4+CM4+CQ4+CU4+CY4+DC4+DG4+DK4+DO4+DS4+DW4+EA4+EE4</f>
        <v>100000</v>
      </c>
      <c r="H29" s="324">
        <f>L4+T4+W4+AD4+AQ4+AW4+BD4+BH4+BL4+BP4+BT4+BX4+CB4+CF4+CJ4+CN4+CR4+CV4+CZ4+DD4+DH4+DL4+DP4+DT4+DX4+EB4+EF4</f>
        <v>200000</v>
      </c>
      <c r="I29" s="324">
        <f>M4+O4+Q4+U4+X4+AA4+AE4+AG4+AI4+AK4+AM4+AR4+AT4+AX4+BA4</f>
        <v>10000</v>
      </c>
      <c r="J29" s="324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324">
        <f>K4+P4+S4+V4+Z4+AC4+AL4+AP4+AV4+BC4+BG4+BK4+BO4+BS4+BW4+CA4+CE4+CI4+CM4+CQ4+CU4+CY4+DC4+DG4+DK4+DO4+DS4+DW4+EA4+EE4</f>
        <v>100000</v>
      </c>
      <c r="H30" s="324">
        <f>L4+T4+W4+AD4+AQ4+AW4+BD4+BH4+BL4+BP4+BT4+BX4+CB4+CF4+CJ4+CN4+CR4+CV4+CZ4+DD4+DH4+DL4+DP4+DT4+DX4+EB4+EF4</f>
        <v>200000</v>
      </c>
      <c r="I30" s="324">
        <f>M4+O4+Q4+U4+X4+AA4+AE4+AG4+AI4+AK4+AM4+AR4+AT4+AX4+BA4</f>
        <v>10000</v>
      </c>
      <c r="J30" s="324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325">
        <f>K4+P4+S4+V4+Z4+AC4+AL4+AP4+AV4+BC4+BG4+BK4+BO4+BS4+BW4+CA4+CE4+CI4+CM4+CQ4+CU4+CY4+DC4+DG4+DK4+DO4+DS4+DW4+EA4+EE4</f>
        <v>100000</v>
      </c>
      <c r="H31" s="325">
        <f>L4+T4+W4+AD4+AQ4+AW4+BD4+BH4+BL4+BP4+BT4+BX4+CB4+CF4+CJ4+CN4+CR4+CV4+CZ4+DD4+DH4+DL4+DP4+DT4+DX4+EB4+EF4</f>
        <v>200000</v>
      </c>
      <c r="I31" s="325">
        <f>M4+O4+Q4+U4+X4+AA4+AE4+AG4+AI4+AK4+AM4+AR4+AT4+AX4+BA4</f>
        <v>10000</v>
      </c>
      <c r="J31" s="325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BA2:BB2"/>
    <mergeCell ref="Z2:AB2"/>
    <mergeCell ref="AC2:AF2"/>
    <mergeCell ref="AG2:AH2"/>
    <mergeCell ref="AI2:AJ2"/>
    <mergeCell ref="AL2:AN2"/>
    <mergeCell ref="AP2:AS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CM2:CP2"/>
    <mergeCell ref="BC2:BF2"/>
    <mergeCell ref="BG2:BJ2"/>
    <mergeCell ref="BK2:BN2"/>
    <mergeCell ref="BO2:BR2"/>
    <mergeCell ref="BS2:BV2"/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topLeftCell="A10" workbookViewId="0">
      <pane xSplit="6" topLeftCell="G1" activePane="topRight" state="frozen"/>
      <selection pane="topRight" activeCell="J24" sqref="J24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25" t="s">
        <v>3755</v>
      </c>
      <c r="B1" s="251" t="s">
        <v>3724</v>
      </c>
      <c r="C1" s="251"/>
      <c r="D1" s="252"/>
      <c r="E1" s="248" t="s">
        <v>3793</v>
      </c>
      <c r="F1" s="248"/>
      <c r="G1" s="255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25"/>
      <c r="B2" s="253"/>
      <c r="C2" s="253"/>
      <c r="D2" s="254"/>
      <c r="E2" s="249" t="s">
        <v>3728</v>
      </c>
      <c r="F2" s="250"/>
      <c r="G2" s="256"/>
      <c r="H2" s="246" t="s">
        <v>3730</v>
      </c>
      <c r="I2" s="247"/>
      <c r="J2" s="246" t="s">
        <v>3731</v>
      </c>
      <c r="K2" s="247"/>
      <c r="L2" s="246" t="s">
        <v>3749</v>
      </c>
      <c r="M2" s="247"/>
      <c r="N2" s="246" t="s">
        <v>3729</v>
      </c>
      <c r="O2" s="247"/>
      <c r="P2" s="246" t="s">
        <v>3732</v>
      </c>
      <c r="Q2" s="247"/>
      <c r="R2" s="246" t="s">
        <v>3733</v>
      </c>
      <c r="S2" s="247"/>
      <c r="T2" s="246" t="s">
        <v>3734</v>
      </c>
      <c r="U2" s="247"/>
      <c r="V2" s="246" t="s">
        <v>3735</v>
      </c>
      <c r="W2" s="247"/>
      <c r="X2" s="246" t="s">
        <v>3736</v>
      </c>
      <c r="Y2" s="247"/>
      <c r="Z2" s="246" t="s">
        <v>3737</v>
      </c>
      <c r="AA2" s="247"/>
      <c r="AB2" s="246" t="s">
        <v>3738</v>
      </c>
      <c r="AC2" s="247"/>
      <c r="AD2" s="246" t="s">
        <v>3740</v>
      </c>
      <c r="AE2" s="247"/>
      <c r="AF2" s="246" t="s">
        <v>3741</v>
      </c>
      <c r="AG2" s="247"/>
      <c r="AH2" s="246" t="s">
        <v>3742</v>
      </c>
      <c r="AI2" s="247"/>
      <c r="AJ2" s="246" t="s">
        <v>3743</v>
      </c>
      <c r="AK2" s="247"/>
      <c r="AL2" s="246" t="s">
        <v>3744</v>
      </c>
      <c r="AM2" s="247"/>
      <c r="AN2" s="246" t="s">
        <v>3745</v>
      </c>
      <c r="AO2" s="247"/>
      <c r="AP2" s="246" t="s">
        <v>3746</v>
      </c>
      <c r="AQ2" s="247"/>
      <c r="AR2" s="246" t="s">
        <v>3747</v>
      </c>
      <c r="AS2" s="247"/>
      <c r="AT2" s="246" t="s">
        <v>3794</v>
      </c>
      <c r="AU2" s="247"/>
      <c r="AV2" s="246" t="s">
        <v>3753</v>
      </c>
      <c r="AW2" s="247"/>
      <c r="AX2" s="246" t="s">
        <v>3748</v>
      </c>
      <c r="AY2" s="247"/>
      <c r="AZ2" s="246" t="s">
        <v>3750</v>
      </c>
      <c r="BA2" s="247"/>
      <c r="BB2" s="246" t="s">
        <v>3751</v>
      </c>
      <c r="BC2" s="247"/>
      <c r="BD2" s="246" t="s">
        <v>3752</v>
      </c>
      <c r="BE2" s="247"/>
      <c r="BF2" s="246" t="s">
        <v>3754</v>
      </c>
      <c r="BG2" s="247"/>
      <c r="BH2" s="246" t="s">
        <v>3889</v>
      </c>
      <c r="BI2" s="247"/>
      <c r="BJ2" s="246" t="s">
        <v>3890</v>
      </c>
      <c r="BK2" s="247"/>
      <c r="BL2" s="246" t="s">
        <v>3891</v>
      </c>
      <c r="BM2" s="247"/>
      <c r="BN2" s="246" t="s">
        <v>3892</v>
      </c>
      <c r="BO2" s="247"/>
      <c r="BP2" s="246" t="s">
        <v>3893</v>
      </c>
      <c r="BQ2" s="247"/>
      <c r="BR2" s="246" t="s">
        <v>3894</v>
      </c>
      <c r="BS2" s="247"/>
      <c r="BT2" s="246" t="s">
        <v>3895</v>
      </c>
      <c r="BU2" s="247"/>
      <c r="BV2" s="246" t="s">
        <v>3896</v>
      </c>
      <c r="BW2" s="247"/>
      <c r="BX2" s="246" t="s">
        <v>3897</v>
      </c>
      <c r="BY2" s="247"/>
      <c r="BZ2" s="246" t="s">
        <v>3898</v>
      </c>
      <c r="CA2" s="247"/>
      <c r="CB2" s="246" t="s">
        <v>3899</v>
      </c>
      <c r="CC2" s="247"/>
      <c r="CD2" s="246" t="s">
        <v>3900</v>
      </c>
      <c r="CE2" s="247"/>
      <c r="CF2" s="246" t="s">
        <v>3901</v>
      </c>
      <c r="CG2" s="247"/>
      <c r="CH2" s="246" t="s">
        <v>3902</v>
      </c>
      <c r="CI2" s="247"/>
      <c r="CJ2" s="246" t="s">
        <v>3903</v>
      </c>
      <c r="CK2" s="247"/>
      <c r="CL2" s="246" t="s">
        <v>3904</v>
      </c>
      <c r="CM2" s="247"/>
      <c r="CN2" s="246" t="s">
        <v>3905</v>
      </c>
      <c r="CO2" s="247"/>
      <c r="CP2" s="246" t="s">
        <v>3906</v>
      </c>
      <c r="CQ2" s="247"/>
      <c r="CR2" s="246" t="s">
        <v>3907</v>
      </c>
      <c r="CS2" s="247"/>
      <c r="CT2" s="246" t="s">
        <v>3908</v>
      </c>
      <c r="CU2" s="247"/>
      <c r="CV2" s="246" t="s">
        <v>3909</v>
      </c>
      <c r="CW2" s="247"/>
      <c r="CX2" s="246" t="s">
        <v>3910</v>
      </c>
      <c r="CY2" s="247"/>
      <c r="CZ2" s="246" t="s">
        <v>3911</v>
      </c>
      <c r="DA2" s="247"/>
      <c r="DB2" s="246" t="s">
        <v>3912</v>
      </c>
      <c r="DC2" s="247"/>
      <c r="DD2" s="246" t="s">
        <v>3913</v>
      </c>
      <c r="DE2" s="247"/>
      <c r="DF2" s="246" t="s">
        <v>3914</v>
      </c>
      <c r="DG2" s="247"/>
      <c r="DH2" s="246" t="s">
        <v>3915</v>
      </c>
      <c r="DI2" s="247"/>
      <c r="DJ2" s="246" t="s">
        <v>3916</v>
      </c>
      <c r="DK2" s="247"/>
      <c r="DL2" s="246" t="s">
        <v>3917</v>
      </c>
      <c r="DM2" s="247"/>
      <c r="DN2" s="246" t="s">
        <v>3918</v>
      </c>
      <c r="DO2" s="247"/>
      <c r="DP2" s="246" t="s">
        <v>3919</v>
      </c>
      <c r="DQ2" s="247"/>
      <c r="DR2" s="246" t="s">
        <v>3920</v>
      </c>
      <c r="DS2" s="247"/>
      <c r="DT2" s="246" t="s">
        <v>3921</v>
      </c>
      <c r="DU2" s="247"/>
      <c r="DV2" s="246" t="s">
        <v>3922</v>
      </c>
      <c r="DW2" s="247"/>
      <c r="DX2" s="246" t="s">
        <v>3923</v>
      </c>
      <c r="DY2" s="247"/>
      <c r="DZ2" s="246" t="s">
        <v>3924</v>
      </c>
      <c r="EA2" s="247"/>
      <c r="EB2" s="246" t="s">
        <v>3925</v>
      </c>
      <c r="EC2" s="247"/>
      <c r="ED2" s="246" t="s">
        <v>3926</v>
      </c>
      <c r="EE2" s="247"/>
      <c r="EF2" s="246" t="s">
        <v>3927</v>
      </c>
      <c r="EG2" s="247"/>
      <c r="EH2" s="246" t="s">
        <v>3928</v>
      </c>
      <c r="EI2" s="247"/>
      <c r="EJ2" s="246" t="s">
        <v>3929</v>
      </c>
      <c r="EK2" s="247"/>
      <c r="EL2" s="246" t="s">
        <v>3930</v>
      </c>
      <c r="EM2" s="247"/>
      <c r="EN2" s="246" t="s">
        <v>3931</v>
      </c>
      <c r="EO2" s="247"/>
      <c r="EP2" s="246" t="s">
        <v>3932</v>
      </c>
      <c r="EQ2" s="247"/>
      <c r="ER2" s="246" t="s">
        <v>3933</v>
      </c>
      <c r="ES2" s="247"/>
      <c r="ET2" s="246" t="s">
        <v>3934</v>
      </c>
      <c r="EU2" s="247"/>
      <c r="EV2" s="246" t="s">
        <v>3935</v>
      </c>
      <c r="EW2" s="247"/>
      <c r="EX2" s="246" t="s">
        <v>3936</v>
      </c>
      <c r="EY2" s="247"/>
      <c r="EZ2" s="246" t="s">
        <v>3937</v>
      </c>
      <c r="FA2" s="247"/>
      <c r="FB2" s="246" t="s">
        <v>3938</v>
      </c>
      <c r="FC2" s="247"/>
      <c r="FD2" s="246" t="s">
        <v>3939</v>
      </c>
      <c r="FE2" s="247"/>
      <c r="FF2" s="246" t="s">
        <v>3940</v>
      </c>
      <c r="FG2" s="247"/>
      <c r="FH2" s="246" t="s">
        <v>3941</v>
      </c>
      <c r="FI2" s="247"/>
      <c r="FJ2" s="246" t="s">
        <v>3942</v>
      </c>
      <c r="FK2" s="247"/>
      <c r="FL2" s="246" t="s">
        <v>3943</v>
      </c>
      <c r="FM2" s="247"/>
      <c r="FN2" s="246" t="s">
        <v>3944</v>
      </c>
      <c r="FO2" s="247"/>
      <c r="FP2" s="246" t="s">
        <v>3945</v>
      </c>
      <c r="FQ2" s="247"/>
      <c r="FR2" s="246" t="s">
        <v>3946</v>
      </c>
      <c r="FS2" s="247"/>
      <c r="FT2" s="246" t="s">
        <v>3947</v>
      </c>
      <c r="FU2" s="247"/>
      <c r="FV2" s="246" t="s">
        <v>3948</v>
      </c>
      <c r="FW2" s="247"/>
      <c r="FX2" s="246" t="s">
        <v>3949</v>
      </c>
      <c r="FY2" s="247"/>
      <c r="FZ2" s="246" t="s">
        <v>3950</v>
      </c>
      <c r="GA2" s="247"/>
      <c r="GB2" s="246" t="s">
        <v>3951</v>
      </c>
      <c r="GC2" s="247"/>
      <c r="GD2" s="246" t="s">
        <v>3952</v>
      </c>
      <c r="GE2" s="247"/>
      <c r="GF2" s="246" t="s">
        <v>3953</v>
      </c>
      <c r="GG2" s="247"/>
      <c r="GH2" s="246" t="s">
        <v>3954</v>
      </c>
      <c r="GI2" s="247"/>
      <c r="GJ2" s="246" t="s">
        <v>3955</v>
      </c>
      <c r="GK2" s="247"/>
      <c r="GL2" s="246" t="s">
        <v>3956</v>
      </c>
      <c r="GM2" s="247"/>
      <c r="GN2" s="246" t="s">
        <v>3957</v>
      </c>
      <c r="GO2" s="247"/>
      <c r="GP2" s="246" t="s">
        <v>3958</v>
      </c>
      <c r="GQ2" s="247"/>
      <c r="GR2" s="246" t="s">
        <v>3959</v>
      </c>
      <c r="GS2" s="247"/>
      <c r="GT2" s="246" t="s">
        <v>3960</v>
      </c>
      <c r="GU2" s="247"/>
      <c r="GV2" s="246" t="s">
        <v>3961</v>
      </c>
      <c r="GW2" s="247"/>
      <c r="GX2" s="246" t="s">
        <v>3962</v>
      </c>
      <c r="GY2" s="247"/>
      <c r="GZ2" s="246" t="s">
        <v>3963</v>
      </c>
      <c r="HA2" s="247"/>
      <c r="HB2" s="246" t="s">
        <v>3964</v>
      </c>
      <c r="HC2" s="247"/>
      <c r="HD2" s="246" t="s">
        <v>3965</v>
      </c>
      <c r="HE2" s="247"/>
      <c r="HF2" s="246" t="s">
        <v>3966</v>
      </c>
      <c r="HG2" s="247"/>
      <c r="HH2" s="246" t="s">
        <v>3967</v>
      </c>
      <c r="HI2" s="247"/>
      <c r="HJ2" s="246" t="s">
        <v>3968</v>
      </c>
      <c r="HK2" s="247"/>
      <c r="HL2" s="246" t="s">
        <v>3969</v>
      </c>
      <c r="HM2" s="247"/>
      <c r="HN2" s="246" t="s">
        <v>3970</v>
      </c>
      <c r="HO2" s="247"/>
      <c r="HP2" s="246" t="s">
        <v>3971</v>
      </c>
      <c r="HQ2" s="247"/>
      <c r="HR2" s="246" t="s">
        <v>3972</v>
      </c>
      <c r="HS2" s="247"/>
      <c r="HT2" s="246" t="s">
        <v>3973</v>
      </c>
      <c r="HU2" s="247"/>
      <c r="HV2" s="10" t="s">
        <v>32</v>
      </c>
      <c r="HW2" s="10" t="s">
        <v>3739</v>
      </c>
      <c r="HX2" s="10" t="s">
        <v>2915</v>
      </c>
    </row>
    <row r="3" spans="1:232" ht="16.5" customHeight="1" x14ac:dyDescent="0.3">
      <c r="A3" s="225"/>
      <c r="B3" s="170" t="s">
        <v>3725</v>
      </c>
      <c r="C3" s="170" t="s">
        <v>3795</v>
      </c>
      <c r="D3" s="10" t="s">
        <v>3796</v>
      </c>
      <c r="E3" s="15" t="s">
        <v>0</v>
      </c>
      <c r="F3" s="15" t="s">
        <v>3726</v>
      </c>
      <c r="G3" s="256"/>
      <c r="H3" s="10" t="s">
        <v>3727</v>
      </c>
      <c r="I3" s="10" t="s">
        <v>3792</v>
      </c>
      <c r="J3" s="10" t="s">
        <v>3727</v>
      </c>
      <c r="K3" s="10" t="s">
        <v>3792</v>
      </c>
      <c r="L3" s="10" t="s">
        <v>3727</v>
      </c>
      <c r="M3" s="10" t="s">
        <v>3792</v>
      </c>
      <c r="N3" s="10" t="s">
        <v>3727</v>
      </c>
      <c r="O3" s="10" t="s">
        <v>3792</v>
      </c>
      <c r="P3" s="10" t="s">
        <v>3727</v>
      </c>
      <c r="Q3" s="10" t="s">
        <v>3792</v>
      </c>
      <c r="R3" s="10" t="s">
        <v>3727</v>
      </c>
      <c r="S3" s="10" t="s">
        <v>3792</v>
      </c>
      <c r="T3" s="10" t="s">
        <v>3727</v>
      </c>
      <c r="U3" s="10" t="s">
        <v>3792</v>
      </c>
      <c r="V3" s="10" t="s">
        <v>3727</v>
      </c>
      <c r="W3" s="10" t="s">
        <v>3792</v>
      </c>
      <c r="X3" s="10" t="s">
        <v>3727</v>
      </c>
      <c r="Y3" s="10" t="s">
        <v>3792</v>
      </c>
      <c r="Z3" s="10" t="s">
        <v>3727</v>
      </c>
      <c r="AA3" s="10" t="s">
        <v>3792</v>
      </c>
      <c r="AB3" s="10" t="s">
        <v>3727</v>
      </c>
      <c r="AC3" s="10" t="s">
        <v>3792</v>
      </c>
      <c r="AD3" s="10" t="s">
        <v>3727</v>
      </c>
      <c r="AE3" s="10" t="s">
        <v>3792</v>
      </c>
      <c r="AF3" s="10" t="s">
        <v>3727</v>
      </c>
      <c r="AG3" s="10" t="s">
        <v>3792</v>
      </c>
      <c r="AH3" s="10" t="s">
        <v>3727</v>
      </c>
      <c r="AI3" s="10" t="s">
        <v>3792</v>
      </c>
      <c r="AJ3" s="10" t="s">
        <v>3727</v>
      </c>
      <c r="AK3" s="10" t="s">
        <v>3792</v>
      </c>
      <c r="AL3" s="10" t="s">
        <v>3727</v>
      </c>
      <c r="AM3" s="10" t="s">
        <v>3792</v>
      </c>
      <c r="AN3" s="10" t="s">
        <v>3727</v>
      </c>
      <c r="AO3" s="10" t="s">
        <v>3792</v>
      </c>
      <c r="AP3" s="10" t="s">
        <v>3727</v>
      </c>
      <c r="AQ3" s="10" t="s">
        <v>3792</v>
      </c>
      <c r="AR3" s="10" t="s">
        <v>3727</v>
      </c>
      <c r="AS3" s="10" t="s">
        <v>3792</v>
      </c>
      <c r="AT3" s="10" t="s">
        <v>3727</v>
      </c>
      <c r="AU3" s="10" t="s">
        <v>3792</v>
      </c>
      <c r="AV3" s="10" t="s">
        <v>3727</v>
      </c>
      <c r="AW3" s="10" t="s">
        <v>3792</v>
      </c>
      <c r="AX3" s="10" t="s">
        <v>3727</v>
      </c>
      <c r="AY3" s="10" t="s">
        <v>3792</v>
      </c>
      <c r="AZ3" s="10" t="s">
        <v>3727</v>
      </c>
      <c r="BA3" s="10" t="s">
        <v>3792</v>
      </c>
      <c r="BB3" s="10" t="s">
        <v>3727</v>
      </c>
      <c r="BC3" s="10" t="s">
        <v>3792</v>
      </c>
      <c r="BD3" s="10" t="s">
        <v>3727</v>
      </c>
      <c r="BE3" s="10" t="s">
        <v>3792</v>
      </c>
      <c r="BF3" s="10" t="s">
        <v>3727</v>
      </c>
      <c r="BG3" s="10" t="s">
        <v>3792</v>
      </c>
      <c r="BH3" s="10" t="s">
        <v>3727</v>
      </c>
      <c r="BI3" s="10" t="s">
        <v>3792</v>
      </c>
      <c r="BJ3" s="10" t="s">
        <v>3727</v>
      </c>
      <c r="BK3" s="10" t="s">
        <v>3792</v>
      </c>
      <c r="BL3" s="10" t="s">
        <v>3727</v>
      </c>
      <c r="BM3" s="10" t="s">
        <v>3792</v>
      </c>
      <c r="BN3" s="10" t="s">
        <v>3727</v>
      </c>
      <c r="BO3" s="10" t="s">
        <v>3792</v>
      </c>
      <c r="BP3" s="10" t="s">
        <v>3727</v>
      </c>
      <c r="BQ3" s="10" t="s">
        <v>3792</v>
      </c>
      <c r="BR3" s="10" t="s">
        <v>3727</v>
      </c>
      <c r="BS3" s="10" t="s">
        <v>3792</v>
      </c>
      <c r="BT3" s="10" t="s">
        <v>3727</v>
      </c>
      <c r="BU3" s="10" t="s">
        <v>3792</v>
      </c>
      <c r="BV3" s="10" t="s">
        <v>3727</v>
      </c>
      <c r="BW3" s="10" t="s">
        <v>3792</v>
      </c>
      <c r="BX3" s="10" t="s">
        <v>3727</v>
      </c>
      <c r="BY3" s="10" t="s">
        <v>3792</v>
      </c>
      <c r="BZ3" s="10" t="s">
        <v>3727</v>
      </c>
      <c r="CA3" s="10" t="s">
        <v>3792</v>
      </c>
      <c r="CB3" s="10" t="s">
        <v>3727</v>
      </c>
      <c r="CC3" s="10" t="s">
        <v>3792</v>
      </c>
      <c r="CD3" s="10" t="s">
        <v>3727</v>
      </c>
      <c r="CE3" s="10" t="s">
        <v>3792</v>
      </c>
      <c r="CF3" s="10" t="s">
        <v>3727</v>
      </c>
      <c r="CG3" s="10" t="s">
        <v>3792</v>
      </c>
      <c r="CH3" s="10" t="s">
        <v>3727</v>
      </c>
      <c r="CI3" s="10" t="s">
        <v>3792</v>
      </c>
      <c r="CJ3" s="10" t="s">
        <v>3727</v>
      </c>
      <c r="CK3" s="10" t="s">
        <v>3792</v>
      </c>
      <c r="CL3" s="10" t="s">
        <v>3727</v>
      </c>
      <c r="CM3" s="10" t="s">
        <v>3792</v>
      </c>
      <c r="CN3" s="10" t="s">
        <v>3727</v>
      </c>
      <c r="CO3" s="10" t="s">
        <v>3792</v>
      </c>
      <c r="CP3" s="10" t="s">
        <v>3727</v>
      </c>
      <c r="CQ3" s="10" t="s">
        <v>3792</v>
      </c>
      <c r="CR3" s="10" t="s">
        <v>3727</v>
      </c>
      <c r="CS3" s="10" t="s">
        <v>3792</v>
      </c>
      <c r="CT3" s="10" t="s">
        <v>3727</v>
      </c>
      <c r="CU3" s="10" t="s">
        <v>3792</v>
      </c>
      <c r="CV3" s="10" t="s">
        <v>3727</v>
      </c>
      <c r="CW3" s="10" t="s">
        <v>3792</v>
      </c>
      <c r="CX3" s="10" t="s">
        <v>3727</v>
      </c>
      <c r="CY3" s="10" t="s">
        <v>3792</v>
      </c>
      <c r="CZ3" s="10" t="s">
        <v>3727</v>
      </c>
      <c r="DA3" s="10" t="s">
        <v>3792</v>
      </c>
      <c r="DB3" s="10" t="s">
        <v>3727</v>
      </c>
      <c r="DC3" s="10" t="s">
        <v>3792</v>
      </c>
      <c r="DD3" s="10" t="s">
        <v>3727</v>
      </c>
      <c r="DE3" s="10" t="s">
        <v>3792</v>
      </c>
      <c r="DF3" s="10" t="s">
        <v>3727</v>
      </c>
      <c r="DG3" s="10" t="s">
        <v>3792</v>
      </c>
      <c r="DH3" s="10" t="s">
        <v>3727</v>
      </c>
      <c r="DI3" s="10" t="s">
        <v>3792</v>
      </c>
      <c r="DJ3" s="10" t="s">
        <v>3727</v>
      </c>
      <c r="DK3" s="10" t="s">
        <v>3792</v>
      </c>
      <c r="DL3" s="10" t="s">
        <v>3727</v>
      </c>
      <c r="DM3" s="10" t="s">
        <v>3792</v>
      </c>
      <c r="DN3" s="10" t="s">
        <v>3727</v>
      </c>
      <c r="DO3" s="10" t="s">
        <v>3792</v>
      </c>
      <c r="DP3" s="10" t="s">
        <v>3727</v>
      </c>
      <c r="DQ3" s="10" t="s">
        <v>3792</v>
      </c>
      <c r="DR3" s="10" t="s">
        <v>3727</v>
      </c>
      <c r="DS3" s="10" t="s">
        <v>3792</v>
      </c>
      <c r="DT3" s="10" t="s">
        <v>3727</v>
      </c>
      <c r="DU3" s="10" t="s">
        <v>3792</v>
      </c>
      <c r="DV3" s="10" t="s">
        <v>3727</v>
      </c>
      <c r="DW3" s="10" t="s">
        <v>3792</v>
      </c>
      <c r="DX3" s="10" t="s">
        <v>3727</v>
      </c>
      <c r="DY3" s="10" t="s">
        <v>3792</v>
      </c>
      <c r="DZ3" s="10" t="s">
        <v>3727</v>
      </c>
      <c r="EA3" s="10" t="s">
        <v>3792</v>
      </c>
      <c r="EB3" s="10" t="s">
        <v>3727</v>
      </c>
      <c r="EC3" s="10" t="s">
        <v>3792</v>
      </c>
      <c r="ED3" s="10" t="s">
        <v>3727</v>
      </c>
      <c r="EE3" s="10" t="s">
        <v>3792</v>
      </c>
      <c r="EF3" s="10" t="s">
        <v>3727</v>
      </c>
      <c r="EG3" s="10" t="s">
        <v>3792</v>
      </c>
      <c r="EH3" s="10" t="s">
        <v>3727</v>
      </c>
      <c r="EI3" s="10" t="s">
        <v>3792</v>
      </c>
      <c r="EJ3" s="10" t="s">
        <v>3727</v>
      </c>
      <c r="EK3" s="10" t="s">
        <v>3792</v>
      </c>
      <c r="EL3" s="10" t="s">
        <v>3727</v>
      </c>
      <c r="EM3" s="10" t="s">
        <v>3792</v>
      </c>
      <c r="EN3" s="10" t="s">
        <v>3727</v>
      </c>
      <c r="EO3" s="10" t="s">
        <v>3792</v>
      </c>
      <c r="EP3" s="10" t="s">
        <v>3727</v>
      </c>
      <c r="EQ3" s="10" t="s">
        <v>3792</v>
      </c>
      <c r="ER3" s="10" t="s">
        <v>3727</v>
      </c>
      <c r="ES3" s="10" t="s">
        <v>3792</v>
      </c>
      <c r="ET3" s="10" t="s">
        <v>3727</v>
      </c>
      <c r="EU3" s="10" t="s">
        <v>3792</v>
      </c>
      <c r="EV3" s="10" t="s">
        <v>3727</v>
      </c>
      <c r="EW3" s="10" t="s">
        <v>3792</v>
      </c>
      <c r="EX3" s="10" t="s">
        <v>3727</v>
      </c>
      <c r="EY3" s="10" t="s">
        <v>3792</v>
      </c>
      <c r="EZ3" s="10" t="s">
        <v>3727</v>
      </c>
      <c r="FA3" s="10" t="s">
        <v>3792</v>
      </c>
      <c r="FB3" s="10" t="s">
        <v>3727</v>
      </c>
      <c r="FC3" s="10" t="s">
        <v>3792</v>
      </c>
      <c r="FD3" s="10" t="s">
        <v>3727</v>
      </c>
      <c r="FE3" s="10" t="s">
        <v>3792</v>
      </c>
      <c r="FF3" s="10" t="s">
        <v>3727</v>
      </c>
      <c r="FG3" s="10" t="s">
        <v>3792</v>
      </c>
      <c r="FH3" s="10" t="s">
        <v>3727</v>
      </c>
      <c r="FI3" s="10" t="s">
        <v>3792</v>
      </c>
      <c r="FJ3" s="10" t="s">
        <v>3727</v>
      </c>
      <c r="FK3" s="10" t="s">
        <v>3792</v>
      </c>
      <c r="FL3" s="10" t="s">
        <v>3727</v>
      </c>
      <c r="FM3" s="10" t="s">
        <v>3792</v>
      </c>
      <c r="FN3" s="10" t="s">
        <v>3727</v>
      </c>
      <c r="FO3" s="10" t="s">
        <v>3792</v>
      </c>
      <c r="FP3" s="10" t="s">
        <v>3727</v>
      </c>
      <c r="FQ3" s="10" t="s">
        <v>3792</v>
      </c>
      <c r="FR3" s="10" t="s">
        <v>3727</v>
      </c>
      <c r="FS3" s="10" t="s">
        <v>3792</v>
      </c>
      <c r="FT3" s="10" t="s">
        <v>3727</v>
      </c>
      <c r="FU3" s="10" t="s">
        <v>3792</v>
      </c>
      <c r="FV3" s="10" t="s">
        <v>3727</v>
      </c>
      <c r="FW3" s="10" t="s">
        <v>3792</v>
      </c>
      <c r="FX3" s="10" t="s">
        <v>3727</v>
      </c>
      <c r="FY3" s="10" t="s">
        <v>3792</v>
      </c>
      <c r="FZ3" s="10" t="s">
        <v>3727</v>
      </c>
      <c r="GA3" s="10" t="s">
        <v>3792</v>
      </c>
      <c r="GB3" s="10" t="s">
        <v>3727</v>
      </c>
      <c r="GC3" s="10" t="s">
        <v>3792</v>
      </c>
      <c r="GD3" s="10" t="s">
        <v>3727</v>
      </c>
      <c r="GE3" s="10" t="s">
        <v>3792</v>
      </c>
      <c r="GF3" s="10" t="s">
        <v>3727</v>
      </c>
      <c r="GG3" s="10" t="s">
        <v>3792</v>
      </c>
      <c r="GH3" s="10" t="s">
        <v>3727</v>
      </c>
      <c r="GI3" s="10" t="s">
        <v>3792</v>
      </c>
      <c r="GJ3" s="10" t="s">
        <v>3727</v>
      </c>
      <c r="GK3" s="10" t="s">
        <v>3792</v>
      </c>
      <c r="GL3" s="10" t="s">
        <v>3727</v>
      </c>
      <c r="GM3" s="10" t="s">
        <v>3792</v>
      </c>
      <c r="GN3" s="10" t="s">
        <v>3727</v>
      </c>
      <c r="GO3" s="10" t="s">
        <v>3792</v>
      </c>
      <c r="GP3" s="10" t="s">
        <v>3727</v>
      </c>
      <c r="GQ3" s="10" t="s">
        <v>3792</v>
      </c>
      <c r="GR3" s="10" t="s">
        <v>3727</v>
      </c>
      <c r="GS3" s="10" t="s">
        <v>3792</v>
      </c>
      <c r="GT3" s="10" t="s">
        <v>3727</v>
      </c>
      <c r="GU3" s="10" t="s">
        <v>3792</v>
      </c>
      <c r="GV3" s="10" t="s">
        <v>3727</v>
      </c>
      <c r="GW3" s="10" t="s">
        <v>3792</v>
      </c>
      <c r="GX3" s="10" t="s">
        <v>3727</v>
      </c>
      <c r="GY3" s="10" t="s">
        <v>3792</v>
      </c>
      <c r="GZ3" s="10" t="s">
        <v>3727</v>
      </c>
      <c r="HA3" s="10" t="s">
        <v>3792</v>
      </c>
      <c r="HB3" s="10" t="s">
        <v>3727</v>
      </c>
      <c r="HC3" s="10" t="s">
        <v>3792</v>
      </c>
      <c r="HD3" s="10" t="s">
        <v>3727</v>
      </c>
      <c r="HE3" s="10" t="s">
        <v>3792</v>
      </c>
      <c r="HF3" s="10" t="s">
        <v>3727</v>
      </c>
      <c r="HG3" s="10" t="s">
        <v>3792</v>
      </c>
      <c r="HH3" s="10" t="s">
        <v>3727</v>
      </c>
      <c r="HI3" s="10" t="s">
        <v>3792</v>
      </c>
      <c r="HJ3" s="10" t="s">
        <v>3727</v>
      </c>
      <c r="HK3" s="10" t="s">
        <v>3792</v>
      </c>
      <c r="HL3" s="10" t="s">
        <v>3727</v>
      </c>
      <c r="HM3" s="10" t="s">
        <v>3727</v>
      </c>
      <c r="HN3" s="10" t="s">
        <v>3727</v>
      </c>
      <c r="HO3" s="10" t="s">
        <v>3792</v>
      </c>
      <c r="HP3" s="10" t="s">
        <v>3727</v>
      </c>
      <c r="HQ3" s="10" t="s">
        <v>3792</v>
      </c>
      <c r="HR3" s="10" t="s">
        <v>3727</v>
      </c>
      <c r="HS3" s="10" t="s">
        <v>3792</v>
      </c>
      <c r="HT3" s="10" t="s">
        <v>3727</v>
      </c>
      <c r="HU3" s="10" t="s">
        <v>3792</v>
      </c>
      <c r="HV3" s="10" t="s">
        <v>3727</v>
      </c>
      <c r="HW3" s="10" t="s">
        <v>3727</v>
      </c>
      <c r="HX3" s="10" t="s">
        <v>3727</v>
      </c>
    </row>
    <row r="4" spans="1:232" ht="21" customHeight="1" x14ac:dyDescent="0.3">
      <c r="A4" s="18">
        <f>参数调整!A4</f>
        <v>1</v>
      </c>
      <c r="B4" s="170">
        <f>参数调整!B4</f>
        <v>0.5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56"/>
      <c r="H4" s="188">
        <f>B4/B$31*D4*I$31</f>
        <v>365085643.00708878</v>
      </c>
      <c r="I4" s="188">
        <f t="shared" ref="I4:I29" si="0">B4/B$31*C4*I$31</f>
        <v>228178526.87943047</v>
      </c>
      <c r="J4" s="10">
        <f t="shared" ref="J4:J29" si="1">B4/B$31*D4*K$31</f>
        <v>15100.628699135343</v>
      </c>
      <c r="K4" s="10">
        <f t="shared" ref="K4:K29" si="2">B4/B$31*C4*K$31</f>
        <v>9437.892936959588</v>
      </c>
      <c r="L4" s="10">
        <f>B4/B$31*D4*M$31</f>
        <v>0.20104716231349271</v>
      </c>
      <c r="M4" s="10">
        <f>B4/B$31*C4*M$31</f>
        <v>0.12565447644593292</v>
      </c>
      <c r="N4" s="10">
        <f>B4/B$31*D4*O$31</f>
        <v>1.4625330858863976</v>
      </c>
      <c r="O4" s="10">
        <f>B4/B$31*C4*O$31</f>
        <v>0.91408317867899846</v>
      </c>
      <c r="P4" s="10">
        <f t="shared" ref="P4:P29" si="3">B4/B$31*D4*Q$31</f>
        <v>28.172442118713683</v>
      </c>
      <c r="Q4" s="10">
        <f t="shared" ref="Q4:Q29" si="4">B4/B$31*C4*Q$31</f>
        <v>17.607776324196049</v>
      </c>
      <c r="R4" s="10">
        <f t="shared" ref="R4:R29" si="5">B4/B$31*D4*S$31</f>
        <v>8.9080896893729652E-2</v>
      </c>
      <c r="S4" s="10">
        <f t="shared" ref="S4:S29" si="6">B4/B$31*C4*S$31</f>
        <v>5.5675560558581035E-2</v>
      </c>
      <c r="T4" s="10">
        <f t="shared" ref="T4:T29" si="7">B4/B$31*D4*U$31</f>
        <v>0.133022413991609</v>
      </c>
      <c r="U4" s="10">
        <f t="shared" ref="U4:U29" si="8">B4/B$31*C4*U$31</f>
        <v>8.3139008744755619E-2</v>
      </c>
      <c r="V4" s="10">
        <f t="shared" ref="V4:V29" si="9">B4/B$31*D4*W$31</f>
        <v>0.133022413991609</v>
      </c>
      <c r="W4" s="10">
        <f t="shared" ref="W4:W29" si="10">B4/B$31*C4*W$31</f>
        <v>8.3139008744755619E-2</v>
      </c>
      <c r="X4" s="10">
        <f t="shared" ref="X4:X29" si="11">B4/B$31*D4*Y$31</f>
        <v>0.133022413991609</v>
      </c>
      <c r="Y4" s="10">
        <f t="shared" ref="Y4:Y29" si="12">B4/B$31*C4*Y$31</f>
        <v>8.3139008744755619E-2</v>
      </c>
      <c r="Z4" s="10">
        <f t="shared" ref="Z4:Z29" si="13">B4/B$31*D4*AA$31</f>
        <v>0.133022413991609</v>
      </c>
      <c r="AA4" s="10">
        <f t="shared" ref="AA4:AA29" si="14">B4/B$31*C4*AA$31</f>
        <v>8.3139008744755619E-2</v>
      </c>
      <c r="AB4" s="10">
        <f t="shared" ref="AB4:AB29" si="15">B4/B$31*D4*AC$31</f>
        <v>3.4098999056862089</v>
      </c>
      <c r="AC4" s="10">
        <f t="shared" ref="AC4:AC29" si="16">B4/B$31*C4*AC$31</f>
        <v>2.1311874410538807</v>
      </c>
      <c r="AD4" s="10">
        <f t="shared" ref="AD4:AD29" si="17">B4/B$31*D4*AE$31</f>
        <v>1.0215208625382346</v>
      </c>
      <c r="AE4" s="10">
        <f t="shared" ref="AE4:AE29" si="18">B4/B$31*C4*AE$31</f>
        <v>0.6384505390863966</v>
      </c>
      <c r="AF4" s="10">
        <f t="shared" ref="AF4:AF29" si="19">B4/B$31*D4*AG$31</f>
        <v>0.5107604312691173</v>
      </c>
      <c r="AG4" s="10">
        <f t="shared" ref="AG4:AG29" si="20">B4/B$31*C4*AG$31</f>
        <v>0.3192252695431983</v>
      </c>
      <c r="AH4" s="10">
        <f t="shared" ref="AH4:AH29" si="21">B4/B$31*D4*AI$31</f>
        <v>0.10215208625382347</v>
      </c>
      <c r="AI4" s="10">
        <f t="shared" ref="AI4:AI29" si="22">B4/B$31*C4*AI$31</f>
        <v>6.3845053908639662E-2</v>
      </c>
      <c r="AJ4" s="10">
        <f t="shared" ref="AJ4:AJ29" si="23">B4/B$31*D4*AK$31</f>
        <v>1.1674150325803143</v>
      </c>
      <c r="AK4" s="10">
        <f t="shared" ref="AK4:AK29" si="24">B4/B$31*C4*AK$31</f>
        <v>0.72963439536269636</v>
      </c>
      <c r="AL4" s="10">
        <f t="shared" ref="AL4:AL29" si="25">B4/B$31*D4*AM$31</f>
        <v>0.58370751629015716</v>
      </c>
      <c r="AM4" s="10">
        <f t="shared" ref="AM4:AM29" si="26">B4/B$31*C4*AM$31</f>
        <v>0.36481719768134818</v>
      </c>
      <c r="AN4" s="10">
        <f t="shared" ref="AN4:AN29" si="27">B4/B$31*D4*AO$31</f>
        <v>0.11674150325803144</v>
      </c>
      <c r="AO4" s="10">
        <f t="shared" ref="AO4:AO29" si="28">B4/B$31*C4*AO$31</f>
        <v>7.2963439536269645E-2</v>
      </c>
      <c r="AP4" s="10">
        <f t="shared" ref="AP4:AP29" si="29">B4/B$31*D4*AQ$31</f>
        <v>5.5386661442401598E-2</v>
      </c>
      <c r="AQ4" s="10">
        <f t="shared" ref="AQ4:AQ29" si="30">B4/B$31*C4*AQ$31</f>
        <v>3.4616663401500998E-2</v>
      </c>
      <c r="AR4" s="10">
        <f t="shared" ref="AR4:AR29" si="31">B4/B$31*D4*AS$31</f>
        <v>7.3108059023088256E-4</v>
      </c>
      <c r="AS4" s="10">
        <f t="shared" ref="AS4:AS29" si="32">B4/B$31*C4*AS$31</f>
        <v>4.5692536889430161E-4</v>
      </c>
      <c r="AT4" s="10">
        <f t="shared" ref="AT4:AT29" si="33">B4/B$31*D4*AU$31</f>
        <v>7.3108059023088256E-4</v>
      </c>
      <c r="AU4" s="10">
        <f t="shared" ref="AU4:AU29" si="34">B4/B$31*C4*AU$31</f>
        <v>4.5692536889430161E-4</v>
      </c>
      <c r="AV4" s="10">
        <f t="shared" ref="AV4:AV29" si="35">B4/B$31*D4*AW$31</f>
        <v>6.5797253120779423E-3</v>
      </c>
      <c r="AW4" s="10">
        <f t="shared" ref="AW4:AW29" si="36">B4/B$31*C4*AW$31</f>
        <v>4.1123283200487134E-3</v>
      </c>
      <c r="AX4" s="10">
        <f t="shared" ref="AX4:AX29" si="37">B4/B$31*D4*AY$31</f>
        <v>2.0104716231349271E-2</v>
      </c>
      <c r="AY4" s="10">
        <f t="shared" ref="AY4:AY29" si="38">B4/B$31*C4*AY$31</f>
        <v>1.2565447644593294E-2</v>
      </c>
      <c r="AZ4" s="10">
        <f t="shared" ref="AZ4:AZ29" si="39">B4/B$31*D4*BA$31</f>
        <v>1.8277014755772065E-3</v>
      </c>
      <c r="BA4" s="10">
        <f t="shared" ref="BA4:BA29" si="40">B4/B$31*C4*BA$31</f>
        <v>1.142313422235754E-3</v>
      </c>
      <c r="BB4" s="10">
        <f t="shared" ref="BB4:BB29" si="41">B4/B$31*D4*BC$31</f>
        <v>1.8277014755772065E-3</v>
      </c>
      <c r="BC4" s="10">
        <f t="shared" ref="BC4:BC29" si="42">B4/B$31*C4*BC$31</f>
        <v>1.142313422235754E-3</v>
      </c>
      <c r="BD4" s="10">
        <f t="shared" ref="BD4:BD29" si="43">B4/B$31*D4*BE$31</f>
        <v>7.3108059023088258E-3</v>
      </c>
      <c r="BE4" s="10">
        <f t="shared" ref="BE4:BE29" si="44">B4/B$31*C4*BE$31</f>
        <v>4.569253688943016E-3</v>
      </c>
      <c r="BF4" s="10">
        <f>$B4/$B$31*$D4*BG$31</f>
        <v>9.1385073778860321E-3</v>
      </c>
      <c r="BG4" s="10">
        <f>$B4/$B$31*$C4*BG$31</f>
        <v>5.71156711117877E-3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1.2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56"/>
      <c r="H5" s="10">
        <f t="shared" ref="H5:H30" si="45">B5/B$31*D5*I$31</f>
        <v>985731236.11913967</v>
      </c>
      <c r="I5" s="188">
        <f t="shared" si="0"/>
        <v>657154157.41275966</v>
      </c>
      <c r="J5" s="10">
        <f t="shared" si="1"/>
        <v>40771.697487665428</v>
      </c>
      <c r="K5" s="10">
        <f t="shared" si="2"/>
        <v>27181.131658443614</v>
      </c>
      <c r="L5" s="10">
        <f t="shared" ref="L5:L29" si="46">B5/B$31*D5*M$31</f>
        <v>0.54282733824643026</v>
      </c>
      <c r="M5" s="10">
        <f t="shared" ref="M5:M29" si="47">B5/B$31*C5*M$31</f>
        <v>0.36188489216428682</v>
      </c>
      <c r="N5" s="10">
        <f t="shared" ref="N5:N29" si="48">B5/B$31*D5*O$31</f>
        <v>3.9488393318932733</v>
      </c>
      <c r="O5" s="10">
        <f t="shared" ref="O5:O29" si="49">B5/B$31*C5*O$31</f>
        <v>2.6325595545955154</v>
      </c>
      <c r="P5" s="10">
        <f t="shared" si="3"/>
        <v>76.065593720526948</v>
      </c>
      <c r="Q5" s="10">
        <f t="shared" si="4"/>
        <v>50.710395813684627</v>
      </c>
      <c r="R5" s="10">
        <f t="shared" si="5"/>
        <v>0.24051842161307008</v>
      </c>
      <c r="S5" s="10">
        <f t="shared" si="6"/>
        <v>0.16034561440871337</v>
      </c>
      <c r="T5" s="10">
        <f t="shared" si="7"/>
        <v>0.35916051777734426</v>
      </c>
      <c r="U5" s="10">
        <f t="shared" si="8"/>
        <v>0.23944034518489615</v>
      </c>
      <c r="V5" s="10">
        <f t="shared" si="9"/>
        <v>0.35916051777734426</v>
      </c>
      <c r="W5" s="10">
        <f t="shared" si="10"/>
        <v>0.23944034518489615</v>
      </c>
      <c r="X5" s="10">
        <f t="shared" si="11"/>
        <v>0.35916051777734426</v>
      </c>
      <c r="Y5" s="10">
        <f t="shared" si="12"/>
        <v>0.23944034518489615</v>
      </c>
      <c r="Z5" s="10">
        <f t="shared" si="13"/>
        <v>0.35916051777734426</v>
      </c>
      <c r="AA5" s="10">
        <f t="shared" si="14"/>
        <v>0.23944034518489615</v>
      </c>
      <c r="AB5" s="10">
        <f t="shared" si="15"/>
        <v>9.2067297453527637</v>
      </c>
      <c r="AC5" s="10">
        <f t="shared" si="16"/>
        <v>6.1378198302351761</v>
      </c>
      <c r="AD5" s="10">
        <f t="shared" si="17"/>
        <v>2.7581063288532333</v>
      </c>
      <c r="AE5" s="10">
        <f t="shared" si="18"/>
        <v>1.8387375525688221</v>
      </c>
      <c r="AF5" s="10">
        <f t="shared" si="19"/>
        <v>1.3790531644266166</v>
      </c>
      <c r="AG5" s="10">
        <f t="shared" si="20"/>
        <v>0.91936877628441105</v>
      </c>
      <c r="AH5" s="10">
        <f t="shared" si="21"/>
        <v>0.27581063288532337</v>
      </c>
      <c r="AI5" s="10">
        <f t="shared" si="22"/>
        <v>0.18387375525688221</v>
      </c>
      <c r="AJ5" s="10">
        <f t="shared" si="23"/>
        <v>3.1520205879668488</v>
      </c>
      <c r="AK5" s="10">
        <f t="shared" si="24"/>
        <v>2.1013470586445657</v>
      </c>
      <c r="AL5" s="10">
        <f t="shared" si="25"/>
        <v>1.5760102939834244</v>
      </c>
      <c r="AM5" s="10">
        <f t="shared" si="26"/>
        <v>1.0506735293222829</v>
      </c>
      <c r="AN5" s="10">
        <f t="shared" si="27"/>
        <v>0.31520205879668489</v>
      </c>
      <c r="AO5" s="10">
        <f t="shared" si="28"/>
        <v>0.21013470586445657</v>
      </c>
      <c r="AP5" s="10">
        <f t="shared" si="29"/>
        <v>0.14954398589448434</v>
      </c>
      <c r="AQ5" s="10">
        <f t="shared" si="30"/>
        <v>9.9695990596322878E-2</v>
      </c>
      <c r="AR5" s="10">
        <f t="shared" si="31"/>
        <v>1.973917593623383E-3</v>
      </c>
      <c r="AS5" s="10">
        <f t="shared" si="32"/>
        <v>1.3159450624155885E-3</v>
      </c>
      <c r="AT5" s="10">
        <f t="shared" si="33"/>
        <v>1.973917593623383E-3</v>
      </c>
      <c r="AU5" s="10">
        <f t="shared" si="34"/>
        <v>1.3159450624155885E-3</v>
      </c>
      <c r="AV5" s="10">
        <f t="shared" si="35"/>
        <v>1.7765258342610446E-2</v>
      </c>
      <c r="AW5" s="10">
        <f t="shared" si="36"/>
        <v>1.1843505561740296E-2</v>
      </c>
      <c r="AX5" s="10">
        <f t="shared" si="37"/>
        <v>5.4282733824643034E-2</v>
      </c>
      <c r="AY5" s="10">
        <f t="shared" si="38"/>
        <v>3.6188489216428685E-2</v>
      </c>
      <c r="AZ5" s="10">
        <f t="shared" si="39"/>
        <v>4.9347939840584578E-3</v>
      </c>
      <c r="BA5" s="10">
        <f t="shared" si="40"/>
        <v>3.2898626560389711E-3</v>
      </c>
      <c r="BB5" s="10">
        <f t="shared" si="41"/>
        <v>4.9347939840584578E-3</v>
      </c>
      <c r="BC5" s="10">
        <f t="shared" si="42"/>
        <v>3.2898626560389711E-3</v>
      </c>
      <c r="BD5" s="10">
        <f t="shared" si="43"/>
        <v>1.9739175936233831E-2</v>
      </c>
      <c r="BE5" s="10">
        <f t="shared" si="44"/>
        <v>1.3159450624155885E-2</v>
      </c>
      <c r="BF5" s="10">
        <f t="shared" ref="BF5:BF29" si="50">B5/B$31*D5*BG$31</f>
        <v>2.4673969920292287E-2</v>
      </c>
      <c r="BG5" s="10">
        <f t="shared" ref="BG5:BG30" si="51">$B5/$B$31*$C5*BG$31</f>
        <v>1.6449313280194857E-2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56"/>
      <c r="H6" s="10">
        <f t="shared" si="45"/>
        <v>1369071161.2765827</v>
      </c>
      <c r="I6" s="188">
        <f t="shared" si="0"/>
        <v>958349812.89360785</v>
      </c>
      <c r="J6" s="10">
        <f t="shared" si="1"/>
        <v>56627.357621757532</v>
      </c>
      <c r="K6" s="10">
        <f t="shared" si="2"/>
        <v>39639.150335230268</v>
      </c>
      <c r="L6" s="10">
        <f t="shared" si="46"/>
        <v>0.75392685867559761</v>
      </c>
      <c r="M6" s="10">
        <f t="shared" si="47"/>
        <v>0.52774880107291833</v>
      </c>
      <c r="N6" s="10">
        <f t="shared" si="48"/>
        <v>5.4844990720739908</v>
      </c>
      <c r="O6" s="10">
        <f t="shared" si="49"/>
        <v>3.8391493504517933</v>
      </c>
      <c r="P6" s="10">
        <f t="shared" si="3"/>
        <v>105.6466579451763</v>
      </c>
      <c r="Q6" s="10">
        <f t="shared" si="4"/>
        <v>73.952660561623404</v>
      </c>
      <c r="R6" s="10">
        <f t="shared" si="5"/>
        <v>0.33405336335148622</v>
      </c>
      <c r="S6" s="10">
        <f t="shared" si="6"/>
        <v>0.23383735434604033</v>
      </c>
      <c r="T6" s="10">
        <f t="shared" si="7"/>
        <v>0.49883405246853368</v>
      </c>
      <c r="U6" s="10">
        <f t="shared" si="8"/>
        <v>0.34918383672797354</v>
      </c>
      <c r="V6" s="10">
        <f t="shared" si="9"/>
        <v>0.49883405246853368</v>
      </c>
      <c r="W6" s="10">
        <f t="shared" si="10"/>
        <v>0.34918383672797354</v>
      </c>
      <c r="X6" s="10">
        <f t="shared" si="11"/>
        <v>0.49883405246853368</v>
      </c>
      <c r="Y6" s="10">
        <f t="shared" si="12"/>
        <v>0.34918383672797354</v>
      </c>
      <c r="Z6" s="10">
        <f t="shared" si="13"/>
        <v>0.49883405246853368</v>
      </c>
      <c r="AA6" s="10">
        <f t="shared" si="14"/>
        <v>0.34918383672797354</v>
      </c>
      <c r="AB6" s="10">
        <f t="shared" si="15"/>
        <v>12.787124646323283</v>
      </c>
      <c r="AC6" s="10">
        <f t="shared" si="16"/>
        <v>8.9509872524262981</v>
      </c>
      <c r="AD6" s="10">
        <f t="shared" si="17"/>
        <v>3.8307032345183796</v>
      </c>
      <c r="AE6" s="10">
        <f t="shared" si="18"/>
        <v>2.6814922641628658</v>
      </c>
      <c r="AF6" s="10">
        <f t="shared" si="19"/>
        <v>1.9153516172591898</v>
      </c>
      <c r="AG6" s="10">
        <f t="shared" si="20"/>
        <v>1.3407461320814329</v>
      </c>
      <c r="AH6" s="10">
        <f t="shared" si="21"/>
        <v>0.38307032345183795</v>
      </c>
      <c r="AI6" s="10">
        <f t="shared" si="22"/>
        <v>0.26814922641628658</v>
      </c>
      <c r="AJ6" s="10">
        <f t="shared" si="23"/>
        <v>4.3778063721761784</v>
      </c>
      <c r="AK6" s="10">
        <f t="shared" si="24"/>
        <v>3.0644644605233249</v>
      </c>
      <c r="AL6" s="10">
        <f t="shared" si="25"/>
        <v>2.1889031860880892</v>
      </c>
      <c r="AM6" s="10">
        <f t="shared" si="26"/>
        <v>1.5322322302616624</v>
      </c>
      <c r="AN6" s="10">
        <f t="shared" si="27"/>
        <v>0.43778063721761784</v>
      </c>
      <c r="AO6" s="10">
        <f t="shared" si="28"/>
        <v>0.30644644605233251</v>
      </c>
      <c r="AP6" s="10">
        <f t="shared" si="29"/>
        <v>0.207699980409006</v>
      </c>
      <c r="AQ6" s="10">
        <f t="shared" si="30"/>
        <v>0.1453899862863042</v>
      </c>
      <c r="AR6" s="10">
        <f t="shared" si="31"/>
        <v>2.7415522133658098E-3</v>
      </c>
      <c r="AS6" s="10">
        <f t="shared" si="32"/>
        <v>1.9190865493560667E-3</v>
      </c>
      <c r="AT6" s="10">
        <f t="shared" si="33"/>
        <v>2.7415522133658098E-3</v>
      </c>
      <c r="AU6" s="10">
        <f t="shared" si="34"/>
        <v>1.9190865493560667E-3</v>
      </c>
      <c r="AV6" s="10">
        <f t="shared" si="35"/>
        <v>2.4673969920292284E-2</v>
      </c>
      <c r="AW6" s="10">
        <f t="shared" si="36"/>
        <v>1.7271778944204598E-2</v>
      </c>
      <c r="AX6" s="10">
        <f t="shared" si="37"/>
        <v>7.5392685867559761E-2</v>
      </c>
      <c r="AY6" s="10">
        <f t="shared" si="38"/>
        <v>5.2774880107291831E-2</v>
      </c>
      <c r="AZ6" s="10">
        <f t="shared" si="39"/>
        <v>6.8538805334145241E-3</v>
      </c>
      <c r="BA6" s="10">
        <f t="shared" si="40"/>
        <v>4.7977163733901665E-3</v>
      </c>
      <c r="BB6" s="10">
        <f t="shared" si="41"/>
        <v>6.8538805334145241E-3</v>
      </c>
      <c r="BC6" s="10">
        <f t="shared" si="42"/>
        <v>4.7977163733901665E-3</v>
      </c>
      <c r="BD6" s="10">
        <f t="shared" si="43"/>
        <v>2.7415522133658096E-2</v>
      </c>
      <c r="BE6" s="10">
        <f t="shared" si="44"/>
        <v>1.9190865493560666E-2</v>
      </c>
      <c r="BF6" s="10">
        <f t="shared" si="50"/>
        <v>3.4269402667072617E-2</v>
      </c>
      <c r="BG6" s="10">
        <f t="shared" si="51"/>
        <v>2.3988581866950832E-2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56"/>
      <c r="H7" s="10">
        <f t="shared" si="45"/>
        <v>1003985518.2694941</v>
      </c>
      <c r="I7" s="188">
        <f t="shared" si="0"/>
        <v>730171286.01417756</v>
      </c>
      <c r="J7" s="10">
        <f t="shared" si="1"/>
        <v>41526.728922622191</v>
      </c>
      <c r="K7" s="10">
        <f t="shared" si="2"/>
        <v>30201.257398270685</v>
      </c>
      <c r="L7" s="10">
        <f t="shared" si="46"/>
        <v>0.55287969636210488</v>
      </c>
      <c r="M7" s="10">
        <f t="shared" si="47"/>
        <v>0.40209432462698541</v>
      </c>
      <c r="N7" s="10">
        <f t="shared" si="48"/>
        <v>4.0219659861875936</v>
      </c>
      <c r="O7" s="10">
        <f t="shared" si="49"/>
        <v>2.9250661717727953</v>
      </c>
      <c r="P7" s="10">
        <f t="shared" si="3"/>
        <v>77.474215826462626</v>
      </c>
      <c r="Q7" s="10">
        <f t="shared" si="4"/>
        <v>56.344884237427365</v>
      </c>
      <c r="R7" s="10">
        <f t="shared" si="5"/>
        <v>0.24497246645775655</v>
      </c>
      <c r="S7" s="10">
        <f t="shared" si="6"/>
        <v>0.1781617937874593</v>
      </c>
      <c r="T7" s="10">
        <f t="shared" si="7"/>
        <v>0.36581163847692472</v>
      </c>
      <c r="U7" s="10">
        <f t="shared" si="8"/>
        <v>0.26604482798321799</v>
      </c>
      <c r="V7" s="10">
        <f t="shared" si="9"/>
        <v>0.36581163847692472</v>
      </c>
      <c r="W7" s="10">
        <f t="shared" si="10"/>
        <v>0.26604482798321799</v>
      </c>
      <c r="X7" s="10">
        <f t="shared" si="11"/>
        <v>0.36581163847692472</v>
      </c>
      <c r="Y7" s="10">
        <f t="shared" si="12"/>
        <v>0.26604482798321799</v>
      </c>
      <c r="Z7" s="10">
        <f t="shared" si="13"/>
        <v>0.36581163847692472</v>
      </c>
      <c r="AA7" s="10">
        <f t="shared" si="14"/>
        <v>0.26604482798321799</v>
      </c>
      <c r="AB7" s="10">
        <f t="shared" si="15"/>
        <v>9.3772247406370752</v>
      </c>
      <c r="AC7" s="10">
        <f t="shared" si="16"/>
        <v>6.8197998113724179</v>
      </c>
      <c r="AD7" s="10">
        <f t="shared" si="17"/>
        <v>2.8091823719801452</v>
      </c>
      <c r="AE7" s="10">
        <f t="shared" si="18"/>
        <v>2.0430417250764692</v>
      </c>
      <c r="AF7" s="10">
        <f t="shared" si="19"/>
        <v>1.4045911859900726</v>
      </c>
      <c r="AG7" s="10">
        <f t="shared" si="20"/>
        <v>1.0215208625382346</v>
      </c>
      <c r="AH7" s="10">
        <f t="shared" si="21"/>
        <v>0.28091823719801451</v>
      </c>
      <c r="AI7" s="10">
        <f t="shared" si="22"/>
        <v>0.20430417250764693</v>
      </c>
      <c r="AJ7" s="10">
        <f t="shared" si="23"/>
        <v>3.2103913395958643</v>
      </c>
      <c r="AK7" s="10">
        <f t="shared" si="24"/>
        <v>2.3348300651606286</v>
      </c>
      <c r="AL7" s="10">
        <f t="shared" si="25"/>
        <v>1.6051956697979322</v>
      </c>
      <c r="AM7" s="10">
        <f t="shared" si="26"/>
        <v>1.1674150325803143</v>
      </c>
      <c r="AN7" s="10">
        <f t="shared" si="27"/>
        <v>0.32103913395958644</v>
      </c>
      <c r="AO7" s="10">
        <f t="shared" si="28"/>
        <v>0.23348300651606288</v>
      </c>
      <c r="AP7" s="10">
        <f t="shared" si="29"/>
        <v>0.15231331896660441</v>
      </c>
      <c r="AQ7" s="10">
        <f t="shared" si="30"/>
        <v>0.1107733228848032</v>
      </c>
      <c r="AR7" s="10">
        <f t="shared" si="31"/>
        <v>2.0104716231349271E-3</v>
      </c>
      <c r="AS7" s="10">
        <f t="shared" si="32"/>
        <v>1.4621611804617651E-3</v>
      </c>
      <c r="AT7" s="10">
        <f t="shared" si="33"/>
        <v>2.0104716231349271E-3</v>
      </c>
      <c r="AU7" s="10">
        <f t="shared" si="34"/>
        <v>1.4621611804617651E-3</v>
      </c>
      <c r="AV7" s="10">
        <f t="shared" si="35"/>
        <v>1.8094244608214342E-2</v>
      </c>
      <c r="AW7" s="10">
        <f t="shared" si="36"/>
        <v>1.3159450624155885E-2</v>
      </c>
      <c r="AX7" s="10">
        <f t="shared" si="37"/>
        <v>5.5287969636210493E-2</v>
      </c>
      <c r="AY7" s="10">
        <f t="shared" si="38"/>
        <v>4.0209432462698542E-2</v>
      </c>
      <c r="AZ7" s="10">
        <f t="shared" si="39"/>
        <v>5.0261790578373178E-3</v>
      </c>
      <c r="BA7" s="10">
        <f t="shared" si="40"/>
        <v>3.6554029511544129E-3</v>
      </c>
      <c r="BB7" s="10">
        <f t="shared" si="41"/>
        <v>5.0261790578373178E-3</v>
      </c>
      <c r="BC7" s="10">
        <f t="shared" si="42"/>
        <v>3.6554029511544129E-3</v>
      </c>
      <c r="BD7" s="10">
        <f t="shared" si="43"/>
        <v>2.0104716231349271E-2</v>
      </c>
      <c r="BE7" s="10">
        <f t="shared" si="44"/>
        <v>1.4621611804617652E-2</v>
      </c>
      <c r="BF7" s="10">
        <f t="shared" si="50"/>
        <v>2.5130895289186588E-2</v>
      </c>
      <c r="BG7" s="10">
        <f t="shared" si="51"/>
        <v>1.8277014755772064E-2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56"/>
      <c r="H8" s="10">
        <f t="shared" si="45"/>
        <v>1369071161.2765827</v>
      </c>
      <c r="I8" s="188">
        <f t="shared" si="0"/>
        <v>1026803370.957437</v>
      </c>
      <c r="J8" s="10">
        <f t="shared" si="1"/>
        <v>56627.357621757525</v>
      </c>
      <c r="K8" s="10">
        <f t="shared" si="2"/>
        <v>42470.518216318145</v>
      </c>
      <c r="L8" s="10">
        <f t="shared" si="46"/>
        <v>0.7539268586755975</v>
      </c>
      <c r="M8" s="10">
        <f t="shared" si="47"/>
        <v>0.56544514400669821</v>
      </c>
      <c r="N8" s="10">
        <f t="shared" si="48"/>
        <v>5.4844990720739899</v>
      </c>
      <c r="O8" s="10">
        <f t="shared" si="49"/>
        <v>4.1133743040554931</v>
      </c>
      <c r="P8" s="10">
        <f t="shared" si="3"/>
        <v>105.64665794517629</v>
      </c>
      <c r="Q8" s="10">
        <f t="shared" si="4"/>
        <v>79.234993458882229</v>
      </c>
      <c r="R8" s="10">
        <f t="shared" si="5"/>
        <v>0.33405336335148617</v>
      </c>
      <c r="S8" s="10">
        <f t="shared" si="6"/>
        <v>0.25054002251361462</v>
      </c>
      <c r="T8" s="10">
        <f t="shared" si="7"/>
        <v>0.49883405246853363</v>
      </c>
      <c r="U8" s="10">
        <f t="shared" si="8"/>
        <v>0.37412553935140025</v>
      </c>
      <c r="V8" s="10">
        <f t="shared" si="9"/>
        <v>0.49883405246853363</v>
      </c>
      <c r="W8" s="10">
        <f t="shared" si="10"/>
        <v>0.37412553935140025</v>
      </c>
      <c r="X8" s="10">
        <f t="shared" si="11"/>
        <v>0.49883405246853363</v>
      </c>
      <c r="Y8" s="10">
        <f t="shared" si="12"/>
        <v>0.37412553935140025</v>
      </c>
      <c r="Z8" s="10">
        <f t="shared" si="13"/>
        <v>0.49883405246853363</v>
      </c>
      <c r="AA8" s="10">
        <f t="shared" si="14"/>
        <v>0.37412553935140025</v>
      </c>
      <c r="AB8" s="10">
        <f t="shared" si="15"/>
        <v>12.787124646323281</v>
      </c>
      <c r="AC8" s="10">
        <f t="shared" si="16"/>
        <v>9.590343484742462</v>
      </c>
      <c r="AD8" s="10">
        <f t="shared" si="17"/>
        <v>3.8307032345183791</v>
      </c>
      <c r="AE8" s="10">
        <f t="shared" si="18"/>
        <v>2.8730274258887847</v>
      </c>
      <c r="AF8" s="10">
        <f t="shared" si="19"/>
        <v>1.9153516172591896</v>
      </c>
      <c r="AG8" s="10">
        <f t="shared" si="20"/>
        <v>1.4365137129443923</v>
      </c>
      <c r="AH8" s="10">
        <f t="shared" si="21"/>
        <v>0.38307032345183789</v>
      </c>
      <c r="AI8" s="10">
        <f t="shared" si="22"/>
        <v>0.28730274258887845</v>
      </c>
      <c r="AJ8" s="10">
        <f t="shared" si="23"/>
        <v>4.3778063721761775</v>
      </c>
      <c r="AK8" s="10">
        <f t="shared" si="24"/>
        <v>3.2833547791321336</v>
      </c>
      <c r="AL8" s="10">
        <f t="shared" si="25"/>
        <v>2.1889031860880888</v>
      </c>
      <c r="AM8" s="10">
        <f t="shared" si="26"/>
        <v>1.6416773895660668</v>
      </c>
      <c r="AN8" s="10">
        <f t="shared" si="27"/>
        <v>0.43778063721761779</v>
      </c>
      <c r="AO8" s="10">
        <f t="shared" si="28"/>
        <v>0.32833547791321338</v>
      </c>
      <c r="AP8" s="10">
        <f t="shared" si="29"/>
        <v>0.20769998040900597</v>
      </c>
      <c r="AQ8" s="10">
        <f t="shared" si="30"/>
        <v>0.15577498530675449</v>
      </c>
      <c r="AR8" s="10">
        <f t="shared" si="31"/>
        <v>2.7415522133658094E-3</v>
      </c>
      <c r="AS8" s="10">
        <f t="shared" si="32"/>
        <v>2.0561641600243571E-3</v>
      </c>
      <c r="AT8" s="10">
        <f t="shared" si="33"/>
        <v>2.7415522133658094E-3</v>
      </c>
      <c r="AU8" s="10">
        <f t="shared" si="34"/>
        <v>2.0561641600243571E-3</v>
      </c>
      <c r="AV8" s="10">
        <f t="shared" si="35"/>
        <v>2.467396992029228E-2</v>
      </c>
      <c r="AW8" s="10">
        <f t="shared" si="36"/>
        <v>1.8505477440219211E-2</v>
      </c>
      <c r="AX8" s="10">
        <f t="shared" si="37"/>
        <v>7.5392685867559747E-2</v>
      </c>
      <c r="AY8" s="10">
        <f t="shared" si="38"/>
        <v>5.6544514400669821E-2</v>
      </c>
      <c r="AZ8" s="10">
        <f t="shared" si="39"/>
        <v>6.8538805334145232E-3</v>
      </c>
      <c r="BA8" s="10">
        <f t="shared" si="40"/>
        <v>5.140410400060893E-3</v>
      </c>
      <c r="BB8" s="10">
        <f t="shared" si="41"/>
        <v>6.8538805334145232E-3</v>
      </c>
      <c r="BC8" s="10">
        <f t="shared" si="42"/>
        <v>5.140410400060893E-3</v>
      </c>
      <c r="BD8" s="10">
        <f t="shared" si="43"/>
        <v>2.7415522133658093E-2</v>
      </c>
      <c r="BE8" s="10">
        <f t="shared" si="44"/>
        <v>2.0561641600243572E-2</v>
      </c>
      <c r="BF8" s="10">
        <f t="shared" si="50"/>
        <v>3.4269402667072617E-2</v>
      </c>
      <c r="BG8" s="10">
        <f t="shared" si="51"/>
        <v>2.5702052000304464E-2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56"/>
      <c r="H9" s="10">
        <f t="shared" si="45"/>
        <v>1779792509.6595578</v>
      </c>
      <c r="I9" s="188">
        <f t="shared" si="0"/>
        <v>1369071161.2765827</v>
      </c>
      <c r="J9" s="10">
        <f t="shared" si="1"/>
        <v>73615.564908284796</v>
      </c>
      <c r="K9" s="10">
        <f t="shared" si="2"/>
        <v>56627.357621757532</v>
      </c>
      <c r="L9" s="10">
        <f t="shared" si="46"/>
        <v>0.98010491627827701</v>
      </c>
      <c r="M9" s="10">
        <f t="shared" si="47"/>
        <v>0.75392685867559761</v>
      </c>
      <c r="N9" s="10">
        <f t="shared" si="48"/>
        <v>7.1298487936961887</v>
      </c>
      <c r="O9" s="10">
        <f t="shared" si="49"/>
        <v>5.4844990720739908</v>
      </c>
      <c r="P9" s="10">
        <f t="shared" si="3"/>
        <v>137.34065532872921</v>
      </c>
      <c r="Q9" s="10">
        <f t="shared" si="4"/>
        <v>105.6466579451763</v>
      </c>
      <c r="R9" s="10">
        <f t="shared" si="5"/>
        <v>0.43426937235693208</v>
      </c>
      <c r="S9" s="10">
        <f t="shared" si="6"/>
        <v>0.33405336335148622</v>
      </c>
      <c r="T9" s="10">
        <f t="shared" si="7"/>
        <v>0.64848426820909388</v>
      </c>
      <c r="U9" s="10">
        <f t="shared" si="8"/>
        <v>0.49883405246853368</v>
      </c>
      <c r="V9" s="10">
        <f t="shared" si="9"/>
        <v>0.64848426820909388</v>
      </c>
      <c r="W9" s="10">
        <f t="shared" si="10"/>
        <v>0.49883405246853368</v>
      </c>
      <c r="X9" s="10">
        <f t="shared" si="11"/>
        <v>0.64848426820909388</v>
      </c>
      <c r="Y9" s="10">
        <f t="shared" si="12"/>
        <v>0.49883405246853368</v>
      </c>
      <c r="Z9" s="10">
        <f t="shared" si="13"/>
        <v>0.64848426820909388</v>
      </c>
      <c r="AA9" s="10">
        <f t="shared" si="14"/>
        <v>0.49883405246853368</v>
      </c>
      <c r="AB9" s="10">
        <f t="shared" si="15"/>
        <v>16.623262040220268</v>
      </c>
      <c r="AC9" s="10">
        <f t="shared" si="16"/>
        <v>12.787124646323283</v>
      </c>
      <c r="AD9" s="10">
        <f t="shared" si="17"/>
        <v>4.9799142048738938</v>
      </c>
      <c r="AE9" s="10">
        <f t="shared" si="18"/>
        <v>3.8307032345183796</v>
      </c>
      <c r="AF9" s="10">
        <f t="shared" si="19"/>
        <v>2.4899571024369469</v>
      </c>
      <c r="AG9" s="10">
        <f t="shared" si="20"/>
        <v>1.9153516172591898</v>
      </c>
      <c r="AH9" s="10">
        <f t="shared" si="21"/>
        <v>0.49799142048738942</v>
      </c>
      <c r="AI9" s="10">
        <f t="shared" si="22"/>
        <v>0.38307032345183795</v>
      </c>
      <c r="AJ9" s="10">
        <f t="shared" si="23"/>
        <v>5.6911482838290324</v>
      </c>
      <c r="AK9" s="10">
        <f t="shared" si="24"/>
        <v>4.3778063721761784</v>
      </c>
      <c r="AL9" s="10">
        <f t="shared" si="25"/>
        <v>2.8455741419145162</v>
      </c>
      <c r="AM9" s="10">
        <f t="shared" si="26"/>
        <v>2.1889031860880892</v>
      </c>
      <c r="AN9" s="10">
        <f t="shared" si="27"/>
        <v>0.56911482838290328</v>
      </c>
      <c r="AO9" s="10">
        <f t="shared" si="28"/>
        <v>0.43778063721761784</v>
      </c>
      <c r="AP9" s="10">
        <f t="shared" si="29"/>
        <v>0.27000997453170783</v>
      </c>
      <c r="AQ9" s="10">
        <f t="shared" si="30"/>
        <v>0.207699980409006</v>
      </c>
      <c r="AR9" s="10">
        <f t="shared" si="31"/>
        <v>3.5640178773755529E-3</v>
      </c>
      <c r="AS9" s="10">
        <f t="shared" si="32"/>
        <v>2.7415522133658098E-3</v>
      </c>
      <c r="AT9" s="10">
        <f t="shared" si="33"/>
        <v>3.5640178773755529E-3</v>
      </c>
      <c r="AU9" s="10">
        <f t="shared" si="34"/>
        <v>2.7415522133658098E-3</v>
      </c>
      <c r="AV9" s="10">
        <f t="shared" si="35"/>
        <v>3.207616089637997E-2</v>
      </c>
      <c r="AW9" s="10">
        <f t="shared" si="36"/>
        <v>2.4673969920292284E-2</v>
      </c>
      <c r="AX9" s="10">
        <f t="shared" si="37"/>
        <v>9.8010491627827698E-2</v>
      </c>
      <c r="AY9" s="10">
        <f t="shared" si="38"/>
        <v>7.5392685867559761E-2</v>
      </c>
      <c r="AZ9" s="10">
        <f t="shared" si="39"/>
        <v>8.9100446934388816E-3</v>
      </c>
      <c r="BA9" s="10">
        <f t="shared" si="40"/>
        <v>6.8538805334145241E-3</v>
      </c>
      <c r="BB9" s="10">
        <f t="shared" si="41"/>
        <v>8.9100446934388816E-3</v>
      </c>
      <c r="BC9" s="10">
        <f t="shared" si="42"/>
        <v>6.8538805334145241E-3</v>
      </c>
      <c r="BD9" s="10">
        <f t="shared" si="43"/>
        <v>3.5640178773755526E-2</v>
      </c>
      <c r="BE9" s="10">
        <f t="shared" si="44"/>
        <v>2.7415522133658096E-2</v>
      </c>
      <c r="BF9" s="10">
        <f t="shared" si="50"/>
        <v>4.4550223467194408E-2</v>
      </c>
      <c r="BG9" s="10">
        <f t="shared" si="51"/>
        <v>3.4269402667072617E-2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56"/>
      <c r="H10" s="10">
        <f t="shared" si="45"/>
        <v>2172259575.8921776</v>
      </c>
      <c r="I10" s="188">
        <f t="shared" si="0"/>
        <v>1706775381.05814</v>
      </c>
      <c r="J10" s="10">
        <f t="shared" si="1"/>
        <v>89848.740759855267</v>
      </c>
      <c r="K10" s="10">
        <f t="shared" si="2"/>
        <v>70595.439168457728</v>
      </c>
      <c r="L10" s="10">
        <f t="shared" si="46"/>
        <v>1.1962306157652813</v>
      </c>
      <c r="M10" s="10">
        <f t="shared" si="47"/>
        <v>0.93989548381557841</v>
      </c>
      <c r="N10" s="10">
        <f t="shared" si="48"/>
        <v>8.7020718610240646</v>
      </c>
      <c r="O10" s="10">
        <f t="shared" si="49"/>
        <v>6.8373421765189093</v>
      </c>
      <c r="P10" s="10">
        <f t="shared" si="3"/>
        <v>167.62603060634638</v>
      </c>
      <c r="Q10" s="10">
        <f t="shared" si="4"/>
        <v>131.70616690498647</v>
      </c>
      <c r="R10" s="10">
        <f t="shared" si="5"/>
        <v>0.53003133651769141</v>
      </c>
      <c r="S10" s="10">
        <f t="shared" si="6"/>
        <v>0.41645319297818617</v>
      </c>
      <c r="T10" s="10">
        <f t="shared" si="7"/>
        <v>0.7914833632500734</v>
      </c>
      <c r="U10" s="10">
        <f t="shared" si="8"/>
        <v>0.62187978541077205</v>
      </c>
      <c r="V10" s="10">
        <f t="shared" si="9"/>
        <v>0.7914833632500734</v>
      </c>
      <c r="W10" s="10">
        <f t="shared" si="10"/>
        <v>0.62187978541077205</v>
      </c>
      <c r="X10" s="10">
        <f t="shared" si="11"/>
        <v>0.7914833632500734</v>
      </c>
      <c r="Y10" s="10">
        <f t="shared" si="12"/>
        <v>0.62187978541077205</v>
      </c>
      <c r="Z10" s="10">
        <f t="shared" si="13"/>
        <v>0.7914833632500734</v>
      </c>
      <c r="AA10" s="10">
        <f t="shared" si="14"/>
        <v>0.62187978541077205</v>
      </c>
      <c r="AB10" s="10">
        <f t="shared" si="15"/>
        <v>20.28890443883294</v>
      </c>
      <c r="AC10" s="10">
        <f t="shared" si="16"/>
        <v>15.941282059083028</v>
      </c>
      <c r="AD10" s="10">
        <f t="shared" si="17"/>
        <v>6.0780491321024952</v>
      </c>
      <c r="AE10" s="10">
        <f t="shared" si="18"/>
        <v>4.7756100323662469</v>
      </c>
      <c r="AF10" s="10">
        <f t="shared" si="19"/>
        <v>3.0390245660512476</v>
      </c>
      <c r="AG10" s="10">
        <f t="shared" si="20"/>
        <v>2.3878050161831235</v>
      </c>
      <c r="AH10" s="10">
        <f t="shared" si="21"/>
        <v>0.60780491321024954</v>
      </c>
      <c r="AI10" s="10">
        <f t="shared" si="22"/>
        <v>0.4775610032366247</v>
      </c>
      <c r="AJ10" s="10">
        <f t="shared" si="23"/>
        <v>6.9461194438528686</v>
      </c>
      <c r="AK10" s="10">
        <f t="shared" si="24"/>
        <v>5.4576652773129695</v>
      </c>
      <c r="AL10" s="10">
        <f t="shared" si="25"/>
        <v>3.4730597219264343</v>
      </c>
      <c r="AM10" s="10">
        <f t="shared" si="26"/>
        <v>2.7288326386564847</v>
      </c>
      <c r="AN10" s="10">
        <f t="shared" si="27"/>
        <v>0.69461194438528695</v>
      </c>
      <c r="AO10" s="10">
        <f t="shared" si="28"/>
        <v>0.54576652773129697</v>
      </c>
      <c r="AP10" s="10">
        <f t="shared" si="29"/>
        <v>0.32955063558228948</v>
      </c>
      <c r="AQ10" s="10">
        <f t="shared" si="30"/>
        <v>0.25893264224322748</v>
      </c>
      <c r="AR10" s="10">
        <f t="shared" si="31"/>
        <v>4.3499295118737506E-3</v>
      </c>
      <c r="AS10" s="10">
        <f t="shared" si="32"/>
        <v>3.4178017593293761E-3</v>
      </c>
      <c r="AT10" s="10">
        <f t="shared" si="33"/>
        <v>4.3499295118737506E-3</v>
      </c>
      <c r="AU10" s="10">
        <f t="shared" si="34"/>
        <v>3.4178017593293761E-3</v>
      </c>
      <c r="AV10" s="10">
        <f t="shared" si="35"/>
        <v>3.9149365606863752E-2</v>
      </c>
      <c r="AW10" s="10">
        <f t="shared" si="36"/>
        <v>3.0760215833964381E-2</v>
      </c>
      <c r="AX10" s="10">
        <f t="shared" si="37"/>
        <v>0.11962306157652815</v>
      </c>
      <c r="AY10" s="10">
        <f t="shared" si="38"/>
        <v>9.3989548381557847E-2</v>
      </c>
      <c r="AZ10" s="10">
        <f t="shared" si="39"/>
        <v>1.0874823779684377E-2</v>
      </c>
      <c r="BA10" s="10">
        <f t="shared" si="40"/>
        <v>8.5445043983234398E-3</v>
      </c>
      <c r="BB10" s="10">
        <f t="shared" si="41"/>
        <v>1.0874823779684377E-2</v>
      </c>
      <c r="BC10" s="10">
        <f t="shared" si="42"/>
        <v>8.5445043983234398E-3</v>
      </c>
      <c r="BD10" s="10">
        <f t="shared" si="43"/>
        <v>4.3499295118737506E-2</v>
      </c>
      <c r="BE10" s="10">
        <f t="shared" si="44"/>
        <v>3.4178017593293759E-2</v>
      </c>
      <c r="BF10" s="10">
        <f t="shared" si="50"/>
        <v>5.4374118898421885E-2</v>
      </c>
      <c r="BG10" s="10">
        <f t="shared" si="51"/>
        <v>4.2722521991617204E-2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56"/>
      <c r="H11" s="10">
        <f t="shared" si="45"/>
        <v>4244120599.957407</v>
      </c>
      <c r="I11" s="188">
        <f t="shared" si="0"/>
        <v>3395296479.9659247</v>
      </c>
      <c r="J11" s="10">
        <f t="shared" si="1"/>
        <v>175544.80862744836</v>
      </c>
      <c r="K11" s="10">
        <f t="shared" si="2"/>
        <v>140435.84690195866</v>
      </c>
      <c r="L11" s="10">
        <f t="shared" si="46"/>
        <v>2.3371732618943528</v>
      </c>
      <c r="M11" s="10">
        <f t="shared" si="47"/>
        <v>1.8697386095154818</v>
      </c>
      <c r="N11" s="10">
        <f t="shared" si="48"/>
        <v>17.001947123429371</v>
      </c>
      <c r="O11" s="10">
        <f t="shared" si="49"/>
        <v>13.601557698743495</v>
      </c>
      <c r="P11" s="10">
        <f t="shared" si="3"/>
        <v>327.50463963004654</v>
      </c>
      <c r="Q11" s="10">
        <f t="shared" si="4"/>
        <v>262.00371170403719</v>
      </c>
      <c r="R11" s="10">
        <f t="shared" si="5"/>
        <v>1.0355654263896072</v>
      </c>
      <c r="S11" s="10">
        <f t="shared" si="6"/>
        <v>0.82845234111168564</v>
      </c>
      <c r="T11" s="10">
        <f t="shared" si="7"/>
        <v>1.5463855626524545</v>
      </c>
      <c r="U11" s="10">
        <f t="shared" si="8"/>
        <v>1.2371084501219634</v>
      </c>
      <c r="V11" s="10">
        <f t="shared" si="9"/>
        <v>1.5463855626524545</v>
      </c>
      <c r="W11" s="10">
        <f t="shared" si="10"/>
        <v>1.2371084501219634</v>
      </c>
      <c r="X11" s="10">
        <f t="shared" si="11"/>
        <v>1.5463855626524545</v>
      </c>
      <c r="Y11" s="10">
        <f t="shared" si="12"/>
        <v>1.2371084501219634</v>
      </c>
      <c r="Z11" s="10">
        <f t="shared" si="13"/>
        <v>1.5463855626524545</v>
      </c>
      <c r="AA11" s="10">
        <f t="shared" si="14"/>
        <v>1.2371084501219634</v>
      </c>
      <c r="AB11" s="10">
        <f t="shared" si="15"/>
        <v>39.640086403602176</v>
      </c>
      <c r="AC11" s="10">
        <f t="shared" si="16"/>
        <v>31.712069122881736</v>
      </c>
      <c r="AD11" s="10">
        <f t="shared" si="17"/>
        <v>11.875180027006977</v>
      </c>
      <c r="AE11" s="10">
        <f t="shared" si="18"/>
        <v>9.5001440216055801</v>
      </c>
      <c r="AF11" s="10">
        <f t="shared" si="19"/>
        <v>5.9375900135034883</v>
      </c>
      <c r="AG11" s="10">
        <f t="shared" si="20"/>
        <v>4.7500720108027901</v>
      </c>
      <c r="AH11" s="10">
        <f t="shared" si="21"/>
        <v>1.1875180027006977</v>
      </c>
      <c r="AI11" s="10">
        <f t="shared" si="22"/>
        <v>0.95001440216055799</v>
      </c>
      <c r="AJ11" s="10">
        <f t="shared" si="23"/>
        <v>13.571199753746154</v>
      </c>
      <c r="AK11" s="10">
        <f t="shared" si="24"/>
        <v>10.85695980299692</v>
      </c>
      <c r="AL11" s="10">
        <f t="shared" si="25"/>
        <v>6.7855998768730768</v>
      </c>
      <c r="AM11" s="10">
        <f t="shared" si="26"/>
        <v>5.4284799014984602</v>
      </c>
      <c r="AN11" s="10">
        <f t="shared" si="27"/>
        <v>1.3571199753746155</v>
      </c>
      <c r="AO11" s="10">
        <f t="shared" si="28"/>
        <v>1.0856959802996922</v>
      </c>
      <c r="AP11" s="10">
        <f t="shared" si="29"/>
        <v>0.64386993926791858</v>
      </c>
      <c r="AQ11" s="10">
        <f t="shared" si="30"/>
        <v>0.51509595141433484</v>
      </c>
      <c r="AR11" s="10">
        <f t="shared" si="31"/>
        <v>8.4988118614340094E-3</v>
      </c>
      <c r="AS11" s="10">
        <f t="shared" si="32"/>
        <v>6.7990494891472068E-3</v>
      </c>
      <c r="AT11" s="10">
        <f t="shared" si="33"/>
        <v>8.4988118614340094E-3</v>
      </c>
      <c r="AU11" s="10">
        <f t="shared" si="34"/>
        <v>6.7990494891472068E-3</v>
      </c>
      <c r="AV11" s="10">
        <f t="shared" si="35"/>
        <v>7.6489306752906078E-2</v>
      </c>
      <c r="AW11" s="10">
        <f t="shared" si="36"/>
        <v>6.1191445402324851E-2</v>
      </c>
      <c r="AX11" s="10">
        <f t="shared" si="37"/>
        <v>0.23371732618943528</v>
      </c>
      <c r="AY11" s="10">
        <f t="shared" si="38"/>
        <v>0.18697386095154817</v>
      </c>
      <c r="AZ11" s="10">
        <f t="shared" si="39"/>
        <v>2.1247029653585024E-2</v>
      </c>
      <c r="BA11" s="10">
        <f t="shared" si="40"/>
        <v>1.6997623722868015E-2</v>
      </c>
      <c r="BB11" s="10">
        <f t="shared" si="41"/>
        <v>2.1247029653585024E-2</v>
      </c>
      <c r="BC11" s="10">
        <f t="shared" si="42"/>
        <v>1.6997623722868015E-2</v>
      </c>
      <c r="BD11" s="10">
        <f t="shared" si="43"/>
        <v>8.4988118614340094E-2</v>
      </c>
      <c r="BE11" s="10">
        <f t="shared" si="44"/>
        <v>6.7990494891472061E-2</v>
      </c>
      <c r="BF11" s="10">
        <f t="shared" si="50"/>
        <v>0.10623514826792513</v>
      </c>
      <c r="BG11" s="10">
        <f t="shared" si="51"/>
        <v>8.498811861434008E-2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56"/>
      <c r="H12" s="10">
        <f t="shared" si="45"/>
        <v>4673096230.490737</v>
      </c>
      <c r="I12" s="188">
        <f t="shared" si="0"/>
        <v>3796890687.2737231</v>
      </c>
      <c r="J12" s="10">
        <f t="shared" si="1"/>
        <v>193288.04734893239</v>
      </c>
      <c r="K12" s="10">
        <f t="shared" si="2"/>
        <v>157046.53847100755</v>
      </c>
      <c r="L12" s="10">
        <f t="shared" si="46"/>
        <v>2.5734036776127067</v>
      </c>
      <c r="M12" s="10">
        <f t="shared" si="47"/>
        <v>2.0908904880603241</v>
      </c>
      <c r="N12" s="10">
        <f t="shared" si="48"/>
        <v>18.720423499345891</v>
      </c>
      <c r="O12" s="10">
        <f t="shared" si="49"/>
        <v>15.210344093218534</v>
      </c>
      <c r="P12" s="10">
        <f t="shared" si="3"/>
        <v>360.60725911953517</v>
      </c>
      <c r="Q12" s="10">
        <f t="shared" si="4"/>
        <v>292.99339803462232</v>
      </c>
      <c r="R12" s="10">
        <f t="shared" si="5"/>
        <v>1.1402354802397396</v>
      </c>
      <c r="S12" s="10">
        <f t="shared" si="6"/>
        <v>0.92644132769478837</v>
      </c>
      <c r="T12" s="10">
        <f t="shared" si="7"/>
        <v>1.7026868990925952</v>
      </c>
      <c r="U12" s="10">
        <f t="shared" si="8"/>
        <v>1.3834331055127336</v>
      </c>
      <c r="V12" s="10">
        <f t="shared" si="9"/>
        <v>1.7026868990925952</v>
      </c>
      <c r="W12" s="10">
        <f t="shared" si="10"/>
        <v>1.3834331055127336</v>
      </c>
      <c r="X12" s="10">
        <f t="shared" si="11"/>
        <v>1.7026868990925952</v>
      </c>
      <c r="Y12" s="10">
        <f t="shared" si="12"/>
        <v>1.3834331055127336</v>
      </c>
      <c r="Z12" s="10">
        <f t="shared" si="13"/>
        <v>1.7026868990925952</v>
      </c>
      <c r="AA12" s="10">
        <f t="shared" si="14"/>
        <v>1.3834331055127336</v>
      </c>
      <c r="AB12" s="10">
        <f t="shared" si="15"/>
        <v>43.646718792783481</v>
      </c>
      <c r="AC12" s="10">
        <f t="shared" si="16"/>
        <v>35.462959019136569</v>
      </c>
      <c r="AD12" s="10">
        <f t="shared" si="17"/>
        <v>13.075467040489405</v>
      </c>
      <c r="AE12" s="10">
        <f t="shared" si="18"/>
        <v>10.623816970397639</v>
      </c>
      <c r="AF12" s="10">
        <f t="shared" si="19"/>
        <v>6.5377335202447027</v>
      </c>
      <c r="AG12" s="10">
        <f t="shared" si="20"/>
        <v>5.3119084851988196</v>
      </c>
      <c r="AH12" s="10">
        <f t="shared" si="21"/>
        <v>1.3075467040489404</v>
      </c>
      <c r="AI12" s="10">
        <f t="shared" si="22"/>
        <v>1.0623816970397639</v>
      </c>
      <c r="AJ12" s="10">
        <f t="shared" si="23"/>
        <v>14.942912417028024</v>
      </c>
      <c r="AK12" s="10">
        <f t="shared" si="24"/>
        <v>12.141116338835268</v>
      </c>
      <c r="AL12" s="10">
        <f t="shared" si="25"/>
        <v>7.4714562085140122</v>
      </c>
      <c r="AM12" s="10">
        <f t="shared" si="26"/>
        <v>6.0705581694176338</v>
      </c>
      <c r="AN12" s="10">
        <f t="shared" si="27"/>
        <v>1.4942912417028025</v>
      </c>
      <c r="AO12" s="10">
        <f t="shared" si="28"/>
        <v>1.2141116338835269</v>
      </c>
      <c r="AP12" s="10">
        <f t="shared" si="29"/>
        <v>0.70894926646274059</v>
      </c>
      <c r="AQ12" s="10">
        <f t="shared" si="30"/>
        <v>0.57602127900097666</v>
      </c>
      <c r="AR12" s="10">
        <f t="shared" si="31"/>
        <v>9.3578315549552975E-3</v>
      </c>
      <c r="AS12" s="10">
        <f t="shared" si="32"/>
        <v>7.6032381384011785E-3</v>
      </c>
      <c r="AT12" s="10">
        <f t="shared" si="33"/>
        <v>9.3578315549552975E-3</v>
      </c>
      <c r="AU12" s="10">
        <f t="shared" si="34"/>
        <v>7.6032381384011785E-3</v>
      </c>
      <c r="AV12" s="10">
        <f t="shared" si="35"/>
        <v>8.4220483994597667E-2</v>
      </c>
      <c r="AW12" s="10">
        <f t="shared" si="36"/>
        <v>6.8429143245610599E-2</v>
      </c>
      <c r="AX12" s="10">
        <f t="shared" si="37"/>
        <v>0.25734036776127067</v>
      </c>
      <c r="AY12" s="10">
        <f t="shared" si="38"/>
        <v>0.20908904880603241</v>
      </c>
      <c r="AZ12" s="10">
        <f t="shared" si="39"/>
        <v>2.3394578887388245E-2</v>
      </c>
      <c r="BA12" s="10">
        <f t="shared" si="40"/>
        <v>1.9008095346002948E-2</v>
      </c>
      <c r="BB12" s="10">
        <f t="shared" si="41"/>
        <v>2.3394578887388245E-2</v>
      </c>
      <c r="BC12" s="10">
        <f t="shared" si="42"/>
        <v>1.9008095346002948E-2</v>
      </c>
      <c r="BD12" s="10">
        <f t="shared" si="43"/>
        <v>9.3578315549552982E-2</v>
      </c>
      <c r="BE12" s="10">
        <f t="shared" si="44"/>
        <v>7.6032381384011791E-2</v>
      </c>
      <c r="BF12" s="10">
        <f t="shared" si="50"/>
        <v>0.11697289443694123</v>
      </c>
      <c r="BG12" s="10">
        <f t="shared" si="51"/>
        <v>9.5040476730014728E-2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56"/>
      <c r="H13" s="10">
        <f t="shared" si="45"/>
        <v>5750098877.3616486</v>
      </c>
      <c r="I13" s="188">
        <f t="shared" si="0"/>
        <v>4791749064.4680395</v>
      </c>
      <c r="J13" s="10">
        <f t="shared" si="1"/>
        <v>237834.90201138167</v>
      </c>
      <c r="K13" s="10">
        <f t="shared" si="2"/>
        <v>198195.75167615135</v>
      </c>
      <c r="L13" s="10">
        <f t="shared" si="46"/>
        <v>3.1664928064375104</v>
      </c>
      <c r="M13" s="10">
        <f t="shared" si="47"/>
        <v>2.6387440053645919</v>
      </c>
      <c r="N13" s="10">
        <f>B13/B$31*D13*O$31</f>
        <v>23.034896102710764</v>
      </c>
      <c r="O13" s="10">
        <f t="shared" si="49"/>
        <v>19.19574675225897</v>
      </c>
      <c r="P13" s="10">
        <f t="shared" si="3"/>
        <v>443.71596336974051</v>
      </c>
      <c r="Q13" s="10">
        <f t="shared" si="4"/>
        <v>369.76330280811709</v>
      </c>
      <c r="R13" s="10">
        <f t="shared" si="5"/>
        <v>1.4030241260762422</v>
      </c>
      <c r="S13" s="10">
        <f t="shared" si="6"/>
        <v>1.1691867717302018</v>
      </c>
      <c r="T13" s="10">
        <f t="shared" si="7"/>
        <v>2.0951030203678416</v>
      </c>
      <c r="U13" s="10">
        <f t="shared" si="8"/>
        <v>1.745919183639868</v>
      </c>
      <c r="V13" s="10">
        <f t="shared" si="9"/>
        <v>2.0951030203678416</v>
      </c>
      <c r="W13" s="10">
        <f t="shared" si="10"/>
        <v>1.745919183639868</v>
      </c>
      <c r="X13" s="10">
        <f t="shared" si="11"/>
        <v>2.0951030203678416</v>
      </c>
      <c r="Y13" s="10">
        <f t="shared" si="12"/>
        <v>1.745919183639868</v>
      </c>
      <c r="Z13" s="10">
        <f t="shared" si="13"/>
        <v>2.0951030203678416</v>
      </c>
      <c r="AA13" s="10">
        <f t="shared" si="14"/>
        <v>1.745919183639868</v>
      </c>
      <c r="AB13" s="10">
        <f t="shared" si="15"/>
        <v>53.705923514557796</v>
      </c>
      <c r="AC13" s="10">
        <f t="shared" si="16"/>
        <v>44.754936262131494</v>
      </c>
      <c r="AD13" s="10">
        <f t="shared" si="17"/>
        <v>16.088953584977197</v>
      </c>
      <c r="AE13" s="10">
        <f t="shared" si="18"/>
        <v>13.407461320814329</v>
      </c>
      <c r="AF13" s="10">
        <f t="shared" si="19"/>
        <v>8.0444767924885987</v>
      </c>
      <c r="AG13" s="10">
        <f t="shared" si="20"/>
        <v>6.7037306604071647</v>
      </c>
      <c r="AH13" s="10">
        <f t="shared" si="21"/>
        <v>1.6088953584977197</v>
      </c>
      <c r="AI13" s="10">
        <f t="shared" si="22"/>
        <v>1.3407461320814329</v>
      </c>
      <c r="AJ13" s="10">
        <f t="shared" si="23"/>
        <v>18.386786763139952</v>
      </c>
      <c r="AK13" s="10">
        <f t="shared" si="24"/>
        <v>15.322322302616625</v>
      </c>
      <c r="AL13" s="10">
        <f t="shared" si="25"/>
        <v>9.193393381569976</v>
      </c>
      <c r="AM13" s="10">
        <f t="shared" si="26"/>
        <v>7.6611611513083124</v>
      </c>
      <c r="AN13" s="10">
        <f t="shared" si="27"/>
        <v>1.8386786763139953</v>
      </c>
      <c r="AO13" s="10">
        <f t="shared" si="28"/>
        <v>1.5322322302616627</v>
      </c>
      <c r="AP13" s="10">
        <f t="shared" si="29"/>
        <v>0.87233991771782526</v>
      </c>
      <c r="AQ13" s="10">
        <f t="shared" si="30"/>
        <v>0.72694993143152098</v>
      </c>
      <c r="AR13" s="10">
        <f t="shared" si="31"/>
        <v>1.1514519296136401E-2</v>
      </c>
      <c r="AS13" s="10">
        <f t="shared" si="32"/>
        <v>9.5954327467803347E-3</v>
      </c>
      <c r="AT13" s="10">
        <f t="shared" si="33"/>
        <v>1.1514519296136401E-2</v>
      </c>
      <c r="AU13" s="10">
        <f t="shared" si="34"/>
        <v>9.5954327467803347E-3</v>
      </c>
      <c r="AV13" s="10">
        <f t="shared" si="35"/>
        <v>0.1036306736652276</v>
      </c>
      <c r="AW13" s="10">
        <f t="shared" si="36"/>
        <v>8.6358894721022997E-2</v>
      </c>
      <c r="AX13" s="10">
        <f t="shared" si="37"/>
        <v>0.31664928064375103</v>
      </c>
      <c r="AY13" s="10">
        <f t="shared" si="38"/>
        <v>0.26387440053645916</v>
      </c>
      <c r="AZ13" s="10">
        <f t="shared" si="39"/>
        <v>2.8786298240341002E-2</v>
      </c>
      <c r="BA13" s="10">
        <f t="shared" si="40"/>
        <v>2.3988581866950836E-2</v>
      </c>
      <c r="BB13" s="10">
        <f t="shared" si="41"/>
        <v>2.8786298240341002E-2</v>
      </c>
      <c r="BC13" s="10">
        <f t="shared" si="42"/>
        <v>2.3988581866950836E-2</v>
      </c>
      <c r="BD13" s="10">
        <f t="shared" si="43"/>
        <v>0.11514519296136401</v>
      </c>
      <c r="BE13" s="10">
        <f t="shared" si="44"/>
        <v>9.5954327467803344E-2</v>
      </c>
      <c r="BF13" s="10">
        <f t="shared" si="50"/>
        <v>0.14393149120170501</v>
      </c>
      <c r="BG13" s="10">
        <f t="shared" si="51"/>
        <v>0.11994290933475417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56"/>
      <c r="H14" s="10">
        <f t="shared" si="45"/>
        <v>9127141075.1772175</v>
      </c>
      <c r="I14" s="188">
        <f t="shared" si="0"/>
        <v>8214426967.6594963</v>
      </c>
      <c r="J14" s="10">
        <f t="shared" si="1"/>
        <v>377515.71747838351</v>
      </c>
      <c r="K14" s="10">
        <f t="shared" si="2"/>
        <v>339764.14573054516</v>
      </c>
      <c r="L14" s="10">
        <f t="shared" si="46"/>
        <v>5.0261790578373171</v>
      </c>
      <c r="M14" s="10">
        <f t="shared" si="47"/>
        <v>4.5235611520535857</v>
      </c>
      <c r="N14" s="10">
        <f t="shared" si="48"/>
        <v>36.563327147159931</v>
      </c>
      <c r="O14" s="10">
        <f t="shared" si="49"/>
        <v>32.906994432443945</v>
      </c>
      <c r="P14" s="10">
        <f t="shared" si="3"/>
        <v>704.31105296784199</v>
      </c>
      <c r="Q14" s="10">
        <f t="shared" si="4"/>
        <v>633.87994767105783</v>
      </c>
      <c r="R14" s="10">
        <f t="shared" si="5"/>
        <v>2.2270224223432411</v>
      </c>
      <c r="S14" s="10">
        <f t="shared" si="6"/>
        <v>2.004320180108917</v>
      </c>
      <c r="T14" s="10">
        <f t="shared" si="7"/>
        <v>3.3255603497902242</v>
      </c>
      <c r="U14" s="10">
        <f t="shared" si="8"/>
        <v>2.993004314811202</v>
      </c>
      <c r="V14" s="10">
        <f t="shared" si="9"/>
        <v>3.3255603497902242</v>
      </c>
      <c r="W14" s="10">
        <f t="shared" si="10"/>
        <v>2.993004314811202</v>
      </c>
      <c r="X14" s="10">
        <f t="shared" si="11"/>
        <v>3.3255603497902242</v>
      </c>
      <c r="Y14" s="10">
        <f t="shared" si="12"/>
        <v>2.993004314811202</v>
      </c>
      <c r="Z14" s="10">
        <f t="shared" si="13"/>
        <v>3.3255603497902242</v>
      </c>
      <c r="AA14" s="10">
        <f t="shared" si="14"/>
        <v>2.993004314811202</v>
      </c>
      <c r="AB14" s="10">
        <f t="shared" si="15"/>
        <v>85.24749764215521</v>
      </c>
      <c r="AC14" s="10">
        <f t="shared" si="16"/>
        <v>76.722747877939696</v>
      </c>
      <c r="AD14" s="10">
        <f t="shared" si="17"/>
        <v>25.538021563455864</v>
      </c>
      <c r="AE14" s="10">
        <f t="shared" si="18"/>
        <v>22.984219407110277</v>
      </c>
      <c r="AF14" s="10">
        <f t="shared" si="19"/>
        <v>12.769010781727932</v>
      </c>
      <c r="AG14" s="10">
        <f t="shared" si="20"/>
        <v>11.492109703555139</v>
      </c>
      <c r="AH14" s="10">
        <f t="shared" si="21"/>
        <v>2.5538021563455864</v>
      </c>
      <c r="AI14" s="10">
        <f t="shared" si="22"/>
        <v>2.2984219407110276</v>
      </c>
      <c r="AJ14" s="10">
        <f t="shared" si="23"/>
        <v>29.185375814507854</v>
      </c>
      <c r="AK14" s="10">
        <f t="shared" si="24"/>
        <v>26.266838233057069</v>
      </c>
      <c r="AL14" s="10">
        <f t="shared" si="25"/>
        <v>14.592687907253927</v>
      </c>
      <c r="AM14" s="10">
        <f t="shared" si="26"/>
        <v>13.133419116528534</v>
      </c>
      <c r="AN14" s="10">
        <f t="shared" si="27"/>
        <v>2.9185375814507855</v>
      </c>
      <c r="AO14" s="10">
        <f t="shared" si="28"/>
        <v>2.626683823305707</v>
      </c>
      <c r="AP14" s="10">
        <f t="shared" si="29"/>
        <v>1.3846665360600399</v>
      </c>
      <c r="AQ14" s="10">
        <f t="shared" si="30"/>
        <v>1.2461998824540359</v>
      </c>
      <c r="AR14" s="10">
        <f t="shared" si="31"/>
        <v>1.8277014755772064E-2</v>
      </c>
      <c r="AS14" s="10">
        <f t="shared" si="32"/>
        <v>1.6449313280194857E-2</v>
      </c>
      <c r="AT14" s="10">
        <f t="shared" si="33"/>
        <v>1.8277014755772064E-2</v>
      </c>
      <c r="AU14" s="10">
        <f t="shared" si="34"/>
        <v>1.6449313280194857E-2</v>
      </c>
      <c r="AV14" s="10">
        <f t="shared" si="35"/>
        <v>0.16449313280194855</v>
      </c>
      <c r="AW14" s="10">
        <f t="shared" si="36"/>
        <v>0.14804381952175369</v>
      </c>
      <c r="AX14" s="10">
        <f t="shared" si="37"/>
        <v>0.50261790578373167</v>
      </c>
      <c r="AY14" s="10">
        <f t="shared" si="38"/>
        <v>0.45235611520535857</v>
      </c>
      <c r="AZ14" s="10">
        <f t="shared" si="39"/>
        <v>4.5692536889430153E-2</v>
      </c>
      <c r="BA14" s="10">
        <f t="shared" si="40"/>
        <v>4.1123283200487144E-2</v>
      </c>
      <c r="BB14" s="10">
        <f t="shared" si="41"/>
        <v>4.5692536889430153E-2</v>
      </c>
      <c r="BC14" s="10">
        <f t="shared" si="42"/>
        <v>4.1123283200487144E-2</v>
      </c>
      <c r="BD14" s="10">
        <f t="shared" si="43"/>
        <v>0.18277014755772061</v>
      </c>
      <c r="BE14" s="10">
        <f t="shared" si="44"/>
        <v>0.16449313280194858</v>
      </c>
      <c r="BF14" s="10">
        <f t="shared" si="50"/>
        <v>0.22846268444715079</v>
      </c>
      <c r="BG14" s="10">
        <f t="shared" si="51"/>
        <v>0.20561641600243571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56"/>
      <c r="H15" s="10">
        <f t="shared" si="45"/>
        <v>40159420730.779762</v>
      </c>
      <c r="I15" s="188">
        <f t="shared" si="0"/>
        <v>38333992515.744316</v>
      </c>
      <c r="J15" s="10">
        <f t="shared" si="1"/>
        <v>1661069.1569048876</v>
      </c>
      <c r="K15" s="10">
        <f t="shared" si="2"/>
        <v>1585566.0134092108</v>
      </c>
      <c r="L15" s="10">
        <f t="shared" si="46"/>
        <v>22.115187854484198</v>
      </c>
      <c r="M15" s="10">
        <f t="shared" si="47"/>
        <v>21.109952042916731</v>
      </c>
      <c r="N15" s="10">
        <f>B15/B$31*D15*O$31</f>
        <v>160.87863944750373</v>
      </c>
      <c r="O15" s="10">
        <f t="shared" si="49"/>
        <v>153.56597401807173</v>
      </c>
      <c r="P15" s="10">
        <f t="shared" si="3"/>
        <v>3098.968633058505</v>
      </c>
      <c r="Q15" s="10">
        <f t="shared" si="4"/>
        <v>2958.1064224649363</v>
      </c>
      <c r="R15" s="10">
        <f t="shared" si="5"/>
        <v>9.7988986583102626</v>
      </c>
      <c r="S15" s="10">
        <f t="shared" si="6"/>
        <v>9.3534941738416126</v>
      </c>
      <c r="T15" s="10">
        <f t="shared" si="7"/>
        <v>14.632465539076989</v>
      </c>
      <c r="U15" s="10">
        <f t="shared" si="8"/>
        <v>13.967353469118942</v>
      </c>
      <c r="V15" s="10">
        <f t="shared" si="9"/>
        <v>14.632465539076989</v>
      </c>
      <c r="W15" s="10">
        <f t="shared" si="10"/>
        <v>13.967353469118942</v>
      </c>
      <c r="X15" s="10">
        <f t="shared" si="11"/>
        <v>14.632465539076989</v>
      </c>
      <c r="Y15" s="10">
        <f t="shared" si="12"/>
        <v>13.967353469118942</v>
      </c>
      <c r="Z15" s="10">
        <f t="shared" si="13"/>
        <v>14.632465539076989</v>
      </c>
      <c r="AA15" s="10">
        <f t="shared" si="14"/>
        <v>13.967353469118942</v>
      </c>
      <c r="AB15" s="10">
        <f t="shared" si="15"/>
        <v>375.08898962548301</v>
      </c>
      <c r="AC15" s="10">
        <f t="shared" si="16"/>
        <v>358.0394900970519</v>
      </c>
      <c r="AD15" s="10">
        <f t="shared" si="17"/>
        <v>112.3672948792058</v>
      </c>
      <c r="AE15" s="10">
        <f t="shared" si="18"/>
        <v>107.25969056651462</v>
      </c>
      <c r="AF15" s="10">
        <f t="shared" si="19"/>
        <v>56.1836474396029</v>
      </c>
      <c r="AG15" s="10">
        <f t="shared" si="20"/>
        <v>53.62984528325731</v>
      </c>
      <c r="AH15" s="10">
        <f t="shared" si="21"/>
        <v>11.236729487920581</v>
      </c>
      <c r="AI15" s="10">
        <f t="shared" si="22"/>
        <v>10.725969056651461</v>
      </c>
      <c r="AJ15" s="10">
        <f t="shared" si="23"/>
        <v>128.41565358383457</v>
      </c>
      <c r="AK15" s="10">
        <f t="shared" si="24"/>
        <v>122.57857842093298</v>
      </c>
      <c r="AL15" s="10">
        <f t="shared" si="25"/>
        <v>64.207826791917284</v>
      </c>
      <c r="AM15" s="10">
        <f t="shared" si="26"/>
        <v>61.289289210466492</v>
      </c>
      <c r="AN15" s="10">
        <f t="shared" si="27"/>
        <v>12.841565358383457</v>
      </c>
      <c r="AO15" s="10">
        <f t="shared" si="28"/>
        <v>12.2578578420933</v>
      </c>
      <c r="AP15" s="10">
        <f t="shared" si="29"/>
        <v>6.0925327586641762</v>
      </c>
      <c r="AQ15" s="10">
        <f t="shared" si="30"/>
        <v>5.8155994514521678</v>
      </c>
      <c r="AR15" s="10">
        <f t="shared" si="31"/>
        <v>8.0418864925397085E-2</v>
      </c>
      <c r="AS15" s="10">
        <f t="shared" si="32"/>
        <v>7.6763461974242664E-2</v>
      </c>
      <c r="AT15" s="10">
        <f t="shared" si="33"/>
        <v>8.0418864925397085E-2</v>
      </c>
      <c r="AU15" s="10">
        <f t="shared" si="34"/>
        <v>7.6763461974242664E-2</v>
      </c>
      <c r="AV15" s="10">
        <f t="shared" si="35"/>
        <v>0.72376978432857364</v>
      </c>
      <c r="AW15" s="10">
        <f t="shared" si="36"/>
        <v>0.69087115776818386</v>
      </c>
      <c r="AX15" s="10">
        <f t="shared" si="37"/>
        <v>2.2115187854484195</v>
      </c>
      <c r="AY15" s="10">
        <f t="shared" si="38"/>
        <v>2.1109952042916733</v>
      </c>
      <c r="AZ15" s="10">
        <f t="shared" si="39"/>
        <v>0.20104716231349271</v>
      </c>
      <c r="BA15" s="10">
        <f t="shared" si="40"/>
        <v>0.19190865493560666</v>
      </c>
      <c r="BB15" s="10">
        <f t="shared" si="41"/>
        <v>0.20104716231349271</v>
      </c>
      <c r="BC15" s="10">
        <f t="shared" si="42"/>
        <v>0.19190865493560666</v>
      </c>
      <c r="BD15" s="10">
        <f t="shared" si="43"/>
        <v>0.80418864925397082</v>
      </c>
      <c r="BE15" s="10">
        <f t="shared" si="44"/>
        <v>0.76763461974242664</v>
      </c>
      <c r="BF15" s="10">
        <f t="shared" si="50"/>
        <v>1.0052358115674636</v>
      </c>
      <c r="BG15" s="10">
        <f t="shared" si="51"/>
        <v>0.95954327467803324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56"/>
      <c r="H16" s="10">
        <f t="shared" si="45"/>
        <v>45635705375.886093</v>
      </c>
      <c r="I16" s="188">
        <f t="shared" si="0"/>
        <v>45635705375.886093</v>
      </c>
      <c r="J16" s="10">
        <f t="shared" si="1"/>
        <v>1887578.5873919176</v>
      </c>
      <c r="K16" s="10">
        <f t="shared" si="2"/>
        <v>1887578.5873919176</v>
      </c>
      <c r="L16" s="10">
        <f t="shared" si="46"/>
        <v>25.130895289186586</v>
      </c>
      <c r="M16" s="10">
        <f t="shared" si="47"/>
        <v>25.130895289186586</v>
      </c>
      <c r="N16" s="10">
        <f t="shared" si="48"/>
        <v>182.81663573579968</v>
      </c>
      <c r="O16" s="10">
        <f t="shared" si="49"/>
        <v>182.81663573579968</v>
      </c>
      <c r="P16" s="10">
        <f t="shared" si="3"/>
        <v>3521.5552648392099</v>
      </c>
      <c r="Q16" s="10">
        <f t="shared" si="4"/>
        <v>3521.5552648392099</v>
      </c>
      <c r="R16" s="10">
        <f t="shared" si="5"/>
        <v>11.135112111716206</v>
      </c>
      <c r="S16" s="10">
        <f t="shared" si="6"/>
        <v>11.135112111716206</v>
      </c>
      <c r="T16" s="10">
        <f t="shared" si="7"/>
        <v>16.627801748951121</v>
      </c>
      <c r="U16" s="10">
        <f t="shared" si="8"/>
        <v>16.627801748951121</v>
      </c>
      <c r="V16" s="10">
        <f t="shared" si="9"/>
        <v>16.627801748951121</v>
      </c>
      <c r="W16" s="10">
        <f t="shared" si="10"/>
        <v>16.627801748951121</v>
      </c>
      <c r="X16" s="10">
        <f t="shared" si="11"/>
        <v>16.627801748951121</v>
      </c>
      <c r="Y16" s="10">
        <f t="shared" si="12"/>
        <v>16.627801748951121</v>
      </c>
      <c r="Z16" s="10">
        <f t="shared" si="13"/>
        <v>16.627801748951121</v>
      </c>
      <c r="AA16" s="10">
        <f t="shared" si="14"/>
        <v>16.627801748951121</v>
      </c>
      <c r="AB16" s="10">
        <f t="shared" si="15"/>
        <v>426.23748821077612</v>
      </c>
      <c r="AC16" s="10">
        <f t="shared" si="16"/>
        <v>426.23748821077612</v>
      </c>
      <c r="AD16" s="10">
        <f t="shared" si="17"/>
        <v>127.69010781727931</v>
      </c>
      <c r="AE16" s="10">
        <f t="shared" si="18"/>
        <v>127.69010781727931</v>
      </c>
      <c r="AF16" s="10">
        <f t="shared" si="19"/>
        <v>63.845053908639656</v>
      </c>
      <c r="AG16" s="10">
        <f t="shared" si="20"/>
        <v>63.845053908639656</v>
      </c>
      <c r="AH16" s="10">
        <f t="shared" si="21"/>
        <v>12.769010781727932</v>
      </c>
      <c r="AI16" s="10">
        <f t="shared" si="22"/>
        <v>12.769010781727932</v>
      </c>
      <c r="AJ16" s="10">
        <f t="shared" si="23"/>
        <v>145.92687907253926</v>
      </c>
      <c r="AK16" s="10">
        <f t="shared" si="24"/>
        <v>145.92687907253926</v>
      </c>
      <c r="AL16" s="10">
        <f t="shared" si="25"/>
        <v>72.963439536269632</v>
      </c>
      <c r="AM16" s="10">
        <f t="shared" si="26"/>
        <v>72.963439536269632</v>
      </c>
      <c r="AN16" s="10">
        <f t="shared" si="27"/>
        <v>14.592687907253929</v>
      </c>
      <c r="AO16" s="10">
        <f t="shared" si="28"/>
        <v>14.592687907253929</v>
      </c>
      <c r="AP16" s="10">
        <f t="shared" si="29"/>
        <v>6.9233326803001995</v>
      </c>
      <c r="AQ16" s="10">
        <f t="shared" si="30"/>
        <v>6.9233326803001995</v>
      </c>
      <c r="AR16" s="10">
        <f t="shared" si="31"/>
        <v>9.1385073778860321E-2</v>
      </c>
      <c r="AS16" s="10">
        <f t="shared" si="32"/>
        <v>9.1385073778860321E-2</v>
      </c>
      <c r="AT16" s="10">
        <f t="shared" si="33"/>
        <v>9.1385073778860321E-2</v>
      </c>
      <c r="AU16" s="10">
        <f t="shared" si="34"/>
        <v>9.1385073778860321E-2</v>
      </c>
      <c r="AV16" s="10">
        <f t="shared" si="35"/>
        <v>0.82246566400974275</v>
      </c>
      <c r="AW16" s="10">
        <f t="shared" si="36"/>
        <v>0.82246566400974275</v>
      </c>
      <c r="AX16" s="10">
        <f t="shared" si="37"/>
        <v>2.5130895289186586</v>
      </c>
      <c r="AY16" s="10">
        <f t="shared" si="38"/>
        <v>2.5130895289186586</v>
      </c>
      <c r="AZ16" s="10">
        <f t="shared" si="39"/>
        <v>0.22846268444715079</v>
      </c>
      <c r="BA16" s="10">
        <f t="shared" si="40"/>
        <v>0.22846268444715079</v>
      </c>
      <c r="BB16" s="10">
        <f t="shared" si="41"/>
        <v>0.22846268444715079</v>
      </c>
      <c r="BC16" s="10">
        <f t="shared" si="42"/>
        <v>0.22846268444715079</v>
      </c>
      <c r="BD16" s="10">
        <f t="shared" si="43"/>
        <v>0.91385073778860315</v>
      </c>
      <c r="BE16" s="10">
        <f t="shared" si="44"/>
        <v>0.91385073778860315</v>
      </c>
      <c r="BF16" s="10">
        <f t="shared" si="50"/>
        <v>1.1423134222357541</v>
      </c>
      <c r="BG16" s="10">
        <f t="shared" si="51"/>
        <v>1.1423134222357541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56"/>
      <c r="H17" s="10">
        <f t="shared" si="45"/>
        <v>54762846451.063301</v>
      </c>
      <c r="I17" s="188">
        <f t="shared" si="0"/>
        <v>54762846451.063301</v>
      </c>
      <c r="J17" s="10">
        <f t="shared" si="1"/>
        <v>2265094.3048703009</v>
      </c>
      <c r="K17" s="10">
        <f t="shared" si="2"/>
        <v>2265094.3048703009</v>
      </c>
      <c r="L17" s="10">
        <f t="shared" si="46"/>
        <v>30.157074347023897</v>
      </c>
      <c r="M17" s="10">
        <f t="shared" si="47"/>
        <v>30.157074347023897</v>
      </c>
      <c r="N17" s="10">
        <f t="shared" si="48"/>
        <v>219.37996288295957</v>
      </c>
      <c r="O17" s="10">
        <f t="shared" si="49"/>
        <v>219.37996288295957</v>
      </c>
      <c r="P17" s="10">
        <f t="shared" si="3"/>
        <v>4225.866317807051</v>
      </c>
      <c r="Q17" s="10">
        <f t="shared" si="4"/>
        <v>4225.866317807051</v>
      </c>
      <c r="R17" s="10">
        <f t="shared" si="5"/>
        <v>13.362134534059445</v>
      </c>
      <c r="S17" s="10">
        <f t="shared" si="6"/>
        <v>13.362134534059445</v>
      </c>
      <c r="T17" s="10">
        <f t="shared" si="7"/>
        <v>19.953362098741344</v>
      </c>
      <c r="U17" s="10">
        <f t="shared" si="8"/>
        <v>19.953362098741344</v>
      </c>
      <c r="V17" s="10">
        <f t="shared" si="9"/>
        <v>19.953362098741344</v>
      </c>
      <c r="W17" s="10">
        <f t="shared" si="10"/>
        <v>19.953362098741344</v>
      </c>
      <c r="X17" s="10">
        <f t="shared" si="11"/>
        <v>19.953362098741344</v>
      </c>
      <c r="Y17" s="10">
        <f t="shared" si="12"/>
        <v>19.953362098741344</v>
      </c>
      <c r="Z17" s="10">
        <f t="shared" si="13"/>
        <v>19.953362098741344</v>
      </c>
      <c r="AA17" s="10">
        <f t="shared" si="14"/>
        <v>19.953362098741344</v>
      </c>
      <c r="AB17" s="10">
        <f t="shared" si="15"/>
        <v>511.48498585293123</v>
      </c>
      <c r="AC17" s="10">
        <f t="shared" si="16"/>
        <v>511.48498585293123</v>
      </c>
      <c r="AD17" s="10">
        <f t="shared" si="17"/>
        <v>153.22812938073517</v>
      </c>
      <c r="AE17" s="10">
        <f t="shared" si="18"/>
        <v>153.22812938073517</v>
      </c>
      <c r="AF17" s="10">
        <f t="shared" si="19"/>
        <v>76.614064690367584</v>
      </c>
      <c r="AG17" s="10">
        <f t="shared" si="20"/>
        <v>76.614064690367584</v>
      </c>
      <c r="AH17" s="10">
        <f t="shared" si="21"/>
        <v>15.322812938073517</v>
      </c>
      <c r="AI17" s="10">
        <f t="shared" si="22"/>
        <v>15.322812938073517</v>
      </c>
      <c r="AJ17" s="10">
        <f t="shared" si="23"/>
        <v>175.1122548870471</v>
      </c>
      <c r="AK17" s="10">
        <f t="shared" si="24"/>
        <v>175.1122548870471</v>
      </c>
      <c r="AL17" s="10">
        <f t="shared" si="25"/>
        <v>87.55612744352355</v>
      </c>
      <c r="AM17" s="10">
        <f t="shared" si="26"/>
        <v>87.55612744352355</v>
      </c>
      <c r="AN17" s="10">
        <f t="shared" si="27"/>
        <v>17.51122548870471</v>
      </c>
      <c r="AO17" s="10">
        <f t="shared" si="28"/>
        <v>17.51122548870471</v>
      </c>
      <c r="AP17" s="10">
        <f t="shared" si="29"/>
        <v>8.3079992163602387</v>
      </c>
      <c r="AQ17" s="10">
        <f t="shared" si="30"/>
        <v>8.3079992163602387</v>
      </c>
      <c r="AR17" s="10">
        <f t="shared" si="31"/>
        <v>0.10966208853463237</v>
      </c>
      <c r="AS17" s="10">
        <f t="shared" si="32"/>
        <v>0.10966208853463237</v>
      </c>
      <c r="AT17" s="10">
        <f t="shared" si="33"/>
        <v>0.10966208853463237</v>
      </c>
      <c r="AU17" s="10">
        <f t="shared" si="34"/>
        <v>0.10966208853463237</v>
      </c>
      <c r="AV17" s="10">
        <f t="shared" si="35"/>
        <v>0.98695879681169119</v>
      </c>
      <c r="AW17" s="10">
        <f t="shared" si="36"/>
        <v>0.98695879681169119</v>
      </c>
      <c r="AX17" s="10">
        <f t="shared" si="37"/>
        <v>3.01570743470239</v>
      </c>
      <c r="AY17" s="10">
        <f t="shared" si="38"/>
        <v>3.01570743470239</v>
      </c>
      <c r="AZ17" s="10">
        <f t="shared" si="39"/>
        <v>0.27415522133658088</v>
      </c>
      <c r="BA17" s="10">
        <f t="shared" si="40"/>
        <v>0.27415522133658088</v>
      </c>
      <c r="BB17" s="10">
        <f t="shared" si="41"/>
        <v>0.27415522133658088</v>
      </c>
      <c r="BC17" s="10">
        <f t="shared" si="42"/>
        <v>0.27415522133658088</v>
      </c>
      <c r="BD17" s="10">
        <f t="shared" si="43"/>
        <v>1.0966208853463235</v>
      </c>
      <c r="BE17" s="10">
        <f t="shared" si="44"/>
        <v>1.0966208853463235</v>
      </c>
      <c r="BF17" s="10">
        <f t="shared" si="50"/>
        <v>1.3707761066829045</v>
      </c>
      <c r="BG17" s="10">
        <f t="shared" si="51"/>
        <v>1.3707761066829045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56"/>
      <c r="H18" s="10">
        <f t="shared" si="45"/>
        <v>63889987526.240524</v>
      </c>
      <c r="I18" s="188">
        <f t="shared" si="0"/>
        <v>63889987526.240524</v>
      </c>
      <c r="J18" s="10">
        <f t="shared" si="1"/>
        <v>2642610.0223486843</v>
      </c>
      <c r="K18" s="10">
        <f t="shared" si="2"/>
        <v>2642610.0223486843</v>
      </c>
      <c r="L18" s="10">
        <f t="shared" si="46"/>
        <v>35.183253404861219</v>
      </c>
      <c r="M18" s="10">
        <f t="shared" si="47"/>
        <v>35.183253404861219</v>
      </c>
      <c r="N18" s="10">
        <f t="shared" si="48"/>
        <v>255.94329003011953</v>
      </c>
      <c r="O18" s="10">
        <f t="shared" si="49"/>
        <v>255.94329003011953</v>
      </c>
      <c r="P18" s="10">
        <f t="shared" si="3"/>
        <v>4930.1773707748935</v>
      </c>
      <c r="Q18" s="10">
        <f t="shared" si="4"/>
        <v>4930.1773707748935</v>
      </c>
      <c r="R18" s="10">
        <f t="shared" si="5"/>
        <v>15.589156956402688</v>
      </c>
      <c r="S18" s="10">
        <f t="shared" si="6"/>
        <v>15.589156956402688</v>
      </c>
      <c r="T18" s="10">
        <f t="shared" si="7"/>
        <v>23.278922448531571</v>
      </c>
      <c r="U18" s="10">
        <f t="shared" si="8"/>
        <v>23.278922448531571</v>
      </c>
      <c r="V18" s="10">
        <f t="shared" si="9"/>
        <v>23.278922448531571</v>
      </c>
      <c r="W18" s="10">
        <f t="shared" si="10"/>
        <v>23.278922448531571</v>
      </c>
      <c r="X18" s="10">
        <f t="shared" si="11"/>
        <v>23.278922448531571</v>
      </c>
      <c r="Y18" s="10">
        <f t="shared" si="12"/>
        <v>23.278922448531571</v>
      </c>
      <c r="Z18" s="10">
        <f t="shared" si="13"/>
        <v>23.278922448531571</v>
      </c>
      <c r="AA18" s="10">
        <f t="shared" si="14"/>
        <v>23.278922448531571</v>
      </c>
      <c r="AB18" s="10">
        <f t="shared" si="15"/>
        <v>596.73248349508651</v>
      </c>
      <c r="AC18" s="10">
        <f t="shared" si="16"/>
        <v>596.73248349508651</v>
      </c>
      <c r="AD18" s="10">
        <f t="shared" si="17"/>
        <v>178.76615094419103</v>
      </c>
      <c r="AE18" s="10">
        <f t="shared" si="18"/>
        <v>178.76615094419103</v>
      </c>
      <c r="AF18" s="10">
        <f t="shared" si="19"/>
        <v>89.383075472095513</v>
      </c>
      <c r="AG18" s="10">
        <f t="shared" si="20"/>
        <v>89.383075472095513</v>
      </c>
      <c r="AH18" s="10">
        <f t="shared" si="21"/>
        <v>17.876615094419105</v>
      </c>
      <c r="AI18" s="10">
        <f t="shared" si="22"/>
        <v>17.876615094419105</v>
      </c>
      <c r="AJ18" s="10">
        <f t="shared" si="23"/>
        <v>204.29763070155497</v>
      </c>
      <c r="AK18" s="10">
        <f t="shared" si="24"/>
        <v>204.29763070155497</v>
      </c>
      <c r="AL18" s="10">
        <f t="shared" si="25"/>
        <v>102.14881535077748</v>
      </c>
      <c r="AM18" s="10">
        <f t="shared" si="26"/>
        <v>102.14881535077748</v>
      </c>
      <c r="AN18" s="10">
        <f t="shared" si="27"/>
        <v>20.429763070155499</v>
      </c>
      <c r="AO18" s="10">
        <f t="shared" si="28"/>
        <v>20.429763070155499</v>
      </c>
      <c r="AP18" s="10">
        <f t="shared" si="29"/>
        <v>9.6926657524202788</v>
      </c>
      <c r="AQ18" s="10">
        <f t="shared" si="30"/>
        <v>9.6926657524202788</v>
      </c>
      <c r="AR18" s="10">
        <f t="shared" si="31"/>
        <v>0.12793910329040442</v>
      </c>
      <c r="AS18" s="10">
        <f t="shared" si="32"/>
        <v>0.12793910329040442</v>
      </c>
      <c r="AT18" s="10">
        <f t="shared" si="33"/>
        <v>0.12793910329040442</v>
      </c>
      <c r="AU18" s="10">
        <f t="shared" si="34"/>
        <v>0.12793910329040442</v>
      </c>
      <c r="AV18" s="10">
        <f t="shared" si="35"/>
        <v>1.1514519296136396</v>
      </c>
      <c r="AW18" s="10">
        <f t="shared" si="36"/>
        <v>1.1514519296136396</v>
      </c>
      <c r="AX18" s="10">
        <f t="shared" si="37"/>
        <v>3.5183253404861219</v>
      </c>
      <c r="AY18" s="10">
        <f t="shared" si="38"/>
        <v>3.5183253404861219</v>
      </c>
      <c r="AZ18" s="10">
        <f t="shared" si="39"/>
        <v>0.31984775822601108</v>
      </c>
      <c r="BA18" s="10">
        <f t="shared" si="40"/>
        <v>0.31984775822601108</v>
      </c>
      <c r="BB18" s="10">
        <f t="shared" si="41"/>
        <v>0.31984775822601108</v>
      </c>
      <c r="BC18" s="10">
        <f t="shared" si="42"/>
        <v>0.31984775822601108</v>
      </c>
      <c r="BD18" s="10">
        <f t="shared" si="43"/>
        <v>1.2793910329040443</v>
      </c>
      <c r="BE18" s="10">
        <f t="shared" si="44"/>
        <v>1.2793910329040443</v>
      </c>
      <c r="BF18" s="10">
        <f t="shared" si="50"/>
        <v>1.5992387911300554</v>
      </c>
      <c r="BG18" s="10">
        <f t="shared" si="51"/>
        <v>1.5992387911300554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56"/>
      <c r="H19" s="10">
        <f t="shared" si="45"/>
        <v>67540843956.311417</v>
      </c>
      <c r="I19" s="188">
        <f t="shared" si="0"/>
        <v>67540843956.311417</v>
      </c>
      <c r="J19" s="10">
        <f t="shared" si="1"/>
        <v>2793616.3093400383</v>
      </c>
      <c r="K19" s="10">
        <f t="shared" si="2"/>
        <v>2793616.3093400383</v>
      </c>
      <c r="L19" s="10">
        <f t="shared" si="46"/>
        <v>37.193725027996152</v>
      </c>
      <c r="M19" s="10">
        <f t="shared" si="47"/>
        <v>37.193725027996152</v>
      </c>
      <c r="N19" s="10">
        <f t="shared" si="48"/>
        <v>270.56862088898356</v>
      </c>
      <c r="O19" s="10">
        <f t="shared" si="49"/>
        <v>270.56862088898356</v>
      </c>
      <c r="P19" s="10">
        <f t="shared" si="3"/>
        <v>5211.901791962031</v>
      </c>
      <c r="Q19" s="10">
        <f t="shared" si="4"/>
        <v>5211.901791962031</v>
      </c>
      <c r="R19" s="10">
        <f t="shared" si="5"/>
        <v>16.479965925339986</v>
      </c>
      <c r="S19" s="10">
        <f t="shared" si="6"/>
        <v>16.479965925339986</v>
      </c>
      <c r="T19" s="10">
        <f t="shared" si="7"/>
        <v>24.609146588447661</v>
      </c>
      <c r="U19" s="10">
        <f t="shared" si="8"/>
        <v>24.609146588447661</v>
      </c>
      <c r="V19" s="10">
        <f t="shared" si="9"/>
        <v>24.609146588447661</v>
      </c>
      <c r="W19" s="10">
        <f t="shared" si="10"/>
        <v>24.609146588447661</v>
      </c>
      <c r="X19" s="10">
        <f t="shared" si="11"/>
        <v>24.609146588447661</v>
      </c>
      <c r="Y19" s="10">
        <f t="shared" si="12"/>
        <v>24.609146588447661</v>
      </c>
      <c r="Z19" s="10">
        <f t="shared" si="13"/>
        <v>24.609146588447661</v>
      </c>
      <c r="AA19" s="10">
        <f t="shared" si="14"/>
        <v>24.609146588447661</v>
      </c>
      <c r="AB19" s="10">
        <f t="shared" si="15"/>
        <v>630.83148255194862</v>
      </c>
      <c r="AC19" s="10">
        <f t="shared" si="16"/>
        <v>630.83148255194862</v>
      </c>
      <c r="AD19" s="10">
        <f t="shared" si="17"/>
        <v>188.98135956957341</v>
      </c>
      <c r="AE19" s="10">
        <f t="shared" si="18"/>
        <v>188.98135956957341</v>
      </c>
      <c r="AF19" s="10">
        <f t="shared" si="19"/>
        <v>94.490679784786707</v>
      </c>
      <c r="AG19" s="10">
        <f t="shared" si="20"/>
        <v>94.490679784786707</v>
      </c>
      <c r="AH19" s="10">
        <f t="shared" si="21"/>
        <v>18.89813595695734</v>
      </c>
      <c r="AI19" s="10">
        <f t="shared" si="22"/>
        <v>18.89813595695734</v>
      </c>
      <c r="AJ19" s="10">
        <f t="shared" si="23"/>
        <v>215.97178102735813</v>
      </c>
      <c r="AK19" s="10">
        <f t="shared" si="24"/>
        <v>215.97178102735813</v>
      </c>
      <c r="AL19" s="10">
        <f t="shared" si="25"/>
        <v>107.98589051367907</v>
      </c>
      <c r="AM19" s="10">
        <f t="shared" si="26"/>
        <v>107.98589051367907</v>
      </c>
      <c r="AN19" s="10">
        <f t="shared" si="27"/>
        <v>21.597178102735814</v>
      </c>
      <c r="AO19" s="10">
        <f t="shared" si="28"/>
        <v>21.597178102735814</v>
      </c>
      <c r="AP19" s="10">
        <f t="shared" si="29"/>
        <v>10.246532366844296</v>
      </c>
      <c r="AQ19" s="10">
        <f t="shared" si="30"/>
        <v>10.246532366844296</v>
      </c>
      <c r="AR19" s="10">
        <f t="shared" si="31"/>
        <v>0.13524990919271329</v>
      </c>
      <c r="AS19" s="10">
        <f t="shared" si="32"/>
        <v>0.13524990919271329</v>
      </c>
      <c r="AT19" s="10">
        <f t="shared" si="33"/>
        <v>0.13524990919271329</v>
      </c>
      <c r="AU19" s="10">
        <f t="shared" si="34"/>
        <v>0.13524990919271329</v>
      </c>
      <c r="AV19" s="10">
        <f t="shared" si="35"/>
        <v>1.2172491827344194</v>
      </c>
      <c r="AW19" s="10">
        <f t="shared" si="36"/>
        <v>1.2172491827344194</v>
      </c>
      <c r="AX19" s="10">
        <f t="shared" si="37"/>
        <v>3.7193725027996152</v>
      </c>
      <c r="AY19" s="10">
        <f t="shared" si="38"/>
        <v>3.7193725027996152</v>
      </c>
      <c r="AZ19" s="10">
        <f t="shared" si="39"/>
        <v>0.33812477298178317</v>
      </c>
      <c r="BA19" s="10">
        <f t="shared" si="40"/>
        <v>0.33812477298178317</v>
      </c>
      <c r="BB19" s="10">
        <f t="shared" si="41"/>
        <v>0.33812477298178317</v>
      </c>
      <c r="BC19" s="10">
        <f t="shared" si="42"/>
        <v>0.33812477298178317</v>
      </c>
      <c r="BD19" s="10">
        <f t="shared" si="43"/>
        <v>1.3524990919271327</v>
      </c>
      <c r="BE19" s="10">
        <f t="shared" si="44"/>
        <v>1.3524990919271327</v>
      </c>
      <c r="BF19" s="10">
        <f t="shared" si="50"/>
        <v>1.690623864908916</v>
      </c>
      <c r="BG19" s="10">
        <f t="shared" si="51"/>
        <v>1.690623864908916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56"/>
      <c r="H20" s="188">
        <f t="shared" si="45"/>
        <v>73017128601.41774</v>
      </c>
      <c r="I20" s="188">
        <f t="shared" si="0"/>
        <v>73017128601.41774</v>
      </c>
      <c r="J20" s="10">
        <f t="shared" si="1"/>
        <v>3020125.7398270681</v>
      </c>
      <c r="K20" s="10">
        <f t="shared" si="2"/>
        <v>3020125.7398270681</v>
      </c>
      <c r="L20" s="10">
        <f t="shared" si="46"/>
        <v>40.209432462698537</v>
      </c>
      <c r="M20" s="10">
        <f t="shared" si="47"/>
        <v>40.209432462698537</v>
      </c>
      <c r="N20" s="10">
        <f t="shared" si="48"/>
        <v>292.50661717727945</v>
      </c>
      <c r="O20" s="10">
        <f t="shared" si="49"/>
        <v>292.50661717727945</v>
      </c>
      <c r="P20" s="10">
        <f t="shared" si="3"/>
        <v>5634.4884237427359</v>
      </c>
      <c r="Q20" s="10">
        <f t="shared" si="4"/>
        <v>5634.4884237427359</v>
      </c>
      <c r="R20" s="10">
        <f t="shared" si="5"/>
        <v>17.816179378745929</v>
      </c>
      <c r="S20" s="10">
        <f t="shared" si="6"/>
        <v>17.816179378745929</v>
      </c>
      <c r="T20" s="10">
        <f t="shared" si="7"/>
        <v>26.604482798321794</v>
      </c>
      <c r="U20" s="10">
        <f t="shared" si="8"/>
        <v>26.604482798321794</v>
      </c>
      <c r="V20" s="10">
        <f t="shared" si="9"/>
        <v>26.604482798321794</v>
      </c>
      <c r="W20" s="10">
        <f t="shared" si="10"/>
        <v>26.604482798321794</v>
      </c>
      <c r="X20" s="10">
        <f t="shared" si="11"/>
        <v>26.604482798321794</v>
      </c>
      <c r="Y20" s="10">
        <f t="shared" si="12"/>
        <v>26.604482798321794</v>
      </c>
      <c r="Z20" s="10">
        <f t="shared" si="13"/>
        <v>26.604482798321794</v>
      </c>
      <c r="AA20" s="10">
        <f t="shared" si="14"/>
        <v>26.604482798321794</v>
      </c>
      <c r="AB20" s="10">
        <f t="shared" si="15"/>
        <v>681.97998113724168</v>
      </c>
      <c r="AC20" s="10">
        <f t="shared" si="16"/>
        <v>681.97998113724168</v>
      </c>
      <c r="AD20" s="10">
        <f t="shared" si="17"/>
        <v>204.30417250764691</v>
      </c>
      <c r="AE20" s="10">
        <f t="shared" si="18"/>
        <v>204.30417250764691</v>
      </c>
      <c r="AF20" s="10">
        <f t="shared" si="19"/>
        <v>102.15208625382346</v>
      </c>
      <c r="AG20" s="10">
        <f t="shared" si="20"/>
        <v>102.15208625382346</v>
      </c>
      <c r="AH20" s="10">
        <f t="shared" si="21"/>
        <v>20.430417250764691</v>
      </c>
      <c r="AI20" s="10">
        <f t="shared" si="22"/>
        <v>20.430417250764691</v>
      </c>
      <c r="AJ20" s="10">
        <f t="shared" si="23"/>
        <v>233.48300651606283</v>
      </c>
      <c r="AK20" s="10">
        <f t="shared" si="24"/>
        <v>233.48300651606283</v>
      </c>
      <c r="AL20" s="10">
        <f t="shared" si="25"/>
        <v>116.74150325803141</v>
      </c>
      <c r="AM20" s="10">
        <f t="shared" si="26"/>
        <v>116.74150325803141</v>
      </c>
      <c r="AN20" s="10">
        <f t="shared" si="27"/>
        <v>23.348300651606284</v>
      </c>
      <c r="AO20" s="10">
        <f t="shared" si="28"/>
        <v>23.348300651606284</v>
      </c>
      <c r="AP20" s="10">
        <f t="shared" si="29"/>
        <v>11.077332288480319</v>
      </c>
      <c r="AQ20" s="10">
        <f t="shared" si="30"/>
        <v>11.077332288480319</v>
      </c>
      <c r="AR20" s="10">
        <f t="shared" si="31"/>
        <v>0.14621611804617651</v>
      </c>
      <c r="AS20" s="10">
        <f t="shared" si="32"/>
        <v>0.14621611804617651</v>
      </c>
      <c r="AT20" s="10">
        <f t="shared" si="33"/>
        <v>0.14621611804617651</v>
      </c>
      <c r="AU20" s="10">
        <f t="shared" si="34"/>
        <v>0.14621611804617651</v>
      </c>
      <c r="AV20" s="10">
        <f t="shared" si="35"/>
        <v>1.3159450624155884</v>
      </c>
      <c r="AW20" s="10">
        <f t="shared" si="36"/>
        <v>1.3159450624155884</v>
      </c>
      <c r="AX20" s="10">
        <f t="shared" si="37"/>
        <v>4.0209432462698533</v>
      </c>
      <c r="AY20" s="10">
        <f t="shared" si="38"/>
        <v>4.0209432462698533</v>
      </c>
      <c r="AZ20" s="10">
        <f t="shared" si="39"/>
        <v>0.36554029511544123</v>
      </c>
      <c r="BA20" s="10">
        <f t="shared" si="40"/>
        <v>0.36554029511544123</v>
      </c>
      <c r="BB20" s="10">
        <f t="shared" si="41"/>
        <v>0.36554029511544123</v>
      </c>
      <c r="BC20" s="10">
        <f t="shared" si="42"/>
        <v>0.36554029511544123</v>
      </c>
      <c r="BD20" s="10">
        <f t="shared" si="43"/>
        <v>1.4621611804617649</v>
      </c>
      <c r="BE20" s="10">
        <f t="shared" si="44"/>
        <v>1.4621611804617649</v>
      </c>
      <c r="BF20" s="10">
        <f t="shared" si="50"/>
        <v>1.8277014755772063</v>
      </c>
      <c r="BG20" s="10">
        <f t="shared" si="51"/>
        <v>1.8277014755772063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56"/>
      <c r="H21" s="10">
        <f t="shared" si="45"/>
        <v>392467066232.62036</v>
      </c>
      <c r="I21" s="188">
        <f t="shared" si="0"/>
        <v>392467066232.62036</v>
      </c>
      <c r="J21" s="10">
        <f t="shared" si="1"/>
        <v>16233175.851570491</v>
      </c>
      <c r="K21" s="10">
        <f t="shared" si="2"/>
        <v>16233175.851570491</v>
      </c>
      <c r="L21" s="10">
        <f t="shared" si="46"/>
        <v>216.12569948700462</v>
      </c>
      <c r="M21" s="10">
        <f t="shared" si="47"/>
        <v>216.12569948700462</v>
      </c>
      <c r="N21" s="10">
        <f t="shared" si="48"/>
        <v>1572.2230673278771</v>
      </c>
      <c r="O21" s="10">
        <f t="shared" si="49"/>
        <v>1572.2230673278771</v>
      </c>
      <c r="P21" s="10">
        <f t="shared" si="3"/>
        <v>30285.375277617204</v>
      </c>
      <c r="Q21" s="10">
        <f t="shared" si="4"/>
        <v>30285.375277617204</v>
      </c>
      <c r="R21" s="10">
        <f t="shared" si="5"/>
        <v>95.761964160759362</v>
      </c>
      <c r="S21" s="10">
        <f t="shared" si="6"/>
        <v>95.761964160759362</v>
      </c>
      <c r="T21" s="10">
        <f t="shared" si="7"/>
        <v>142.99909504097963</v>
      </c>
      <c r="U21" s="10">
        <f t="shared" si="8"/>
        <v>142.99909504097963</v>
      </c>
      <c r="V21" s="10">
        <f t="shared" si="9"/>
        <v>142.99909504097963</v>
      </c>
      <c r="W21" s="10">
        <f t="shared" si="10"/>
        <v>142.99909504097963</v>
      </c>
      <c r="X21" s="10">
        <f t="shared" si="11"/>
        <v>142.99909504097963</v>
      </c>
      <c r="Y21" s="10">
        <f t="shared" si="12"/>
        <v>142.99909504097963</v>
      </c>
      <c r="Z21" s="10">
        <f t="shared" si="13"/>
        <v>142.99909504097963</v>
      </c>
      <c r="AA21" s="10">
        <f t="shared" si="14"/>
        <v>142.99909504097963</v>
      </c>
      <c r="AB21" s="10">
        <f t="shared" si="15"/>
        <v>3665.6423986126738</v>
      </c>
      <c r="AC21" s="10">
        <f t="shared" si="16"/>
        <v>3665.6423986126738</v>
      </c>
      <c r="AD21" s="10">
        <f t="shared" si="17"/>
        <v>1098.134927228602</v>
      </c>
      <c r="AE21" s="10">
        <f t="shared" si="18"/>
        <v>1098.134927228602</v>
      </c>
      <c r="AF21" s="10">
        <f t="shared" si="19"/>
        <v>549.067463614301</v>
      </c>
      <c r="AG21" s="10">
        <f t="shared" si="20"/>
        <v>549.067463614301</v>
      </c>
      <c r="AH21" s="10">
        <f t="shared" si="21"/>
        <v>109.8134927228602</v>
      </c>
      <c r="AI21" s="10">
        <f t="shared" si="22"/>
        <v>109.8134927228602</v>
      </c>
      <c r="AJ21" s="10">
        <f t="shared" si="23"/>
        <v>1254.9711600238377</v>
      </c>
      <c r="AK21" s="10">
        <f t="shared" si="24"/>
        <v>1254.9711600238377</v>
      </c>
      <c r="AL21" s="10">
        <f t="shared" si="25"/>
        <v>627.48558001191884</v>
      </c>
      <c r="AM21" s="10">
        <f t="shared" si="26"/>
        <v>627.48558001191884</v>
      </c>
      <c r="AN21" s="10">
        <f t="shared" si="27"/>
        <v>125.49711600238378</v>
      </c>
      <c r="AO21" s="10">
        <f t="shared" si="28"/>
        <v>125.49711600238378</v>
      </c>
      <c r="AP21" s="10">
        <f t="shared" si="29"/>
        <v>59.540661050581711</v>
      </c>
      <c r="AQ21" s="10">
        <f t="shared" si="30"/>
        <v>59.540661050581711</v>
      </c>
      <c r="AR21" s="10">
        <f t="shared" si="31"/>
        <v>0.78591163449819867</v>
      </c>
      <c r="AS21" s="10">
        <f t="shared" si="32"/>
        <v>0.78591163449819867</v>
      </c>
      <c r="AT21" s="10">
        <f t="shared" si="33"/>
        <v>0.78591163449819867</v>
      </c>
      <c r="AU21" s="10">
        <f t="shared" si="34"/>
        <v>0.78591163449819867</v>
      </c>
      <c r="AV21" s="10">
        <f t="shared" si="35"/>
        <v>7.073204710483787</v>
      </c>
      <c r="AW21" s="10">
        <f t="shared" si="36"/>
        <v>7.073204710483787</v>
      </c>
      <c r="AX21" s="10">
        <f t="shared" si="37"/>
        <v>21.612569948700461</v>
      </c>
      <c r="AY21" s="10">
        <f t="shared" si="38"/>
        <v>21.612569948700461</v>
      </c>
      <c r="AZ21" s="10">
        <f t="shared" si="39"/>
        <v>1.9647790862454966</v>
      </c>
      <c r="BA21" s="10">
        <f t="shared" si="40"/>
        <v>1.9647790862454966</v>
      </c>
      <c r="BB21" s="10">
        <f t="shared" si="41"/>
        <v>1.9647790862454966</v>
      </c>
      <c r="BC21" s="10">
        <f t="shared" si="42"/>
        <v>1.9647790862454966</v>
      </c>
      <c r="BD21" s="10">
        <f t="shared" si="43"/>
        <v>7.8591163449819863</v>
      </c>
      <c r="BE21" s="10">
        <f t="shared" si="44"/>
        <v>7.8591163449819863</v>
      </c>
      <c r="BF21" s="10">
        <f t="shared" si="50"/>
        <v>9.8238954312274824</v>
      </c>
      <c r="BG21" s="10">
        <f t="shared" si="51"/>
        <v>9.8238954312274824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56"/>
      <c r="H22" s="10">
        <f t="shared" si="45"/>
        <v>419848489458.15204</v>
      </c>
      <c r="I22" s="188">
        <f t="shared" si="0"/>
        <v>419848489458.15204</v>
      </c>
      <c r="J22" s="10">
        <f t="shared" si="1"/>
        <v>17365723.004005641</v>
      </c>
      <c r="K22" s="10">
        <f t="shared" si="2"/>
        <v>17365723.004005641</v>
      </c>
      <c r="L22" s="10">
        <f t="shared" si="46"/>
        <v>231.20423666051659</v>
      </c>
      <c r="M22" s="10">
        <f t="shared" si="47"/>
        <v>231.20423666051659</v>
      </c>
      <c r="N22" s="10">
        <f t="shared" si="48"/>
        <v>1681.9130487693571</v>
      </c>
      <c r="O22" s="10">
        <f t="shared" si="49"/>
        <v>1681.9130487693571</v>
      </c>
      <c r="P22" s="10">
        <f t="shared" si="3"/>
        <v>32398.308436520732</v>
      </c>
      <c r="Q22" s="10">
        <f t="shared" si="4"/>
        <v>32398.308436520732</v>
      </c>
      <c r="R22" s="10">
        <f t="shared" si="5"/>
        <v>102.44303142778909</v>
      </c>
      <c r="S22" s="10">
        <f t="shared" si="6"/>
        <v>102.44303142778909</v>
      </c>
      <c r="T22" s="10">
        <f t="shared" si="7"/>
        <v>152.97577609035034</v>
      </c>
      <c r="U22" s="10">
        <f t="shared" si="8"/>
        <v>152.97577609035034</v>
      </c>
      <c r="V22" s="10">
        <f t="shared" si="9"/>
        <v>152.97577609035034</v>
      </c>
      <c r="W22" s="10">
        <f t="shared" si="10"/>
        <v>152.97577609035034</v>
      </c>
      <c r="X22" s="10">
        <f t="shared" si="11"/>
        <v>152.97577609035034</v>
      </c>
      <c r="Y22" s="10">
        <f t="shared" si="12"/>
        <v>152.97577609035034</v>
      </c>
      <c r="Z22" s="10">
        <f t="shared" si="13"/>
        <v>152.97577609035034</v>
      </c>
      <c r="AA22" s="10">
        <f t="shared" si="14"/>
        <v>152.97577609035034</v>
      </c>
      <c r="AB22" s="10">
        <f t="shared" si="15"/>
        <v>3921.38489153914</v>
      </c>
      <c r="AC22" s="10">
        <f t="shared" si="16"/>
        <v>3921.38489153914</v>
      </c>
      <c r="AD22" s="10">
        <f t="shared" si="17"/>
        <v>1174.7489919189698</v>
      </c>
      <c r="AE22" s="10">
        <f t="shared" si="18"/>
        <v>1174.7489919189698</v>
      </c>
      <c r="AF22" s="10">
        <f t="shared" si="19"/>
        <v>587.37449595948488</v>
      </c>
      <c r="AG22" s="10">
        <f t="shared" si="20"/>
        <v>587.37449595948488</v>
      </c>
      <c r="AH22" s="10">
        <f t="shared" si="21"/>
        <v>117.47489919189697</v>
      </c>
      <c r="AI22" s="10">
        <f t="shared" si="22"/>
        <v>117.47489919189697</v>
      </c>
      <c r="AJ22" s="10">
        <f t="shared" si="23"/>
        <v>1342.5272874673612</v>
      </c>
      <c r="AK22" s="10">
        <f t="shared" si="24"/>
        <v>1342.5272874673612</v>
      </c>
      <c r="AL22" s="10">
        <f t="shared" si="25"/>
        <v>671.26364373368062</v>
      </c>
      <c r="AM22" s="10">
        <f t="shared" si="26"/>
        <v>671.26364373368062</v>
      </c>
      <c r="AN22" s="10">
        <f t="shared" si="27"/>
        <v>134.25272874673615</v>
      </c>
      <c r="AO22" s="10">
        <f t="shared" si="28"/>
        <v>134.25272874673615</v>
      </c>
      <c r="AP22" s="10">
        <f t="shared" si="29"/>
        <v>63.694660658761833</v>
      </c>
      <c r="AQ22" s="10">
        <f t="shared" si="30"/>
        <v>63.694660658761833</v>
      </c>
      <c r="AR22" s="10">
        <f t="shared" si="31"/>
        <v>0.84074267876551489</v>
      </c>
      <c r="AS22" s="10">
        <f t="shared" si="32"/>
        <v>0.84074267876551489</v>
      </c>
      <c r="AT22" s="10">
        <f t="shared" si="33"/>
        <v>0.84074267876551489</v>
      </c>
      <c r="AU22" s="10">
        <f t="shared" si="34"/>
        <v>0.84074267876551489</v>
      </c>
      <c r="AV22" s="10">
        <f t="shared" si="35"/>
        <v>7.5666841088896328</v>
      </c>
      <c r="AW22" s="10">
        <f t="shared" si="36"/>
        <v>7.5666841088896328</v>
      </c>
      <c r="AX22" s="10">
        <f t="shared" si="37"/>
        <v>23.120423666051661</v>
      </c>
      <c r="AY22" s="10">
        <f t="shared" si="38"/>
        <v>23.120423666051661</v>
      </c>
      <c r="AZ22" s="10">
        <f t="shared" si="39"/>
        <v>2.1018566969137873</v>
      </c>
      <c r="BA22" s="10">
        <f t="shared" si="40"/>
        <v>2.1018566969137873</v>
      </c>
      <c r="BB22" s="10">
        <f t="shared" si="41"/>
        <v>2.1018566969137873</v>
      </c>
      <c r="BC22" s="10">
        <f t="shared" si="42"/>
        <v>2.1018566969137873</v>
      </c>
      <c r="BD22" s="10">
        <f t="shared" si="43"/>
        <v>8.4074267876551492</v>
      </c>
      <c r="BE22" s="10">
        <f t="shared" si="44"/>
        <v>8.4074267876551492</v>
      </c>
      <c r="BF22" s="10">
        <f t="shared" si="50"/>
        <v>10.509283484568936</v>
      </c>
      <c r="BG22" s="10">
        <f t="shared" si="51"/>
        <v>10.509283484568936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56"/>
      <c r="H23" s="10">
        <f t="shared" si="45"/>
        <v>447229912683.68372</v>
      </c>
      <c r="I23" s="188">
        <f t="shared" si="0"/>
        <v>447229912683.68372</v>
      </c>
      <c r="J23" s="10">
        <f t="shared" si="1"/>
        <v>18498270.156440794</v>
      </c>
      <c r="K23" s="10">
        <f t="shared" si="2"/>
        <v>18498270.156440794</v>
      </c>
      <c r="L23" s="10">
        <f t="shared" si="46"/>
        <v>246.28277383402855</v>
      </c>
      <c r="M23" s="10">
        <f t="shared" si="47"/>
        <v>246.28277383402855</v>
      </c>
      <c r="N23" s="10">
        <f t="shared" si="48"/>
        <v>1791.603030210837</v>
      </c>
      <c r="O23" s="10">
        <f t="shared" si="49"/>
        <v>1791.603030210837</v>
      </c>
      <c r="P23" s="10">
        <f t="shared" si="3"/>
        <v>34511.241595424261</v>
      </c>
      <c r="Q23" s="10">
        <f t="shared" si="4"/>
        <v>34511.241595424261</v>
      </c>
      <c r="R23" s="10">
        <f t="shared" si="5"/>
        <v>109.12409869481883</v>
      </c>
      <c r="S23" s="10">
        <f t="shared" si="6"/>
        <v>109.12409869481883</v>
      </c>
      <c r="T23" s="10">
        <f t="shared" si="7"/>
        <v>162.95245713972102</v>
      </c>
      <c r="U23" s="10">
        <f t="shared" si="8"/>
        <v>162.95245713972102</v>
      </c>
      <c r="V23" s="10">
        <f t="shared" si="9"/>
        <v>162.95245713972102</v>
      </c>
      <c r="W23" s="10">
        <f t="shared" si="10"/>
        <v>162.95245713972102</v>
      </c>
      <c r="X23" s="10">
        <f t="shared" si="11"/>
        <v>162.95245713972102</v>
      </c>
      <c r="Y23" s="10">
        <f t="shared" si="12"/>
        <v>162.95245713972102</v>
      </c>
      <c r="Z23" s="10">
        <f t="shared" si="13"/>
        <v>162.95245713972102</v>
      </c>
      <c r="AA23" s="10">
        <f t="shared" si="14"/>
        <v>162.95245713972102</v>
      </c>
      <c r="AB23" s="10">
        <f t="shared" si="15"/>
        <v>4177.1273844656062</v>
      </c>
      <c r="AC23" s="10">
        <f t="shared" si="16"/>
        <v>4177.1273844656062</v>
      </c>
      <c r="AD23" s="10">
        <f t="shared" si="17"/>
        <v>1251.3630566093375</v>
      </c>
      <c r="AE23" s="10">
        <f t="shared" si="18"/>
        <v>1251.3630566093375</v>
      </c>
      <c r="AF23" s="10">
        <f t="shared" si="19"/>
        <v>625.68152830466875</v>
      </c>
      <c r="AG23" s="10">
        <f t="shared" si="20"/>
        <v>625.68152830466875</v>
      </c>
      <c r="AH23" s="10">
        <f t="shared" si="21"/>
        <v>125.13630566093374</v>
      </c>
      <c r="AI23" s="10">
        <f t="shared" si="22"/>
        <v>125.13630566093374</v>
      </c>
      <c r="AJ23" s="10">
        <f t="shared" si="23"/>
        <v>1430.083414910885</v>
      </c>
      <c r="AK23" s="10">
        <f t="shared" si="24"/>
        <v>1430.083414910885</v>
      </c>
      <c r="AL23" s="10">
        <f t="shared" si="25"/>
        <v>715.04170745544252</v>
      </c>
      <c r="AM23" s="10">
        <f t="shared" si="26"/>
        <v>715.04170745544252</v>
      </c>
      <c r="AN23" s="10">
        <f t="shared" si="27"/>
        <v>143.00834149108852</v>
      </c>
      <c r="AO23" s="10">
        <f t="shared" si="28"/>
        <v>143.00834149108852</v>
      </c>
      <c r="AP23" s="10">
        <f t="shared" si="29"/>
        <v>67.848660266941963</v>
      </c>
      <c r="AQ23" s="10">
        <f t="shared" si="30"/>
        <v>67.848660266941963</v>
      </c>
      <c r="AR23" s="10">
        <f t="shared" si="31"/>
        <v>0.89557372303283123</v>
      </c>
      <c r="AS23" s="10">
        <f t="shared" si="32"/>
        <v>0.89557372303283123</v>
      </c>
      <c r="AT23" s="10">
        <f t="shared" si="33"/>
        <v>0.89557372303283123</v>
      </c>
      <c r="AU23" s="10">
        <f t="shared" si="34"/>
        <v>0.89557372303283123</v>
      </c>
      <c r="AV23" s="10">
        <f t="shared" si="35"/>
        <v>8.0601635072954796</v>
      </c>
      <c r="AW23" s="10">
        <f t="shared" si="36"/>
        <v>8.0601635072954796</v>
      </c>
      <c r="AX23" s="10">
        <f t="shared" si="37"/>
        <v>24.628277383402857</v>
      </c>
      <c r="AY23" s="10">
        <f t="shared" si="38"/>
        <v>24.628277383402857</v>
      </c>
      <c r="AZ23" s="10">
        <f t="shared" si="39"/>
        <v>2.238934307582078</v>
      </c>
      <c r="BA23" s="10">
        <f t="shared" si="40"/>
        <v>2.238934307582078</v>
      </c>
      <c r="BB23" s="10">
        <f t="shared" si="41"/>
        <v>2.238934307582078</v>
      </c>
      <c r="BC23" s="10">
        <f t="shared" si="42"/>
        <v>2.238934307582078</v>
      </c>
      <c r="BD23" s="10">
        <f t="shared" si="43"/>
        <v>8.955737230328312</v>
      </c>
      <c r="BE23" s="10">
        <f t="shared" si="44"/>
        <v>8.955737230328312</v>
      </c>
      <c r="BF23" s="10">
        <f t="shared" si="50"/>
        <v>11.19467153791039</v>
      </c>
      <c r="BG23" s="10">
        <f t="shared" si="51"/>
        <v>11.19467153791039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56"/>
      <c r="H24" s="10">
        <f t="shared" si="45"/>
        <v>474611335909.21533</v>
      </c>
      <c r="I24" s="188">
        <f t="shared" si="0"/>
        <v>474611335909.21533</v>
      </c>
      <c r="J24" s="10">
        <f t="shared" si="1"/>
        <v>19630817.308875944</v>
      </c>
      <c r="K24" s="10">
        <f t="shared" si="2"/>
        <v>19630817.308875944</v>
      </c>
      <c r="L24" s="10">
        <f t="shared" si="46"/>
        <v>261.36131100754051</v>
      </c>
      <c r="M24" s="10">
        <f t="shared" si="47"/>
        <v>261.36131100754051</v>
      </c>
      <c r="N24" s="10">
        <f t="shared" si="48"/>
        <v>1901.2930116523166</v>
      </c>
      <c r="O24" s="10">
        <f t="shared" si="49"/>
        <v>1901.2930116523166</v>
      </c>
      <c r="P24" s="10">
        <f t="shared" si="3"/>
        <v>36624.174754327782</v>
      </c>
      <c r="Q24" s="10">
        <f t="shared" si="4"/>
        <v>36624.174754327782</v>
      </c>
      <c r="R24" s="10">
        <f t="shared" si="5"/>
        <v>115.80516596184854</v>
      </c>
      <c r="S24" s="10">
        <f t="shared" si="6"/>
        <v>115.80516596184854</v>
      </c>
      <c r="T24" s="10">
        <f t="shared" si="7"/>
        <v>172.92913818909167</v>
      </c>
      <c r="U24" s="10">
        <f t="shared" si="8"/>
        <v>172.92913818909167</v>
      </c>
      <c r="V24" s="10">
        <f t="shared" si="9"/>
        <v>172.92913818909167</v>
      </c>
      <c r="W24" s="10">
        <f t="shared" si="10"/>
        <v>172.92913818909167</v>
      </c>
      <c r="X24" s="10">
        <f t="shared" si="11"/>
        <v>172.92913818909167</v>
      </c>
      <c r="Y24" s="10">
        <f t="shared" si="12"/>
        <v>172.92913818909167</v>
      </c>
      <c r="Z24" s="10">
        <f t="shared" si="13"/>
        <v>172.92913818909167</v>
      </c>
      <c r="AA24" s="10">
        <f t="shared" si="14"/>
        <v>172.92913818909167</v>
      </c>
      <c r="AB24" s="10">
        <f t="shared" si="15"/>
        <v>4432.8698773920714</v>
      </c>
      <c r="AC24" s="10">
        <f t="shared" si="16"/>
        <v>4432.8698773920714</v>
      </c>
      <c r="AD24" s="10">
        <f t="shared" si="17"/>
        <v>1327.9771212997048</v>
      </c>
      <c r="AE24" s="10">
        <f t="shared" si="18"/>
        <v>1327.9771212997048</v>
      </c>
      <c r="AF24" s="10">
        <f t="shared" si="19"/>
        <v>663.98856064985239</v>
      </c>
      <c r="AG24" s="10">
        <f t="shared" si="20"/>
        <v>663.98856064985239</v>
      </c>
      <c r="AH24" s="10">
        <f t="shared" si="21"/>
        <v>132.79771212997048</v>
      </c>
      <c r="AI24" s="10">
        <f t="shared" si="22"/>
        <v>132.79771212997048</v>
      </c>
      <c r="AJ24" s="10">
        <f t="shared" si="23"/>
        <v>1517.6395423544084</v>
      </c>
      <c r="AK24" s="10">
        <f t="shared" si="24"/>
        <v>1517.6395423544084</v>
      </c>
      <c r="AL24" s="10">
        <f t="shared" si="25"/>
        <v>758.81977117720419</v>
      </c>
      <c r="AM24" s="10">
        <f t="shared" si="26"/>
        <v>758.81977117720419</v>
      </c>
      <c r="AN24" s="10">
        <f t="shared" si="27"/>
        <v>151.76395423544085</v>
      </c>
      <c r="AO24" s="10">
        <f t="shared" si="28"/>
        <v>151.76395423544085</v>
      </c>
      <c r="AP24" s="10">
        <f t="shared" si="29"/>
        <v>72.002659875122077</v>
      </c>
      <c r="AQ24" s="10">
        <f t="shared" si="30"/>
        <v>72.002659875122077</v>
      </c>
      <c r="AR24" s="10">
        <f t="shared" si="31"/>
        <v>0.95040476730014734</v>
      </c>
      <c r="AS24" s="10">
        <f t="shared" si="32"/>
        <v>0.95040476730014734</v>
      </c>
      <c r="AT24" s="10">
        <f t="shared" si="33"/>
        <v>0.95040476730014734</v>
      </c>
      <c r="AU24" s="10">
        <f t="shared" si="34"/>
        <v>0.95040476730014734</v>
      </c>
      <c r="AV24" s="10">
        <f t="shared" si="35"/>
        <v>8.5536429057013237</v>
      </c>
      <c r="AW24" s="10">
        <f t="shared" si="36"/>
        <v>8.5536429057013237</v>
      </c>
      <c r="AX24" s="10">
        <f t="shared" si="37"/>
        <v>26.136131100754049</v>
      </c>
      <c r="AY24" s="10">
        <f t="shared" si="38"/>
        <v>26.136131100754049</v>
      </c>
      <c r="AZ24" s="10">
        <f t="shared" si="39"/>
        <v>2.3760119182503683</v>
      </c>
      <c r="BA24" s="10">
        <f t="shared" si="40"/>
        <v>2.3760119182503683</v>
      </c>
      <c r="BB24" s="10">
        <f t="shared" si="41"/>
        <v>2.3760119182503683</v>
      </c>
      <c r="BC24" s="10">
        <f t="shared" si="42"/>
        <v>2.3760119182503683</v>
      </c>
      <c r="BD24" s="10">
        <f t="shared" si="43"/>
        <v>9.5040476730014731</v>
      </c>
      <c r="BE24" s="10">
        <f t="shared" si="44"/>
        <v>9.5040476730014731</v>
      </c>
      <c r="BF24" s="10">
        <f t="shared" si="50"/>
        <v>11.880059591251841</v>
      </c>
      <c r="BG24" s="10">
        <f t="shared" si="51"/>
        <v>11.880059591251841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56"/>
      <c r="H25" s="10">
        <f t="shared" si="45"/>
        <v>501992759134.74701</v>
      </c>
      <c r="I25" s="188">
        <f t="shared" si="0"/>
        <v>501992759134.74701</v>
      </c>
      <c r="J25" s="10">
        <f t="shared" si="1"/>
        <v>20763364.461311094</v>
      </c>
      <c r="K25" s="10">
        <f t="shared" si="2"/>
        <v>20763364.461311094</v>
      </c>
      <c r="L25" s="10">
        <f t="shared" si="46"/>
        <v>276.43984818105247</v>
      </c>
      <c r="M25" s="10">
        <f t="shared" si="47"/>
        <v>276.43984818105247</v>
      </c>
      <c r="N25" s="10">
        <f t="shared" si="48"/>
        <v>2010.9829930937965</v>
      </c>
      <c r="O25" s="10">
        <f t="shared" si="49"/>
        <v>2010.9829930937965</v>
      </c>
      <c r="P25" s="10">
        <f t="shared" si="3"/>
        <v>38737.10791323131</v>
      </c>
      <c r="Q25" s="10">
        <f t="shared" si="4"/>
        <v>38737.10791323131</v>
      </c>
      <c r="R25" s="10">
        <f t="shared" si="5"/>
        <v>122.48623322887828</v>
      </c>
      <c r="S25" s="10">
        <f t="shared" si="6"/>
        <v>122.48623322887828</v>
      </c>
      <c r="T25" s="10">
        <f t="shared" si="7"/>
        <v>182.90581923846236</v>
      </c>
      <c r="U25" s="10">
        <f t="shared" si="8"/>
        <v>182.90581923846236</v>
      </c>
      <c r="V25" s="10">
        <f t="shared" si="9"/>
        <v>182.90581923846236</v>
      </c>
      <c r="W25" s="10">
        <f t="shared" si="10"/>
        <v>182.90581923846236</v>
      </c>
      <c r="X25" s="10">
        <f t="shared" si="11"/>
        <v>182.90581923846236</v>
      </c>
      <c r="Y25" s="10">
        <f t="shared" si="12"/>
        <v>182.90581923846236</v>
      </c>
      <c r="Z25" s="10">
        <f t="shared" si="13"/>
        <v>182.90581923846236</v>
      </c>
      <c r="AA25" s="10">
        <f t="shared" si="14"/>
        <v>182.90581923846236</v>
      </c>
      <c r="AB25" s="10">
        <f t="shared" si="15"/>
        <v>4688.6123703185376</v>
      </c>
      <c r="AC25" s="10">
        <f t="shared" si="16"/>
        <v>4688.6123703185376</v>
      </c>
      <c r="AD25" s="10">
        <f t="shared" si="17"/>
        <v>1404.5911859900725</v>
      </c>
      <c r="AE25" s="10">
        <f t="shared" si="18"/>
        <v>1404.5911859900725</v>
      </c>
      <c r="AF25" s="10">
        <f t="shared" si="19"/>
        <v>702.29559299503626</v>
      </c>
      <c r="AG25" s="10">
        <f t="shared" si="20"/>
        <v>702.29559299503626</v>
      </c>
      <c r="AH25" s="10">
        <f t="shared" si="21"/>
        <v>140.45911859900727</v>
      </c>
      <c r="AI25" s="10">
        <f t="shared" si="22"/>
        <v>140.45911859900727</v>
      </c>
      <c r="AJ25" s="10">
        <f t="shared" si="23"/>
        <v>1605.1956697979322</v>
      </c>
      <c r="AK25" s="10">
        <f t="shared" si="24"/>
        <v>1605.1956697979322</v>
      </c>
      <c r="AL25" s="10">
        <f t="shared" si="25"/>
        <v>802.59783489896608</v>
      </c>
      <c r="AM25" s="10">
        <f t="shared" si="26"/>
        <v>802.59783489896608</v>
      </c>
      <c r="AN25" s="10">
        <f t="shared" si="27"/>
        <v>160.51956697979321</v>
      </c>
      <c r="AO25" s="10">
        <f t="shared" si="28"/>
        <v>160.51956697979321</v>
      </c>
      <c r="AP25" s="10">
        <f t="shared" si="29"/>
        <v>76.156659483302207</v>
      </c>
      <c r="AQ25" s="10">
        <f t="shared" si="30"/>
        <v>76.156659483302207</v>
      </c>
      <c r="AR25" s="10">
        <f t="shared" si="31"/>
        <v>1.0052358115674636</v>
      </c>
      <c r="AS25" s="10">
        <f t="shared" si="32"/>
        <v>1.0052358115674636</v>
      </c>
      <c r="AT25" s="10">
        <f t="shared" si="33"/>
        <v>1.0052358115674636</v>
      </c>
      <c r="AU25" s="10">
        <f t="shared" si="34"/>
        <v>1.0052358115674636</v>
      </c>
      <c r="AV25" s="10">
        <f t="shared" si="35"/>
        <v>9.0471223041071713</v>
      </c>
      <c r="AW25" s="10">
        <f t="shared" si="36"/>
        <v>9.0471223041071713</v>
      </c>
      <c r="AX25" s="10">
        <f t="shared" si="37"/>
        <v>27.643984818105245</v>
      </c>
      <c r="AY25" s="10">
        <f t="shared" si="38"/>
        <v>27.643984818105245</v>
      </c>
      <c r="AZ25" s="10">
        <f t="shared" si="39"/>
        <v>2.513089528918659</v>
      </c>
      <c r="BA25" s="10">
        <f t="shared" si="40"/>
        <v>2.513089528918659</v>
      </c>
      <c r="BB25" s="10">
        <f t="shared" si="41"/>
        <v>2.513089528918659</v>
      </c>
      <c r="BC25" s="10">
        <f t="shared" si="42"/>
        <v>2.513089528918659</v>
      </c>
      <c r="BD25" s="10">
        <f t="shared" si="43"/>
        <v>10.052358115674636</v>
      </c>
      <c r="BE25" s="10">
        <f t="shared" si="44"/>
        <v>10.052358115674636</v>
      </c>
      <c r="BF25" s="10">
        <f t="shared" si="50"/>
        <v>12.565447644593295</v>
      </c>
      <c r="BG25" s="10">
        <f t="shared" si="51"/>
        <v>12.565447644593295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56"/>
      <c r="H26" s="10">
        <f t="shared" si="45"/>
        <v>1058748364720.5573</v>
      </c>
      <c r="I26" s="188">
        <f t="shared" si="0"/>
        <v>1058748364720.5573</v>
      </c>
      <c r="J26" s="10">
        <f t="shared" si="1"/>
        <v>43791823.227492489</v>
      </c>
      <c r="K26" s="10">
        <f t="shared" si="2"/>
        <v>43791823.227492489</v>
      </c>
      <c r="L26" s="10">
        <f t="shared" si="46"/>
        <v>583.03677070912875</v>
      </c>
      <c r="M26" s="10">
        <f t="shared" si="47"/>
        <v>583.03677070912875</v>
      </c>
      <c r="N26" s="10">
        <f t="shared" si="48"/>
        <v>4241.3459490705527</v>
      </c>
      <c r="O26" s="10">
        <f t="shared" si="49"/>
        <v>4241.3459490705527</v>
      </c>
      <c r="P26" s="10">
        <f t="shared" si="3"/>
        <v>81700.082144269676</v>
      </c>
      <c r="Q26" s="10">
        <f t="shared" si="4"/>
        <v>81700.082144269676</v>
      </c>
      <c r="R26" s="10">
        <f t="shared" si="5"/>
        <v>258.33460099181599</v>
      </c>
      <c r="S26" s="10">
        <f t="shared" si="6"/>
        <v>258.33460099181599</v>
      </c>
      <c r="T26" s="10">
        <f t="shared" si="7"/>
        <v>385.76500057566602</v>
      </c>
      <c r="U26" s="10">
        <f t="shared" si="8"/>
        <v>385.76500057566602</v>
      </c>
      <c r="V26" s="10">
        <f t="shared" si="9"/>
        <v>385.76500057566602</v>
      </c>
      <c r="W26" s="10">
        <f t="shared" si="10"/>
        <v>385.76500057566602</v>
      </c>
      <c r="X26" s="10">
        <f t="shared" si="11"/>
        <v>385.76500057566602</v>
      </c>
      <c r="Y26" s="10">
        <f t="shared" si="12"/>
        <v>385.76500057566602</v>
      </c>
      <c r="Z26" s="10">
        <f t="shared" si="13"/>
        <v>385.76500057566602</v>
      </c>
      <c r="AA26" s="10">
        <f t="shared" si="14"/>
        <v>385.76500057566602</v>
      </c>
      <c r="AB26" s="10">
        <f t="shared" si="15"/>
        <v>9888.7097264900058</v>
      </c>
      <c r="AC26" s="10">
        <f t="shared" si="16"/>
        <v>9888.7097264900058</v>
      </c>
      <c r="AD26" s="10">
        <f t="shared" si="17"/>
        <v>2962.4105013608801</v>
      </c>
      <c r="AE26" s="10">
        <f t="shared" si="18"/>
        <v>2962.4105013608801</v>
      </c>
      <c r="AF26" s="10">
        <f t="shared" si="19"/>
        <v>1481.20525068044</v>
      </c>
      <c r="AG26" s="10">
        <f t="shared" si="20"/>
        <v>1481.20525068044</v>
      </c>
      <c r="AH26" s="10">
        <f t="shared" si="21"/>
        <v>296.24105013608801</v>
      </c>
      <c r="AI26" s="10">
        <f t="shared" si="22"/>
        <v>296.24105013608801</v>
      </c>
      <c r="AJ26" s="10">
        <f t="shared" si="23"/>
        <v>3385.503594482911</v>
      </c>
      <c r="AK26" s="10">
        <f t="shared" si="24"/>
        <v>3385.503594482911</v>
      </c>
      <c r="AL26" s="10">
        <f t="shared" si="25"/>
        <v>1692.7517972414555</v>
      </c>
      <c r="AM26" s="10">
        <f t="shared" si="26"/>
        <v>1692.7517972414555</v>
      </c>
      <c r="AN26" s="10">
        <f t="shared" si="27"/>
        <v>338.55035944829115</v>
      </c>
      <c r="AO26" s="10">
        <f t="shared" si="28"/>
        <v>338.55035944829115</v>
      </c>
      <c r="AP26" s="10">
        <f t="shared" si="29"/>
        <v>160.62131818296461</v>
      </c>
      <c r="AQ26" s="10">
        <f t="shared" si="30"/>
        <v>160.62131818296461</v>
      </c>
      <c r="AR26" s="10">
        <f t="shared" si="31"/>
        <v>2.1201337116695593</v>
      </c>
      <c r="AS26" s="10">
        <f t="shared" si="32"/>
        <v>2.1201337116695593</v>
      </c>
      <c r="AT26" s="10">
        <f t="shared" si="33"/>
        <v>2.1201337116695593</v>
      </c>
      <c r="AU26" s="10">
        <f t="shared" si="34"/>
        <v>2.1201337116695593</v>
      </c>
      <c r="AV26" s="10">
        <f t="shared" si="35"/>
        <v>19.081203405026031</v>
      </c>
      <c r="AW26" s="10">
        <f t="shared" si="36"/>
        <v>19.081203405026031</v>
      </c>
      <c r="AX26" s="10">
        <f t="shared" si="37"/>
        <v>58.303677070912876</v>
      </c>
      <c r="AY26" s="10">
        <f t="shared" si="38"/>
        <v>58.303677070912876</v>
      </c>
      <c r="AZ26" s="10">
        <f t="shared" si="39"/>
        <v>5.3003342791738977</v>
      </c>
      <c r="BA26" s="10">
        <f t="shared" si="40"/>
        <v>5.3003342791738977</v>
      </c>
      <c r="BB26" s="10">
        <f t="shared" si="41"/>
        <v>5.3003342791738977</v>
      </c>
      <c r="BC26" s="10">
        <f t="shared" si="42"/>
        <v>5.3003342791738977</v>
      </c>
      <c r="BD26" s="10">
        <f t="shared" si="43"/>
        <v>21.201337116695591</v>
      </c>
      <c r="BE26" s="10">
        <f t="shared" si="44"/>
        <v>21.201337116695591</v>
      </c>
      <c r="BF26" s="10">
        <f t="shared" si="50"/>
        <v>26.50167139586949</v>
      </c>
      <c r="BG26" s="10">
        <f t="shared" si="51"/>
        <v>26.50167139586949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56"/>
      <c r="H27" s="10">
        <f t="shared" si="45"/>
        <v>1113511211171.6206</v>
      </c>
      <c r="I27" s="188">
        <f t="shared" si="0"/>
        <v>1113511211171.6206</v>
      </c>
      <c r="J27" s="10">
        <f t="shared" si="1"/>
        <v>46056917.532362789</v>
      </c>
      <c r="K27" s="10">
        <f t="shared" si="2"/>
        <v>46056917.532362789</v>
      </c>
      <c r="L27" s="10">
        <f t="shared" si="46"/>
        <v>613.19384505615267</v>
      </c>
      <c r="M27" s="10">
        <f t="shared" si="47"/>
        <v>613.19384505615267</v>
      </c>
      <c r="N27" s="10">
        <f t="shared" si="48"/>
        <v>4460.725911953512</v>
      </c>
      <c r="O27" s="10">
        <f t="shared" si="49"/>
        <v>4460.725911953512</v>
      </c>
      <c r="P27" s="10">
        <f t="shared" si="3"/>
        <v>85925.948462076718</v>
      </c>
      <c r="Q27" s="10">
        <f t="shared" si="4"/>
        <v>85925.948462076718</v>
      </c>
      <c r="R27" s="10">
        <f t="shared" si="5"/>
        <v>271.6967355258754</v>
      </c>
      <c r="S27" s="10">
        <f t="shared" si="6"/>
        <v>271.6967355258754</v>
      </c>
      <c r="T27" s="10">
        <f t="shared" si="7"/>
        <v>405.71836267440733</v>
      </c>
      <c r="U27" s="10">
        <f t="shared" si="8"/>
        <v>405.71836267440733</v>
      </c>
      <c r="V27" s="10">
        <f t="shared" si="9"/>
        <v>405.71836267440733</v>
      </c>
      <c r="W27" s="10">
        <f t="shared" si="10"/>
        <v>405.71836267440733</v>
      </c>
      <c r="X27" s="10">
        <f t="shared" si="11"/>
        <v>405.71836267440733</v>
      </c>
      <c r="Y27" s="10">
        <f t="shared" si="12"/>
        <v>405.71836267440733</v>
      </c>
      <c r="Z27" s="10">
        <f t="shared" si="13"/>
        <v>405.71836267440733</v>
      </c>
      <c r="AA27" s="10">
        <f t="shared" si="14"/>
        <v>405.71836267440733</v>
      </c>
      <c r="AB27" s="10">
        <f t="shared" si="15"/>
        <v>10400.194712342936</v>
      </c>
      <c r="AC27" s="10">
        <f t="shared" si="16"/>
        <v>10400.194712342936</v>
      </c>
      <c r="AD27" s="10">
        <f t="shared" si="17"/>
        <v>3115.6386307416151</v>
      </c>
      <c r="AE27" s="10">
        <f t="shared" si="18"/>
        <v>3115.6386307416151</v>
      </c>
      <c r="AF27" s="10">
        <f t="shared" si="19"/>
        <v>1557.8193153708075</v>
      </c>
      <c r="AG27" s="10">
        <f t="shared" si="20"/>
        <v>1557.8193153708075</v>
      </c>
      <c r="AH27" s="10">
        <f t="shared" si="21"/>
        <v>311.56386307416147</v>
      </c>
      <c r="AI27" s="10">
        <f t="shared" si="22"/>
        <v>311.56386307416147</v>
      </c>
      <c r="AJ27" s="10">
        <f t="shared" si="23"/>
        <v>3560.6158493699581</v>
      </c>
      <c r="AK27" s="10">
        <f t="shared" si="24"/>
        <v>3560.6158493699581</v>
      </c>
      <c r="AL27" s="10">
        <f t="shared" si="25"/>
        <v>1780.3079246849791</v>
      </c>
      <c r="AM27" s="10">
        <f t="shared" si="26"/>
        <v>1780.3079246849791</v>
      </c>
      <c r="AN27" s="10">
        <f t="shared" si="27"/>
        <v>356.06158493699581</v>
      </c>
      <c r="AO27" s="10">
        <f t="shared" si="28"/>
        <v>356.06158493699581</v>
      </c>
      <c r="AP27" s="10">
        <f t="shared" si="29"/>
        <v>168.92931739932484</v>
      </c>
      <c r="AQ27" s="10">
        <f t="shared" si="30"/>
        <v>168.92931739932484</v>
      </c>
      <c r="AR27" s="10">
        <f t="shared" si="31"/>
        <v>2.2297958002041915</v>
      </c>
      <c r="AS27" s="10">
        <f t="shared" si="32"/>
        <v>2.2297958002041915</v>
      </c>
      <c r="AT27" s="10">
        <f t="shared" si="33"/>
        <v>2.2297958002041915</v>
      </c>
      <c r="AU27" s="10">
        <f t="shared" si="34"/>
        <v>2.2297958002041915</v>
      </c>
      <c r="AV27" s="10">
        <f t="shared" si="35"/>
        <v>20.068162201837719</v>
      </c>
      <c r="AW27" s="10">
        <f t="shared" si="36"/>
        <v>20.068162201837719</v>
      </c>
      <c r="AX27" s="10">
        <f t="shared" si="37"/>
        <v>61.319384505615261</v>
      </c>
      <c r="AY27" s="10">
        <f t="shared" si="38"/>
        <v>61.319384505615261</v>
      </c>
      <c r="AZ27" s="10">
        <f t="shared" si="39"/>
        <v>5.5744895005104782</v>
      </c>
      <c r="BA27" s="10">
        <f t="shared" si="40"/>
        <v>5.5744895005104782</v>
      </c>
      <c r="BB27" s="10">
        <f t="shared" si="41"/>
        <v>5.5744895005104782</v>
      </c>
      <c r="BC27" s="10">
        <f t="shared" si="42"/>
        <v>5.5744895005104782</v>
      </c>
      <c r="BD27" s="10">
        <f t="shared" si="43"/>
        <v>22.297958002041913</v>
      </c>
      <c r="BE27" s="10">
        <f t="shared" si="44"/>
        <v>22.297958002041913</v>
      </c>
      <c r="BF27" s="10">
        <f t="shared" si="50"/>
        <v>27.872447502552394</v>
      </c>
      <c r="BG27" s="10">
        <f t="shared" si="51"/>
        <v>27.872447502552394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56"/>
      <c r="H28" s="10">
        <f t="shared" si="45"/>
        <v>1168274057622.6841</v>
      </c>
      <c r="I28" s="188">
        <f t="shared" si="0"/>
        <v>1168274057622.6841</v>
      </c>
      <c r="J28" s="10">
        <f t="shared" si="1"/>
        <v>48322011.837233096</v>
      </c>
      <c r="K28" s="10">
        <f t="shared" si="2"/>
        <v>48322011.837233096</v>
      </c>
      <c r="L28" s="10">
        <f t="shared" si="46"/>
        <v>643.3509194031767</v>
      </c>
      <c r="M28" s="10">
        <f t="shared" si="47"/>
        <v>643.3509194031767</v>
      </c>
      <c r="N28" s="10">
        <f t="shared" si="48"/>
        <v>4680.1058748364721</v>
      </c>
      <c r="O28" s="10">
        <f t="shared" si="49"/>
        <v>4680.1058748364721</v>
      </c>
      <c r="P28" s="10">
        <f t="shared" si="3"/>
        <v>90151.814779883789</v>
      </c>
      <c r="Q28" s="10">
        <f t="shared" si="4"/>
        <v>90151.814779883789</v>
      </c>
      <c r="R28" s="10">
        <f t="shared" si="5"/>
        <v>285.05887005993492</v>
      </c>
      <c r="S28" s="10">
        <f t="shared" si="6"/>
        <v>285.05887005993492</v>
      </c>
      <c r="T28" s="10">
        <f t="shared" si="7"/>
        <v>425.67172477314875</v>
      </c>
      <c r="U28" s="10">
        <f t="shared" si="8"/>
        <v>425.67172477314875</v>
      </c>
      <c r="V28" s="10">
        <f t="shared" si="9"/>
        <v>425.67172477314875</v>
      </c>
      <c r="W28" s="10">
        <f t="shared" si="10"/>
        <v>425.67172477314875</v>
      </c>
      <c r="X28" s="10">
        <f t="shared" si="11"/>
        <v>425.67172477314875</v>
      </c>
      <c r="Y28" s="10">
        <f t="shared" si="12"/>
        <v>425.67172477314875</v>
      </c>
      <c r="Z28" s="10">
        <f t="shared" si="13"/>
        <v>425.67172477314875</v>
      </c>
      <c r="AA28" s="10">
        <f t="shared" si="14"/>
        <v>425.67172477314875</v>
      </c>
      <c r="AB28" s="10">
        <f t="shared" si="15"/>
        <v>10911.679698195869</v>
      </c>
      <c r="AC28" s="10">
        <f t="shared" si="16"/>
        <v>10911.679698195869</v>
      </c>
      <c r="AD28" s="10">
        <f t="shared" si="17"/>
        <v>3268.866760122351</v>
      </c>
      <c r="AE28" s="10">
        <f t="shared" si="18"/>
        <v>3268.866760122351</v>
      </c>
      <c r="AF28" s="10">
        <f t="shared" si="19"/>
        <v>1634.4333800611755</v>
      </c>
      <c r="AG28" s="10">
        <f t="shared" si="20"/>
        <v>1634.4333800611755</v>
      </c>
      <c r="AH28" s="10">
        <f t="shared" si="21"/>
        <v>326.88667601223506</v>
      </c>
      <c r="AI28" s="10">
        <f t="shared" si="22"/>
        <v>326.88667601223506</v>
      </c>
      <c r="AJ28" s="10">
        <f t="shared" si="23"/>
        <v>3735.7281042570057</v>
      </c>
      <c r="AK28" s="10">
        <f t="shared" si="24"/>
        <v>3735.7281042570057</v>
      </c>
      <c r="AL28" s="10">
        <f t="shared" si="25"/>
        <v>1867.8640521285029</v>
      </c>
      <c r="AM28" s="10">
        <f t="shared" si="26"/>
        <v>1867.8640521285029</v>
      </c>
      <c r="AN28" s="10">
        <f t="shared" si="27"/>
        <v>373.5728104257006</v>
      </c>
      <c r="AO28" s="10">
        <f t="shared" si="28"/>
        <v>373.5728104257006</v>
      </c>
      <c r="AP28" s="10">
        <f t="shared" si="29"/>
        <v>177.23731661568513</v>
      </c>
      <c r="AQ28" s="10">
        <f t="shared" si="30"/>
        <v>177.23731661568513</v>
      </c>
      <c r="AR28" s="10">
        <f t="shared" si="31"/>
        <v>2.3394578887388242</v>
      </c>
      <c r="AS28" s="10">
        <f t="shared" si="32"/>
        <v>2.3394578887388242</v>
      </c>
      <c r="AT28" s="10">
        <f t="shared" si="33"/>
        <v>2.3394578887388242</v>
      </c>
      <c r="AU28" s="10">
        <f t="shared" si="34"/>
        <v>2.3394578887388242</v>
      </c>
      <c r="AV28" s="10">
        <f t="shared" si="35"/>
        <v>21.055120998649414</v>
      </c>
      <c r="AW28" s="10">
        <f t="shared" si="36"/>
        <v>21.055120998649414</v>
      </c>
      <c r="AX28" s="10">
        <f t="shared" si="37"/>
        <v>64.335091940317668</v>
      </c>
      <c r="AY28" s="10">
        <f t="shared" si="38"/>
        <v>64.335091940317668</v>
      </c>
      <c r="AZ28" s="10">
        <f t="shared" si="39"/>
        <v>5.8486447218470605</v>
      </c>
      <c r="BA28" s="10">
        <f t="shared" si="40"/>
        <v>5.8486447218470605</v>
      </c>
      <c r="BB28" s="10">
        <f t="shared" si="41"/>
        <v>5.8486447218470605</v>
      </c>
      <c r="BC28" s="10">
        <f t="shared" si="42"/>
        <v>5.8486447218470605</v>
      </c>
      <c r="BD28" s="10">
        <f t="shared" si="43"/>
        <v>23.394578887388242</v>
      </c>
      <c r="BE28" s="10">
        <f t="shared" si="44"/>
        <v>23.394578887388242</v>
      </c>
      <c r="BF28" s="10">
        <f t="shared" si="50"/>
        <v>29.243223609235304</v>
      </c>
      <c r="BG28" s="10">
        <f t="shared" si="51"/>
        <v>29.243223609235304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56"/>
      <c r="H29" s="10">
        <f t="shared" si="45"/>
        <v>1223036904073.7473</v>
      </c>
      <c r="I29" s="188">
        <f t="shared" si="0"/>
        <v>1223036904073.7473</v>
      </c>
      <c r="J29" s="10">
        <f t="shared" si="1"/>
        <v>50587106.142103396</v>
      </c>
      <c r="K29" s="10">
        <f t="shared" si="2"/>
        <v>50587106.142103396</v>
      </c>
      <c r="L29" s="10">
        <f t="shared" si="46"/>
        <v>673.50799375020051</v>
      </c>
      <c r="M29" s="10">
        <f t="shared" si="47"/>
        <v>673.50799375020051</v>
      </c>
      <c r="N29" s="10">
        <f t="shared" si="48"/>
        <v>4899.4858377194314</v>
      </c>
      <c r="O29" s="10">
        <f t="shared" si="49"/>
        <v>4899.4858377194314</v>
      </c>
      <c r="P29" s="10">
        <f t="shared" si="3"/>
        <v>94377.681097690831</v>
      </c>
      <c r="Q29" s="10">
        <f t="shared" si="4"/>
        <v>94377.681097690831</v>
      </c>
      <c r="R29" s="10">
        <f t="shared" si="5"/>
        <v>298.42100459399433</v>
      </c>
      <c r="S29" s="10">
        <f t="shared" si="6"/>
        <v>298.42100459399433</v>
      </c>
      <c r="T29" s="10">
        <f t="shared" si="7"/>
        <v>445.62508687189012</v>
      </c>
      <c r="U29" s="10">
        <f t="shared" si="8"/>
        <v>445.62508687189012</v>
      </c>
      <c r="V29" s="10">
        <f t="shared" si="9"/>
        <v>445.62508687189012</v>
      </c>
      <c r="W29" s="10">
        <f t="shared" si="10"/>
        <v>445.62508687189012</v>
      </c>
      <c r="X29" s="10">
        <f t="shared" si="11"/>
        <v>445.62508687189012</v>
      </c>
      <c r="Y29" s="10">
        <f t="shared" si="12"/>
        <v>445.62508687189012</v>
      </c>
      <c r="Z29" s="10">
        <f t="shared" si="13"/>
        <v>445.62508687189012</v>
      </c>
      <c r="AA29" s="10">
        <f t="shared" si="14"/>
        <v>445.62508687189012</v>
      </c>
      <c r="AB29" s="10">
        <f t="shared" si="15"/>
        <v>11423.164684048799</v>
      </c>
      <c r="AC29" s="10">
        <f t="shared" si="16"/>
        <v>11423.164684048799</v>
      </c>
      <c r="AD29" s="10">
        <f t="shared" si="17"/>
        <v>3422.0948895030856</v>
      </c>
      <c r="AE29" s="10">
        <f t="shared" si="18"/>
        <v>3422.0948895030856</v>
      </c>
      <c r="AF29" s="10">
        <f t="shared" si="19"/>
        <v>1711.0474447515428</v>
      </c>
      <c r="AG29" s="10">
        <f t="shared" si="20"/>
        <v>1711.0474447515428</v>
      </c>
      <c r="AH29" s="10">
        <f t="shared" si="21"/>
        <v>342.20948895030858</v>
      </c>
      <c r="AI29" s="10">
        <f t="shared" si="22"/>
        <v>342.20948895030858</v>
      </c>
      <c r="AJ29" s="10">
        <f t="shared" si="23"/>
        <v>3910.8403591440529</v>
      </c>
      <c r="AK29" s="10">
        <f t="shared" si="24"/>
        <v>3910.8403591440529</v>
      </c>
      <c r="AL29" s="10">
        <f t="shared" si="25"/>
        <v>1955.4201795720264</v>
      </c>
      <c r="AM29" s="10">
        <f t="shared" si="26"/>
        <v>1955.4201795720264</v>
      </c>
      <c r="AN29" s="10">
        <f t="shared" si="27"/>
        <v>391.08403591440526</v>
      </c>
      <c r="AO29" s="10">
        <f t="shared" si="28"/>
        <v>391.08403591440526</v>
      </c>
      <c r="AP29" s="10">
        <f t="shared" si="29"/>
        <v>185.54531583204536</v>
      </c>
      <c r="AQ29" s="10">
        <f t="shared" si="30"/>
        <v>185.54531583204536</v>
      </c>
      <c r="AR29" s="10">
        <f t="shared" si="31"/>
        <v>2.4491199772734564</v>
      </c>
      <c r="AS29" s="10">
        <f t="shared" si="32"/>
        <v>2.4491199772734564</v>
      </c>
      <c r="AT29" s="10">
        <f t="shared" si="33"/>
        <v>2.4491199772734564</v>
      </c>
      <c r="AU29" s="10">
        <f t="shared" si="34"/>
        <v>2.4491199772734564</v>
      </c>
      <c r="AV29" s="10">
        <f t="shared" si="35"/>
        <v>22.042079795461106</v>
      </c>
      <c r="AW29" s="10">
        <f t="shared" si="36"/>
        <v>22.042079795461106</v>
      </c>
      <c r="AX29" s="10">
        <f t="shared" si="37"/>
        <v>67.350799375020046</v>
      </c>
      <c r="AY29" s="10">
        <f t="shared" si="38"/>
        <v>67.350799375020046</v>
      </c>
      <c r="AZ29" s="10">
        <f t="shared" si="39"/>
        <v>6.1227999431836411</v>
      </c>
      <c r="BA29" s="10">
        <f t="shared" si="40"/>
        <v>6.1227999431836411</v>
      </c>
      <c r="BB29" s="10">
        <f t="shared" si="41"/>
        <v>6.1227999431836411</v>
      </c>
      <c r="BC29" s="10">
        <f t="shared" si="42"/>
        <v>6.1227999431836411</v>
      </c>
      <c r="BD29" s="10">
        <f t="shared" si="43"/>
        <v>24.491199772734564</v>
      </c>
      <c r="BE29" s="10">
        <f t="shared" si="44"/>
        <v>24.491199772734564</v>
      </c>
      <c r="BF29" s="10">
        <f t="shared" si="50"/>
        <v>30.613999715918208</v>
      </c>
      <c r="BG29" s="10">
        <f t="shared" si="51"/>
        <v>30.613999715918208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57"/>
      <c r="H30" s="10">
        <f t="shared" si="45"/>
        <v>1277799750524.8105</v>
      </c>
      <c r="I30" s="188">
        <f>B30/B$31*C30*I$31</f>
        <v>1277799750524.8105</v>
      </c>
      <c r="J30" s="10">
        <f>B30/B$31*D30*K$31</f>
        <v>52852200.446973696</v>
      </c>
      <c r="K30" s="10">
        <f>B30/B$31*C30*K$31</f>
        <v>52852200.446973696</v>
      </c>
      <c r="L30" s="10">
        <f>B30/B$31*D30*M$31</f>
        <v>703.66506809722443</v>
      </c>
      <c r="M30" s="10">
        <f>B30/B$31*C30*M$31</f>
        <v>703.66506809722443</v>
      </c>
      <c r="N30" s="10">
        <f>B30/B$31*D30*O$31</f>
        <v>5118.8658006023916</v>
      </c>
      <c r="O30" s="10">
        <f>B30/B$31*C30*O$31</f>
        <v>5118.8658006023916</v>
      </c>
      <c r="P30" s="10">
        <f>B30/B$31*D30*Q$31</f>
        <v>98603.547415497887</v>
      </c>
      <c r="Q30" s="10">
        <f>B30/B$31*C30*Q$31</f>
        <v>98603.547415497887</v>
      </c>
      <c r="R30" s="10">
        <f>B30/B$31*D30*S$31</f>
        <v>311.78313912805379</v>
      </c>
      <c r="S30" s="10">
        <f>B30/B$31*C30*S$31</f>
        <v>311.78313912805379</v>
      </c>
      <c r="T30" s="10">
        <f>B30/B$31*D30*U$31</f>
        <v>465.57844897063148</v>
      </c>
      <c r="U30" s="10">
        <f>B30/B$31*C30*U$31</f>
        <v>465.57844897063148</v>
      </c>
      <c r="V30" s="10">
        <f>B30/B$31*D30*W$31</f>
        <v>465.57844897063148</v>
      </c>
      <c r="W30" s="10">
        <f>B30/B$31*C30*W$31</f>
        <v>465.57844897063148</v>
      </c>
      <c r="X30" s="10">
        <f>B30/B$31*D30*Y$31</f>
        <v>465.57844897063148</v>
      </c>
      <c r="Y30" s="10">
        <f>B30/B$31*C30*Y$31</f>
        <v>465.57844897063148</v>
      </c>
      <c r="Z30" s="10">
        <f>B30/B$31*D30*AA$31</f>
        <v>465.57844897063148</v>
      </c>
      <c r="AA30" s="10">
        <f>B30/B$31*C30*AA$31</f>
        <v>465.57844897063148</v>
      </c>
      <c r="AB30" s="10">
        <f>B30/B$31*D30*AC$31</f>
        <v>11934.649669901732</v>
      </c>
      <c r="AC30" s="10">
        <f>B30/B$31*C30*AC$31</f>
        <v>11934.649669901732</v>
      </c>
      <c r="AD30" s="10">
        <f>B30/B$31*D30*AE$31</f>
        <v>3575.3230188838211</v>
      </c>
      <c r="AE30" s="10">
        <f>B30/B$31*C30*AE$31</f>
        <v>3575.3230188838211</v>
      </c>
      <c r="AF30" s="10">
        <f>B30/B$31*D30*AG$31</f>
        <v>1787.6615094419105</v>
      </c>
      <c r="AG30" s="10">
        <f>B30/B$31*C30*AG$31</f>
        <v>1787.6615094419105</v>
      </c>
      <c r="AH30" s="10">
        <f>B30/B$31*D30*AI$31</f>
        <v>357.53230188838211</v>
      </c>
      <c r="AI30" s="10">
        <f>B30/B$31*C30*AI$31</f>
        <v>357.53230188838211</v>
      </c>
      <c r="AJ30" s="10">
        <f>B30/B$31*D30*AK$31</f>
        <v>4085.9526140311</v>
      </c>
      <c r="AK30" s="10">
        <f>B30/B$31*C30*AK$31</f>
        <v>4085.9526140311</v>
      </c>
      <c r="AL30" s="10">
        <f>B30/B$31*D30*AM$31</f>
        <v>2042.97630701555</v>
      </c>
      <c r="AM30" s="10">
        <f>B30/B$31*C30*AM$31</f>
        <v>2042.97630701555</v>
      </c>
      <c r="AN30" s="10">
        <f>B30/B$31*D30*AO$31</f>
        <v>408.59526140311004</v>
      </c>
      <c r="AO30" s="10">
        <f>B30/B$31*C30*AO$31</f>
        <v>408.59526140311004</v>
      </c>
      <c r="AP30" s="10">
        <f>B30/B$31*D30*AQ$31</f>
        <v>193.85331504840562</v>
      </c>
      <c r="AQ30" s="10">
        <f>B30/B$31*C30*AQ$31</f>
        <v>193.85331504840562</v>
      </c>
      <c r="AR30" s="10">
        <f>B30/B$31*D30*AS$31</f>
        <v>2.5587820658080891</v>
      </c>
      <c r="AS30" s="10">
        <f>B30/B$31*C30*AS$31</f>
        <v>2.5587820658080891</v>
      </c>
      <c r="AT30" s="10">
        <f>B30/B$31*D30*AU$31</f>
        <v>2.5587820658080891</v>
      </c>
      <c r="AU30" s="10">
        <f>B30/B$31*C30*AU$31</f>
        <v>2.5587820658080891</v>
      </c>
      <c r="AV30" s="10">
        <f>B30/B$31*D30*AW$31</f>
        <v>23.029038592272798</v>
      </c>
      <c r="AW30" s="10">
        <f>B30/B$31*C30*AW$31</f>
        <v>23.029038592272798</v>
      </c>
      <c r="AX30" s="10">
        <f>B30/B$31*D30*AY$31</f>
        <v>70.366506809722452</v>
      </c>
      <c r="AY30" s="10">
        <f>B30/B$31*C30*AY$31</f>
        <v>70.366506809722452</v>
      </c>
      <c r="AZ30" s="10">
        <f>B30/B$31*D30*BA$31</f>
        <v>6.3969551645202225</v>
      </c>
      <c r="BA30" s="10">
        <f>B30/B$31*C30*BA$31</f>
        <v>6.3969551645202225</v>
      </c>
      <c r="BB30" s="10">
        <f>B30/B$31*D30*BC$31</f>
        <v>6.3969551645202225</v>
      </c>
      <c r="BC30" s="10">
        <f>B30/B$31*C30*BC$31</f>
        <v>6.3969551645202225</v>
      </c>
      <c r="BD30" s="10">
        <f>B30/B$31*D30*BE$31</f>
        <v>25.58782065808089</v>
      </c>
      <c r="BE30" s="10">
        <f>B30/B$31*C30*BE$31</f>
        <v>25.58782065808089</v>
      </c>
      <c r="BF30" s="10">
        <f>B30/B$31*D30*BG$31</f>
        <v>31.984775822601115</v>
      </c>
      <c r="BG30" s="10">
        <f t="shared" si="51"/>
        <v>31.984775822601115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3756</v>
      </c>
      <c r="B31" s="170">
        <f>SUM(B4:B30)</f>
        <v>1643.45</v>
      </c>
      <c r="C31" s="10"/>
      <c r="D31" s="10"/>
      <c r="E31" s="171"/>
      <c r="F31" s="171"/>
      <c r="G31" s="189" t="s">
        <v>3797</v>
      </c>
      <c r="H31" s="172"/>
      <c r="I31" s="187" t="s">
        <v>3757</v>
      </c>
      <c r="J31" s="15"/>
      <c r="K31" s="10">
        <f>官职!AC16+官印!AA105+转生!Z23+龙魂炼体!N53+附件合成!Y103+装备强化!W39+装备注灵!AF48+火龙元神!Q12</f>
        <v>62042820.588984944</v>
      </c>
      <c r="L31" s="10"/>
      <c r="M31" s="10">
        <f>天尊洗炼!Y12</f>
        <v>826.02739726027391</v>
      </c>
      <c r="N31" s="10"/>
      <c r="O31" s="10">
        <f>官职!AD16+转生!AA23</f>
        <v>6009</v>
      </c>
      <c r="P31" s="10"/>
      <c r="Q31" s="10">
        <f>官印!AB105</f>
        <v>115750</v>
      </c>
      <c r="R31" s="10"/>
      <c r="S31" s="10">
        <f>转生!AB23</f>
        <v>366</v>
      </c>
      <c r="T31" s="10"/>
      <c r="U31" s="10">
        <f>龙魂炼体!M53/4</f>
        <v>546.53921568627447</v>
      </c>
      <c r="V31" s="10"/>
      <c r="W31" s="10">
        <f>龙魂炼体!M53/4</f>
        <v>546.53921568627447</v>
      </c>
      <c r="X31" s="10"/>
      <c r="Y31" s="10">
        <f>龙魂炼体!M53/4</f>
        <v>546.53921568627447</v>
      </c>
      <c r="Z31" s="10"/>
      <c r="AA31" s="10">
        <f>龙魂炼体!M53/4</f>
        <v>546.53921568627447</v>
      </c>
      <c r="AB31" s="10"/>
      <c r="AC31" s="10">
        <f>附件合成!X103</f>
        <v>14010</v>
      </c>
      <c r="AD31" s="10"/>
      <c r="AE31" s="10">
        <f>装备强化!V39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装备注灵!AE48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火龙元神!P12</f>
        <v>227.56302186878727</v>
      </c>
      <c r="AR31" s="10"/>
      <c r="AS31" s="10">
        <f>天尊洗炼!V12*1/11</f>
        <v>3.0037359900373599</v>
      </c>
      <c r="AT31" s="10"/>
      <c r="AU31" s="10">
        <f>天尊洗炼!V12*1/11</f>
        <v>3.0037359900373599</v>
      </c>
      <c r="AV31" s="10"/>
      <c r="AW31" s="10">
        <f>天尊洗炼!V12*9/11</f>
        <v>27.033623910336235</v>
      </c>
      <c r="AX31" s="10"/>
      <c r="AY31" s="10">
        <f>天尊洗炼!X12</f>
        <v>82.602739726027394</v>
      </c>
      <c r="AZ31" s="10"/>
      <c r="BA31" s="10">
        <f>天尊洗炼!W12*1/11</f>
        <v>7.5093399750933996</v>
      </c>
      <c r="BB31" s="10"/>
      <c r="BC31" s="10">
        <f>天尊洗炼!W12*1/11</f>
        <v>7.5093399750933996</v>
      </c>
      <c r="BD31" s="10"/>
      <c r="BE31" s="10">
        <f>天尊洗炼!W12*4/11</f>
        <v>30.037359900373598</v>
      </c>
      <c r="BF31" s="10"/>
      <c r="BG31" s="10">
        <f>天尊洗炼!W12*5/11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AX2:AY2"/>
    <mergeCell ref="AZ2:BA2"/>
    <mergeCell ref="BB2:BC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  <mergeCell ref="L2:M2"/>
    <mergeCell ref="N2:O2"/>
    <mergeCell ref="P2:Q2"/>
    <mergeCell ref="R2:S2"/>
    <mergeCell ref="T2:U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13" workbookViewId="0">
      <selection activeCell="K26" sqref="K26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58" t="s">
        <v>87</v>
      </c>
      <c r="C3" s="258"/>
      <c r="D3" s="178"/>
      <c r="E3" s="259" t="s">
        <v>90</v>
      </c>
      <c r="F3" s="259"/>
      <c r="G3" s="179"/>
      <c r="H3" s="260" t="s">
        <v>93</v>
      </c>
      <c r="I3" s="260"/>
      <c r="K3" s="260" t="s">
        <v>3759</v>
      </c>
      <c r="L3" s="260"/>
    </row>
    <row r="4" spans="2:26" ht="18" x14ac:dyDescent="0.2">
      <c r="B4" s="173" t="s">
        <v>3760</v>
      </c>
      <c r="C4" s="173" t="s">
        <v>3761</v>
      </c>
      <c r="D4" s="180"/>
      <c r="E4" s="173" t="s">
        <v>3760</v>
      </c>
      <c r="F4" s="173" t="s">
        <v>3761</v>
      </c>
      <c r="G4" s="180"/>
      <c r="H4" s="173" t="s">
        <v>3760</v>
      </c>
      <c r="I4" s="173" t="s">
        <v>3761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3762</v>
      </c>
      <c r="N5" t="s">
        <v>3763</v>
      </c>
      <c r="O5" t="s">
        <v>3764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3762</v>
      </c>
      <c r="N6" t="s">
        <v>3765</v>
      </c>
      <c r="O6" t="s">
        <v>3766</v>
      </c>
    </row>
    <row r="7" spans="2:26" ht="16.5" x14ac:dyDescent="0.2">
      <c r="B7" s="10" t="s">
        <v>2393</v>
      </c>
      <c r="C7" s="10">
        <v>43.2</v>
      </c>
      <c r="D7" s="13"/>
      <c r="E7" s="10" t="s">
        <v>2393</v>
      </c>
      <c r="F7" s="10">
        <v>43.2</v>
      </c>
      <c r="G7" s="13"/>
      <c r="H7" s="10" t="s">
        <v>2393</v>
      </c>
      <c r="I7" s="10">
        <v>43.2</v>
      </c>
    </row>
    <row r="8" spans="2:26" ht="16.5" x14ac:dyDescent="0.2">
      <c r="B8" s="10" t="s">
        <v>2394</v>
      </c>
      <c r="C8" s="10">
        <v>43.2</v>
      </c>
      <c r="D8" s="13"/>
      <c r="E8" s="10" t="s">
        <v>2394</v>
      </c>
      <c r="F8" s="10">
        <v>43.2</v>
      </c>
      <c r="G8" s="13"/>
      <c r="H8" s="10" t="s">
        <v>2394</v>
      </c>
      <c r="I8" s="10">
        <v>43.2</v>
      </c>
    </row>
    <row r="9" spans="2:26" ht="16.5" x14ac:dyDescent="0.2">
      <c r="B9" s="10" t="s">
        <v>2397</v>
      </c>
      <c r="C9" s="10">
        <v>13.2</v>
      </c>
      <c r="D9" s="13"/>
      <c r="E9" s="10" t="s">
        <v>2397</v>
      </c>
      <c r="F9" s="10">
        <v>14.4</v>
      </c>
      <c r="G9" s="13"/>
      <c r="H9" s="10" t="s">
        <v>2397</v>
      </c>
      <c r="I9" s="10">
        <v>13.2</v>
      </c>
    </row>
    <row r="10" spans="2:26" ht="16.5" x14ac:dyDescent="0.2">
      <c r="B10" s="10" t="s">
        <v>2398</v>
      </c>
      <c r="C10" s="10">
        <v>19.2</v>
      </c>
      <c r="D10" s="13"/>
      <c r="E10" s="10" t="s">
        <v>2398</v>
      </c>
      <c r="F10" s="10">
        <v>21.6</v>
      </c>
      <c r="G10" s="13"/>
      <c r="H10" s="10" t="s">
        <v>2398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1930</v>
      </c>
      <c r="C13" s="181">
        <v>20</v>
      </c>
      <c r="D13" s="182"/>
      <c r="E13" s="181" t="s">
        <v>1930</v>
      </c>
      <c r="F13" s="181">
        <v>20</v>
      </c>
      <c r="G13" s="182"/>
      <c r="H13" s="181" t="s">
        <v>1930</v>
      </c>
      <c r="I13" s="181">
        <v>20</v>
      </c>
    </row>
    <row r="14" spans="2:26" ht="16.5" x14ac:dyDescent="0.2">
      <c r="B14" s="181" t="s">
        <v>3643</v>
      </c>
      <c r="C14" s="181">
        <v>20</v>
      </c>
      <c r="D14" s="182"/>
      <c r="E14" s="181" t="s">
        <v>3643</v>
      </c>
      <c r="F14" s="181">
        <v>20</v>
      </c>
      <c r="G14" s="182"/>
      <c r="H14" s="181" t="s">
        <v>3643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1933</v>
      </c>
      <c r="C15" s="181">
        <v>159.6</v>
      </c>
      <c r="D15" s="182"/>
      <c r="E15" s="181" t="s">
        <v>1933</v>
      </c>
      <c r="F15" s="181">
        <v>159.6</v>
      </c>
      <c r="G15" s="182"/>
      <c r="H15" s="181" t="s">
        <v>1933</v>
      </c>
      <c r="I15" s="181">
        <v>159.6</v>
      </c>
    </row>
    <row r="16" spans="2:26" ht="16.5" x14ac:dyDescent="0.2">
      <c r="B16" s="181" t="s">
        <v>3634</v>
      </c>
      <c r="C16" s="181">
        <v>79.8</v>
      </c>
      <c r="D16" s="182"/>
      <c r="E16" s="181" t="s">
        <v>3634</v>
      </c>
      <c r="F16" s="181">
        <v>79.8</v>
      </c>
      <c r="G16" s="182"/>
      <c r="H16" s="181" t="s">
        <v>3634</v>
      </c>
      <c r="I16" s="181">
        <v>79.8</v>
      </c>
    </row>
    <row r="17" spans="2:9" ht="16.5" x14ac:dyDescent="0.2">
      <c r="B17" s="181" t="s">
        <v>3767</v>
      </c>
      <c r="C17" s="181">
        <v>159.6</v>
      </c>
      <c r="D17" s="182"/>
      <c r="E17" s="181" t="s">
        <v>3767</v>
      </c>
      <c r="F17" s="181">
        <v>159.6</v>
      </c>
      <c r="G17" s="182"/>
      <c r="H17" s="181" t="s">
        <v>3767</v>
      </c>
      <c r="I17" s="181">
        <v>159.6</v>
      </c>
    </row>
    <row r="18" spans="2:9" ht="16.5" x14ac:dyDescent="0.2">
      <c r="B18" s="181" t="s">
        <v>3768</v>
      </c>
      <c r="C18" s="181">
        <v>63.6</v>
      </c>
      <c r="D18" s="182"/>
      <c r="E18" s="181" t="s">
        <v>3768</v>
      </c>
      <c r="F18" s="181">
        <v>63.6</v>
      </c>
      <c r="G18" s="182"/>
      <c r="H18" s="181" t="s">
        <v>3768</v>
      </c>
      <c r="I18" s="181">
        <v>63.6</v>
      </c>
    </row>
    <row r="19" spans="2:9" ht="16.5" x14ac:dyDescent="0.2">
      <c r="B19" s="181" t="s">
        <v>1932</v>
      </c>
      <c r="C19" s="181">
        <v>259.2</v>
      </c>
      <c r="D19" s="182"/>
      <c r="E19" s="181" t="s">
        <v>1932</v>
      </c>
      <c r="F19" s="181">
        <v>259.2</v>
      </c>
      <c r="G19" s="182"/>
      <c r="H19" s="181" t="s">
        <v>1932</v>
      </c>
      <c r="I19" s="181">
        <v>259.2</v>
      </c>
    </row>
    <row r="20" spans="2:9" ht="16.5" x14ac:dyDescent="0.2">
      <c r="B20" s="181" t="s">
        <v>1934</v>
      </c>
      <c r="C20" s="181">
        <v>259.2</v>
      </c>
      <c r="D20" s="182"/>
      <c r="E20" s="181" t="s">
        <v>1934</v>
      </c>
      <c r="F20" s="181">
        <v>259.2</v>
      </c>
      <c r="G20" s="182"/>
      <c r="H20" s="181" t="s">
        <v>1934</v>
      </c>
      <c r="I20" s="181">
        <v>259.2</v>
      </c>
    </row>
    <row r="21" spans="2:9" ht="16.5" x14ac:dyDescent="0.2">
      <c r="B21" s="181" t="s">
        <v>1935</v>
      </c>
      <c r="C21" s="181">
        <v>259.2</v>
      </c>
      <c r="D21" s="182"/>
      <c r="E21" s="181" t="s">
        <v>1935</v>
      </c>
      <c r="F21" s="181">
        <v>259.2</v>
      </c>
      <c r="G21" s="182"/>
      <c r="H21" s="181" t="s">
        <v>1935</v>
      </c>
      <c r="I21" s="181">
        <v>259.2</v>
      </c>
    </row>
    <row r="22" spans="2:9" ht="16.5" x14ac:dyDescent="0.2">
      <c r="B22" s="181" t="s">
        <v>2385</v>
      </c>
      <c r="C22" s="181">
        <v>0.51839999999999997</v>
      </c>
      <c r="D22" s="182"/>
      <c r="E22" s="181" t="s">
        <v>2385</v>
      </c>
      <c r="F22" s="181">
        <v>0.51839999999999997</v>
      </c>
      <c r="G22" s="182"/>
      <c r="H22" s="181" t="s">
        <v>2385</v>
      </c>
      <c r="I22" s="181">
        <v>0.51839999999999997</v>
      </c>
    </row>
    <row r="23" spans="2:9" ht="16.5" x14ac:dyDescent="0.2">
      <c r="B23" s="181" t="s">
        <v>3648</v>
      </c>
      <c r="C23" s="181">
        <v>0.51839999999999997</v>
      </c>
      <c r="D23" s="182"/>
      <c r="E23" s="181" t="s">
        <v>3648</v>
      </c>
      <c r="F23" s="181">
        <v>0.51839999999999997</v>
      </c>
      <c r="G23" s="182"/>
      <c r="H23" s="181" t="s">
        <v>3648</v>
      </c>
      <c r="I23" s="181">
        <v>0.51839999999999997</v>
      </c>
    </row>
    <row r="24" spans="2:9" ht="16.5" x14ac:dyDescent="0.2">
      <c r="B24" s="181" t="s">
        <v>3641</v>
      </c>
      <c r="C24" s="181">
        <v>259.2</v>
      </c>
      <c r="D24" s="182"/>
      <c r="E24" s="181" t="s">
        <v>3641</v>
      </c>
      <c r="F24" s="181">
        <v>259.2</v>
      </c>
      <c r="G24" s="182"/>
      <c r="H24" s="181" t="s">
        <v>3641</v>
      </c>
      <c r="I24" s="181">
        <v>259.2</v>
      </c>
    </row>
    <row r="25" spans="2:9" ht="16.5" x14ac:dyDescent="0.2">
      <c r="B25" s="181" t="s">
        <v>2386</v>
      </c>
      <c r="C25" s="181">
        <v>2.5920000000000001</v>
      </c>
      <c r="D25" s="182"/>
      <c r="E25" s="181" t="s">
        <v>2386</v>
      </c>
      <c r="F25" s="181">
        <v>2.5920000000000001</v>
      </c>
      <c r="G25" s="182"/>
      <c r="H25" s="181" t="s">
        <v>2386</v>
      </c>
      <c r="I25" s="181">
        <v>2.5920000000000001</v>
      </c>
    </row>
    <row r="26" spans="2:9" ht="16.5" x14ac:dyDescent="0.2">
      <c r="B26" s="181" t="s">
        <v>2851</v>
      </c>
      <c r="C26" s="181">
        <v>64.8</v>
      </c>
      <c r="D26" s="182"/>
      <c r="E26" s="181" t="s">
        <v>2851</v>
      </c>
      <c r="F26" s="181">
        <v>64.8</v>
      </c>
      <c r="G26" s="182"/>
      <c r="H26" s="181" t="s">
        <v>2851</v>
      </c>
      <c r="I26" s="181">
        <v>64.8</v>
      </c>
    </row>
    <row r="27" spans="2:9" ht="16.5" x14ac:dyDescent="0.2">
      <c r="B27" s="181" t="s">
        <v>2853</v>
      </c>
      <c r="C27" s="181">
        <v>259.2</v>
      </c>
      <c r="D27" s="182"/>
      <c r="E27" s="181" t="s">
        <v>2853</v>
      </c>
      <c r="F27" s="181">
        <v>259.2</v>
      </c>
      <c r="G27" s="182"/>
      <c r="H27" s="181" t="s">
        <v>2853</v>
      </c>
      <c r="I27" s="181">
        <v>259.2</v>
      </c>
    </row>
    <row r="28" spans="2:9" ht="16.5" x14ac:dyDescent="0.2">
      <c r="B28" s="181" t="s">
        <v>3646</v>
      </c>
      <c r="C28" s="181">
        <v>81</v>
      </c>
      <c r="D28" s="182"/>
      <c r="E28" s="181" t="s">
        <v>3646</v>
      </c>
      <c r="F28" s="181">
        <v>81</v>
      </c>
      <c r="G28" s="182"/>
      <c r="H28" s="181" t="s">
        <v>3646</v>
      </c>
      <c r="I28" s="181">
        <v>81</v>
      </c>
    </row>
    <row r="29" spans="2:9" ht="16.5" x14ac:dyDescent="0.2">
      <c r="B29" s="181" t="s">
        <v>3647</v>
      </c>
      <c r="C29" s="181">
        <v>81</v>
      </c>
      <c r="D29" s="182"/>
      <c r="E29" s="181" t="s">
        <v>3647</v>
      </c>
      <c r="F29" s="181">
        <v>81</v>
      </c>
      <c r="G29" s="182"/>
      <c r="H29" s="181" t="s">
        <v>3647</v>
      </c>
      <c r="I29" s="181">
        <v>81</v>
      </c>
    </row>
    <row r="30" spans="2:9" ht="16.5" x14ac:dyDescent="0.2">
      <c r="B30" s="181" t="s">
        <v>3769</v>
      </c>
      <c r="C30" s="181">
        <v>2.5920000000000001</v>
      </c>
      <c r="D30" s="182"/>
      <c r="E30" s="181" t="s">
        <v>3769</v>
      </c>
      <c r="F30" s="181">
        <v>2.5920000000000001</v>
      </c>
      <c r="G30" s="182"/>
      <c r="H30" s="181" t="s">
        <v>3769</v>
      </c>
      <c r="I30" s="181">
        <v>2.5920000000000001</v>
      </c>
    </row>
    <row r="31" spans="2:9" ht="16.5" x14ac:dyDescent="0.2">
      <c r="B31" s="181" t="s">
        <v>3159</v>
      </c>
      <c r="C31" s="181">
        <v>259.2</v>
      </c>
      <c r="D31" s="182"/>
      <c r="E31" s="181" t="s">
        <v>3159</v>
      </c>
      <c r="F31" s="181">
        <v>259.2</v>
      </c>
      <c r="G31" s="182"/>
      <c r="H31" s="181" t="s">
        <v>3159</v>
      </c>
      <c r="I31" s="181">
        <v>259.2</v>
      </c>
    </row>
    <row r="32" spans="2:9" ht="16.5" x14ac:dyDescent="0.2">
      <c r="B32" s="181" t="s">
        <v>3166</v>
      </c>
      <c r="C32" s="181">
        <v>259.2</v>
      </c>
      <c r="D32" s="182"/>
      <c r="E32" s="181" t="s">
        <v>3166</v>
      </c>
      <c r="F32" s="181">
        <v>259.2</v>
      </c>
      <c r="G32" s="182"/>
      <c r="H32" s="181" t="s">
        <v>3166</v>
      </c>
      <c r="I32" s="181">
        <v>259.2</v>
      </c>
    </row>
    <row r="33" spans="2:9" ht="16.5" x14ac:dyDescent="0.2">
      <c r="B33" s="181" t="s">
        <v>3644</v>
      </c>
      <c r="C33" s="181">
        <v>18.579999999999998</v>
      </c>
      <c r="D33" s="182"/>
      <c r="E33" s="181" t="s">
        <v>3644</v>
      </c>
      <c r="F33" s="181">
        <v>57.29</v>
      </c>
      <c r="G33" s="182"/>
      <c r="H33" s="181" t="s">
        <v>3644</v>
      </c>
      <c r="I33" s="181">
        <v>18.579999999999998</v>
      </c>
    </row>
    <row r="34" spans="2:9" ht="16.5" x14ac:dyDescent="0.2">
      <c r="B34" s="181" t="s">
        <v>3645</v>
      </c>
      <c r="C34" s="181">
        <v>46.22</v>
      </c>
      <c r="D34" s="182"/>
      <c r="E34" s="181" t="s">
        <v>3645</v>
      </c>
      <c r="F34" s="181">
        <v>7.5010000000000003</v>
      </c>
      <c r="G34" s="182"/>
      <c r="H34" s="181" t="s">
        <v>3645</v>
      </c>
      <c r="I34" s="181">
        <v>46.22</v>
      </c>
    </row>
    <row r="35" spans="2:9" ht="16.5" x14ac:dyDescent="0.2">
      <c r="B35" s="181" t="s">
        <v>3770</v>
      </c>
      <c r="C35" s="181">
        <v>950.4</v>
      </c>
      <c r="D35" s="182"/>
      <c r="E35" s="181" t="s">
        <v>3770</v>
      </c>
      <c r="F35" s="181">
        <v>950.4</v>
      </c>
      <c r="G35" s="182"/>
      <c r="H35" s="181" t="s">
        <v>3770</v>
      </c>
      <c r="I35" s="181">
        <v>950.4</v>
      </c>
    </row>
    <row r="36" spans="2:9" ht="16.5" x14ac:dyDescent="0.2">
      <c r="B36" s="181" t="s">
        <v>1931</v>
      </c>
      <c r="C36" s="181">
        <v>2592</v>
      </c>
      <c r="D36" s="182"/>
      <c r="E36" s="181" t="s">
        <v>1931</v>
      </c>
      <c r="F36" s="181">
        <v>2592</v>
      </c>
      <c r="G36" s="182"/>
      <c r="H36" s="181" t="s">
        <v>1931</v>
      </c>
      <c r="I36" s="181">
        <v>2592</v>
      </c>
    </row>
    <row r="37" spans="2:9" ht="16.5" x14ac:dyDescent="0.2">
      <c r="B37" s="181" t="s">
        <v>3774</v>
      </c>
      <c r="C37" s="181">
        <v>23.4</v>
      </c>
      <c r="E37" s="181" t="s">
        <v>3774</v>
      </c>
      <c r="F37" s="181">
        <v>23.4</v>
      </c>
      <c r="H37" s="181" t="s">
        <v>3774</v>
      </c>
      <c r="I37" s="181">
        <v>23.4</v>
      </c>
    </row>
    <row r="38" spans="2:9" ht="16.5" x14ac:dyDescent="0.2">
      <c r="B38" s="181" t="s">
        <v>3775</v>
      </c>
      <c r="C38" s="181">
        <v>5.82</v>
      </c>
      <c r="E38" s="181" t="s">
        <v>3775</v>
      </c>
      <c r="F38" s="181">
        <v>5.82</v>
      </c>
      <c r="H38" s="181" t="s">
        <v>3775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topLeftCell="H1" workbookViewId="0">
      <pane ySplit="1" topLeftCell="A41" activePane="bottomLeft" state="frozen"/>
      <selection activeCell="F1" sqref="F1"/>
      <selection pane="bottomLeft" activeCell="Q10" sqref="Q10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18" x14ac:dyDescent="0.2"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1972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3758</v>
      </c>
      <c r="X1" s="93" t="s">
        <v>3782</v>
      </c>
    </row>
    <row r="2" spans="1:24" ht="18" customHeight="1" x14ac:dyDescent="0.3">
      <c r="A2" s="261" t="s">
        <v>1973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62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62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62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62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63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pageMargins left="0.7" right="0.7" top="0.75" bottom="0.75" header="0.3" footer="0.3"/>
  <ignoredErrors>
    <ignoredError sqref="N251 P251 R251 T25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D112"/>
  <sheetViews>
    <sheetView workbookViewId="0">
      <selection activeCell="I11" sqref="I11"/>
    </sheetView>
  </sheetViews>
  <sheetFormatPr defaultRowHeight="14.25" x14ac:dyDescent="0.2"/>
  <cols>
    <col min="3" max="3" width="17.75" customWidth="1"/>
    <col min="6" max="6" width="13.25" customWidth="1"/>
    <col min="7" max="7" width="12.75" customWidth="1"/>
    <col min="8" max="8" width="93.875" bestFit="1" customWidth="1"/>
    <col min="9" max="9" width="31.375" style="1" customWidth="1"/>
    <col min="12" max="12" width="9.75" bestFit="1" customWidth="1"/>
    <col min="13" max="13" width="9.75" customWidth="1"/>
    <col min="14" max="14" width="9.125" style="94" bestFit="1" customWidth="1"/>
    <col min="15" max="15" width="9" style="94"/>
    <col min="16" max="25" width="9.125" style="94" bestFit="1" customWidth="1"/>
    <col min="26" max="26" width="12" bestFit="1" customWidth="1"/>
    <col min="27" max="27" width="10.75" bestFit="1" customWidth="1"/>
    <col min="28" max="28" width="9.875" bestFit="1" customWidth="1"/>
    <col min="29" max="30" width="16.375" bestFit="1" customWidth="1"/>
  </cols>
  <sheetData>
    <row r="1" spans="1:30" s="31" customFormat="1" ht="18" x14ac:dyDescent="0.2">
      <c r="A1" s="21" t="s">
        <v>49</v>
      </c>
      <c r="B1" s="21" t="s">
        <v>50</v>
      </c>
      <c r="C1" s="21" t="s">
        <v>54</v>
      </c>
      <c r="D1" s="21" t="s">
        <v>55</v>
      </c>
      <c r="E1" s="21" t="s">
        <v>56</v>
      </c>
      <c r="F1" s="21" t="s">
        <v>109</v>
      </c>
      <c r="G1" s="21" t="s">
        <v>57</v>
      </c>
      <c r="H1" s="21" t="s">
        <v>77</v>
      </c>
      <c r="I1" s="21" t="s">
        <v>62</v>
      </c>
      <c r="J1" s="21" t="s">
        <v>61</v>
      </c>
      <c r="K1" s="21"/>
      <c r="L1" s="21" t="s">
        <v>55</v>
      </c>
      <c r="M1" s="21" t="s">
        <v>3798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3758</v>
      </c>
      <c r="AA1" s="63" t="s">
        <v>3777</v>
      </c>
      <c r="AB1" s="63" t="s">
        <v>3779</v>
      </c>
      <c r="AC1" s="63" t="s">
        <v>3799</v>
      </c>
      <c r="AD1" s="63" t="s">
        <v>3801</v>
      </c>
    </row>
    <row r="2" spans="1:30" ht="16.5" x14ac:dyDescent="0.3">
      <c r="A2" s="22" t="s">
        <v>29</v>
      </c>
      <c r="B2" s="22" t="s">
        <v>30</v>
      </c>
      <c r="C2" s="23" t="s">
        <v>110</v>
      </c>
      <c r="D2" s="22">
        <v>0</v>
      </c>
      <c r="E2" s="22"/>
      <c r="F2" s="22"/>
      <c r="G2" s="22"/>
      <c r="H2" s="22"/>
      <c r="I2" s="39"/>
      <c r="J2" s="22"/>
      <c r="K2" s="22"/>
      <c r="L2" s="22">
        <v>0</v>
      </c>
      <c r="M2" s="22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8">
        <f>N2*属性价值参考!C$5+官印!P2*属性价值参考!C$7+官印!Q2*属性价值参考!C$8+官印!V2*属性价值参考!C$9+官印!W2*属性价值参考!C$10+官印!X2*属性价值参考!C$11+官印!Y2*属性价值参考!C$12</f>
        <v>0</v>
      </c>
      <c r="AA2" s="8">
        <f t="shared" ref="AA2:AA65" si="0">Z2/0.6*100</f>
        <v>0</v>
      </c>
      <c r="AB2" s="8">
        <f t="shared" ref="AB2:AB65" si="1">Z2/0.6</f>
        <v>0</v>
      </c>
      <c r="AC2" s="8"/>
      <c r="AD2" s="8"/>
    </row>
    <row r="3" spans="1:30" ht="16.5" x14ac:dyDescent="0.3">
      <c r="A3" s="22" t="s">
        <v>29</v>
      </c>
      <c r="B3" s="22" t="s">
        <v>30</v>
      </c>
      <c r="C3" s="23" t="s">
        <v>111</v>
      </c>
      <c r="D3" s="22">
        <v>1</v>
      </c>
      <c r="E3" s="22"/>
      <c r="F3" s="22" t="s">
        <v>112</v>
      </c>
      <c r="G3" s="22"/>
      <c r="H3" s="62" t="str">
        <f t="shared" ref="H3:H66" si="2">"3#1#"&amp;N3&amp;"|"&amp;"3#3#"&amp;P3&amp;"|"&amp;"3#4#"&amp;Q3&amp;"|"&amp;"3#5#"&amp;R3&amp;"|"&amp;"3#6#"&amp;S3&amp;"|"&amp;"3#7#"&amp;T3&amp;"|"&amp;"3#6#"&amp;S3&amp;"|"&amp;"3#8#"&amp;U3&amp;"|"&amp;"3#9#"&amp;V3&amp;"|"&amp;"3#10#"&amp;W3&amp;"|"&amp;"3#11#"&amp;X3&amp;"|"&amp;"3#12#"&amp;Y3</f>
        <v>3#1#20|3#3#1|3#4#2|3#5#1|3#6#2|3#7#1|3#6#2|3#8#2|3#9#0|3#10#1|3#11#0|3#12#1</v>
      </c>
      <c r="I3" s="40" t="str">
        <f>"元宝"&amp;AC3&amp;"/声望"&amp;AD3</f>
        <v>元宝14200/声望210</v>
      </c>
      <c r="J3" s="22"/>
      <c r="K3" s="22"/>
      <c r="L3" s="22">
        <v>1</v>
      </c>
      <c r="M3" s="22">
        <f>材料产出!C4</f>
        <v>0.5</v>
      </c>
      <c r="N3" s="97">
        <f>INT(1/5*N7)</f>
        <v>20</v>
      </c>
      <c r="O3" s="97"/>
      <c r="P3" s="97">
        <f t="shared" ref="P3:Y3" si="3">INT(1/5*P7)</f>
        <v>1</v>
      </c>
      <c r="Q3" s="97">
        <f t="shared" si="3"/>
        <v>2</v>
      </c>
      <c r="R3" s="97">
        <f t="shared" si="3"/>
        <v>1</v>
      </c>
      <c r="S3" s="97">
        <f t="shared" si="3"/>
        <v>2</v>
      </c>
      <c r="T3" s="97">
        <f t="shared" si="3"/>
        <v>1</v>
      </c>
      <c r="U3" s="97">
        <f t="shared" si="3"/>
        <v>2</v>
      </c>
      <c r="V3" s="97">
        <f t="shared" si="3"/>
        <v>0</v>
      </c>
      <c r="W3" s="97">
        <f t="shared" si="3"/>
        <v>1</v>
      </c>
      <c r="X3" s="97">
        <f t="shared" si="3"/>
        <v>0</v>
      </c>
      <c r="Y3" s="97">
        <f t="shared" si="3"/>
        <v>1</v>
      </c>
      <c r="Z3" s="8">
        <f>N3*属性价值参考!C$5+官印!P3*属性价值参考!C$7+官印!Q3*属性价值参考!C$8+官印!V3*属性价值参考!C$9+官印!W3*属性价值参考!C$10+官印!X3*属性价值参考!C$11+官印!Y3*属性价值参考!C$12</f>
        <v>264</v>
      </c>
      <c r="AA3" s="8">
        <f t="shared" si="0"/>
        <v>44000</v>
      </c>
      <c r="AB3" s="8">
        <f t="shared" si="1"/>
        <v>440</v>
      </c>
      <c r="AC3" s="8">
        <f>ROUND($AA$105/材料产出!$K$31*SUM(材料产出!$K$4:$K$6)/100,0)*100</f>
        <v>14200</v>
      </c>
      <c r="AD3" s="8">
        <f>ROUND($AB$105/材料产出!$Q$31*SUM(材料产出!$P$4:$P$6)/10,0)*10</f>
        <v>210</v>
      </c>
    </row>
    <row r="4" spans="1:30" ht="16.5" x14ac:dyDescent="0.3">
      <c r="A4" s="22" t="s">
        <v>29</v>
      </c>
      <c r="B4" s="22" t="s">
        <v>30</v>
      </c>
      <c r="C4" s="23" t="s">
        <v>111</v>
      </c>
      <c r="D4" s="22">
        <v>2</v>
      </c>
      <c r="E4" s="22"/>
      <c r="F4" s="22" t="s">
        <v>112</v>
      </c>
      <c r="G4" s="22"/>
      <c r="H4" s="62" t="str">
        <f t="shared" si="2"/>
        <v>3#1#40|3#3#2|3#4#4|3#5#2|3#6#4|3#7#2|3#6#4|3#8#4|3#9#0|3#10#2|3#11#0|3#12#2</v>
      </c>
      <c r="I4" s="40" t="str">
        <f t="shared" ref="I4:I67" si="4">"元宝"&amp;AC4&amp;"/声望"&amp;AD4</f>
        <v>元宝14200/声望210</v>
      </c>
      <c r="J4" s="22"/>
      <c r="K4" s="22"/>
      <c r="L4" s="22">
        <v>1</v>
      </c>
      <c r="M4" s="22">
        <f>材料产出!C4</f>
        <v>0.5</v>
      </c>
      <c r="N4" s="97">
        <f>INT(2/5*N7)</f>
        <v>40</v>
      </c>
      <c r="O4" s="97"/>
      <c r="P4" s="97">
        <f t="shared" ref="P4:Y4" si="5">INT(2/5*P7)</f>
        <v>2</v>
      </c>
      <c r="Q4" s="97">
        <f t="shared" si="5"/>
        <v>4</v>
      </c>
      <c r="R4" s="97">
        <f t="shared" si="5"/>
        <v>2</v>
      </c>
      <c r="S4" s="97">
        <f t="shared" si="5"/>
        <v>4</v>
      </c>
      <c r="T4" s="97">
        <f t="shared" si="5"/>
        <v>2</v>
      </c>
      <c r="U4" s="97">
        <f t="shared" si="5"/>
        <v>4</v>
      </c>
      <c r="V4" s="97">
        <f t="shared" si="5"/>
        <v>0</v>
      </c>
      <c r="W4" s="97">
        <f t="shared" si="5"/>
        <v>2</v>
      </c>
      <c r="X4" s="97">
        <f t="shared" si="5"/>
        <v>0</v>
      </c>
      <c r="Y4" s="97">
        <f t="shared" si="5"/>
        <v>2</v>
      </c>
      <c r="Z4" s="8">
        <f>N4*属性价值参考!C$5+官印!P4*属性价值参考!C$7+官印!Q4*属性价值参考!C$8+官印!V4*属性价值参考!C$9+官印!W4*属性价值参考!C$10+官印!X4*属性价值参考!C$11+官印!Y4*属性价值参考!C$12</f>
        <v>528</v>
      </c>
      <c r="AA4" s="8">
        <f t="shared" si="0"/>
        <v>88000</v>
      </c>
      <c r="AB4" s="8">
        <f t="shared" si="1"/>
        <v>880</v>
      </c>
      <c r="AC4" s="8">
        <f>ROUND($AA$105/材料产出!$K$31*SUM(材料产出!$K$4:$K$6)/100,0)*100</f>
        <v>14200</v>
      </c>
      <c r="AD4" s="8">
        <f>ROUND($AB$105/材料产出!$Q$31*SUM(材料产出!$P$4:$P$6)/10,0)*10</f>
        <v>210</v>
      </c>
    </row>
    <row r="5" spans="1:30" ht="16.5" x14ac:dyDescent="0.3">
      <c r="A5" s="22" t="s">
        <v>29</v>
      </c>
      <c r="B5" s="22" t="s">
        <v>30</v>
      </c>
      <c r="C5" s="23" t="s">
        <v>111</v>
      </c>
      <c r="D5" s="22">
        <v>3</v>
      </c>
      <c r="E5" s="22"/>
      <c r="F5" s="22" t="s">
        <v>112</v>
      </c>
      <c r="G5" s="22"/>
      <c r="H5" s="62" t="str">
        <f t="shared" si="2"/>
        <v>3#1#60|3#3#3|3#4#6|3#5#3|3#6#6|3#7#3|3#6#6|3#8#6|3#9#1|3#10#3|3#11#1|3#12#3</v>
      </c>
      <c r="I5" s="40" t="str">
        <f t="shared" si="4"/>
        <v>元宝14200/声望210</v>
      </c>
      <c r="J5" s="22"/>
      <c r="K5" s="22"/>
      <c r="L5" s="22">
        <v>1</v>
      </c>
      <c r="M5" s="22">
        <f>材料产出!C4</f>
        <v>0.5</v>
      </c>
      <c r="N5" s="97">
        <f>INT(3/5*N7)</f>
        <v>60</v>
      </c>
      <c r="O5" s="97"/>
      <c r="P5" s="97">
        <f t="shared" ref="P5:Y5" si="6">INT(3/5*P7)</f>
        <v>3</v>
      </c>
      <c r="Q5" s="97">
        <f t="shared" si="6"/>
        <v>6</v>
      </c>
      <c r="R5" s="97">
        <f t="shared" si="6"/>
        <v>3</v>
      </c>
      <c r="S5" s="97">
        <f t="shared" si="6"/>
        <v>6</v>
      </c>
      <c r="T5" s="97">
        <f t="shared" si="6"/>
        <v>3</v>
      </c>
      <c r="U5" s="97">
        <f t="shared" si="6"/>
        <v>6</v>
      </c>
      <c r="V5" s="97">
        <f t="shared" si="6"/>
        <v>1</v>
      </c>
      <c r="W5" s="97">
        <f t="shared" si="6"/>
        <v>3</v>
      </c>
      <c r="X5" s="97">
        <f t="shared" si="6"/>
        <v>1</v>
      </c>
      <c r="Y5" s="97">
        <f t="shared" si="6"/>
        <v>3</v>
      </c>
      <c r="Z5" s="8">
        <f>N5*属性价值参考!C$5+官印!P5*属性价值参考!C$7+官印!Q5*属性价值参考!C$8+官印!V5*属性价值参考!C$9+官印!W5*属性价值参考!C$10+官印!X5*属性价值参考!C$11+官印!Y5*属性价值参考!C$12</f>
        <v>819.60000000000014</v>
      </c>
      <c r="AA5" s="8">
        <f t="shared" si="0"/>
        <v>136600.00000000003</v>
      </c>
      <c r="AB5" s="8">
        <f t="shared" si="1"/>
        <v>1366.0000000000002</v>
      </c>
      <c r="AC5" s="8">
        <f>ROUND($AA$105/材料产出!$K$31*SUM(材料产出!$K$4:$K$6)/100,0)*100</f>
        <v>14200</v>
      </c>
      <c r="AD5" s="8">
        <f>ROUND($AB$105/材料产出!$Q$31*SUM(材料产出!$P$4:$P$6)/10,0)*10</f>
        <v>210</v>
      </c>
    </row>
    <row r="6" spans="1:30" ht="16.5" x14ac:dyDescent="0.3">
      <c r="A6" s="22" t="s">
        <v>29</v>
      </c>
      <c r="B6" s="22" t="s">
        <v>30</v>
      </c>
      <c r="C6" s="23" t="s">
        <v>111</v>
      </c>
      <c r="D6" s="22">
        <v>4</v>
      </c>
      <c r="E6" s="22"/>
      <c r="F6" s="22" t="s">
        <v>112</v>
      </c>
      <c r="G6" s="22"/>
      <c r="H6" s="62" t="str">
        <f t="shared" si="2"/>
        <v>3#1#80|3#3#4|3#4#8|3#5#4|3#6#8|3#7#4|3#6#8|3#8#8|3#9#1|3#10#4|3#11#1|3#12#4</v>
      </c>
      <c r="I6" s="40" t="str">
        <f t="shared" si="4"/>
        <v>元宝14200/声望210</v>
      </c>
      <c r="J6" s="22"/>
      <c r="K6" s="22">
        <v>1</v>
      </c>
      <c r="L6" s="22">
        <v>1</v>
      </c>
      <c r="M6" s="22">
        <f>材料产出!C4</f>
        <v>0.5</v>
      </c>
      <c r="N6" s="97">
        <f>INT(4/5*N7)</f>
        <v>80</v>
      </c>
      <c r="O6" s="97"/>
      <c r="P6" s="97">
        <f t="shared" ref="P6:Y6" si="7">INT(4/5*P7)</f>
        <v>4</v>
      </c>
      <c r="Q6" s="97">
        <f t="shared" si="7"/>
        <v>8</v>
      </c>
      <c r="R6" s="97">
        <f t="shared" si="7"/>
        <v>4</v>
      </c>
      <c r="S6" s="97">
        <f t="shared" si="7"/>
        <v>8</v>
      </c>
      <c r="T6" s="97">
        <f t="shared" si="7"/>
        <v>4</v>
      </c>
      <c r="U6" s="97">
        <f t="shared" si="7"/>
        <v>8</v>
      </c>
      <c r="V6" s="97">
        <f t="shared" si="7"/>
        <v>1</v>
      </c>
      <c r="W6" s="97">
        <f t="shared" si="7"/>
        <v>4</v>
      </c>
      <c r="X6" s="97">
        <f t="shared" si="7"/>
        <v>1</v>
      </c>
      <c r="Y6" s="97">
        <f t="shared" si="7"/>
        <v>4</v>
      </c>
      <c r="Z6" s="8">
        <f>N6*属性价值参考!C$5+官印!P6*属性价值参考!C$7+官印!Q6*属性价值参考!C$8+官印!V6*属性价值参考!C$9+官印!W6*属性价值参考!C$10+官印!X6*属性价值参考!C$11+官印!Y6*属性价值参考!C$12</f>
        <v>1083.6000000000001</v>
      </c>
      <c r="AA6" s="8">
        <f t="shared" si="0"/>
        <v>180600.00000000003</v>
      </c>
      <c r="AB6" s="8">
        <f t="shared" si="1"/>
        <v>1806.0000000000002</v>
      </c>
      <c r="AC6" s="8">
        <f>ROUND($AA$105/材料产出!$K$31*SUM(材料产出!$K$4:$K$6)/100,0)*100</f>
        <v>14200</v>
      </c>
      <c r="AD6" s="8">
        <f>ROUND($AB$105/材料产出!$Q$31*SUM(材料产出!$P$4:$P$6)/10,0)*10</f>
        <v>210</v>
      </c>
    </row>
    <row r="7" spans="1:30" ht="16.5" x14ac:dyDescent="0.3">
      <c r="A7" s="22" t="s">
        <v>29</v>
      </c>
      <c r="B7" s="22" t="s">
        <v>30</v>
      </c>
      <c r="C7" s="23" t="s">
        <v>111</v>
      </c>
      <c r="D7" s="22">
        <v>5</v>
      </c>
      <c r="E7" s="22"/>
      <c r="F7" s="22" t="s">
        <v>112</v>
      </c>
      <c r="G7" s="22"/>
      <c r="H7" s="62" t="str">
        <f t="shared" si="2"/>
        <v>3#1#100|3#3#5|3#4#10|3#5#5|3#6#10|3#7#5|3#6#10|3#8#10|3#9#2|3#10#5|3#11#2|3#12#5</v>
      </c>
      <c r="I7" s="40" t="str">
        <f t="shared" si="4"/>
        <v>元宝14200/声望210</v>
      </c>
      <c r="J7" s="22"/>
      <c r="K7" s="22">
        <v>2</v>
      </c>
      <c r="L7" s="22">
        <v>1</v>
      </c>
      <c r="M7" s="22">
        <f>材料产出!C4</f>
        <v>0.5</v>
      </c>
      <c r="N7" s="97">
        <f t="shared" ref="N7:N70" si="8">INT(K7/100*N$105)</f>
        <v>100</v>
      </c>
      <c r="O7" s="97"/>
      <c r="P7" s="97">
        <f t="shared" ref="P7:P70" si="9">INT(0.5*Q7)</f>
        <v>5</v>
      </c>
      <c r="Q7" s="97">
        <f t="shared" ref="Q7:Q70" si="10">INT(K7/100*Q$105)</f>
        <v>10</v>
      </c>
      <c r="R7" s="97">
        <f t="shared" ref="R7:R70" si="11">INT(0.5*S7)</f>
        <v>5</v>
      </c>
      <c r="S7" s="97">
        <f t="shared" ref="S7:S70" si="12">INT(K7/100*S$105)</f>
        <v>10</v>
      </c>
      <c r="T7" s="97">
        <f t="shared" ref="T7:T70" si="13">INT(0.5*U7)</f>
        <v>5</v>
      </c>
      <c r="U7" s="97">
        <f t="shared" ref="U7:U70" si="14">INT(K7/100*U$105)</f>
        <v>10</v>
      </c>
      <c r="V7" s="97">
        <f t="shared" ref="V7:V70" si="15">INT(0.5*W7)</f>
        <v>2</v>
      </c>
      <c r="W7" s="97">
        <f t="shared" ref="W7:W70" si="16">INT(K7/100*W$105)</f>
        <v>5</v>
      </c>
      <c r="X7" s="97">
        <f t="shared" ref="X7:X70" si="17">INT(0.5*Y7)</f>
        <v>2</v>
      </c>
      <c r="Y7" s="97">
        <f t="shared" ref="Y7:Y70" si="18">INT(K7/100*Y$105)</f>
        <v>5</v>
      </c>
      <c r="Z7" s="8">
        <f>N7*属性价值参考!C$5+官印!P7*属性价值参考!C$7+官印!Q7*属性价值参考!C$8+官印!V7*属性价值参考!C$9+官印!W7*属性价值参考!C$10+官印!X7*属性价值参考!C$11+官印!Y7*属性价值参考!C$12</f>
        <v>1375.2</v>
      </c>
      <c r="AA7" s="8">
        <f t="shared" si="0"/>
        <v>229200</v>
      </c>
      <c r="AB7" s="8">
        <f t="shared" si="1"/>
        <v>2292</v>
      </c>
      <c r="AC7" s="8">
        <f>ROUND($AA$105/材料产出!$K$31*SUM(材料产出!$K$4:$K$6)/100,0)*100</f>
        <v>14200</v>
      </c>
      <c r="AD7" s="8">
        <f>ROUND($AB$105/材料产出!$Q$31*SUM(材料产出!$P$4:$P$6)/10,0)*10</f>
        <v>210</v>
      </c>
    </row>
    <row r="8" spans="1:30" ht="16.5" x14ac:dyDescent="0.3">
      <c r="A8" s="22" t="s">
        <v>29</v>
      </c>
      <c r="B8" s="22" t="s">
        <v>30</v>
      </c>
      <c r="C8" s="23" t="s">
        <v>111</v>
      </c>
      <c r="D8" s="22">
        <v>6</v>
      </c>
      <c r="E8" s="22"/>
      <c r="F8" s="22" t="s">
        <v>112</v>
      </c>
      <c r="G8" s="22"/>
      <c r="H8" s="62" t="str">
        <f t="shared" si="2"/>
        <v>3#1#150|3#3#7|3#4#15|3#5#7|3#6#15|3#7#7|3#6#15|3#8#15|3#9#3|3#10#7|3#11#3|3#12#7</v>
      </c>
      <c r="I8" s="40" t="str">
        <f t="shared" si="4"/>
        <v>元宝14200/声望210</v>
      </c>
      <c r="J8" s="22"/>
      <c r="K8" s="22">
        <v>3</v>
      </c>
      <c r="L8" s="22">
        <v>1</v>
      </c>
      <c r="M8" s="22">
        <f>材料产出!C4</f>
        <v>0.5</v>
      </c>
      <c r="N8" s="97">
        <f t="shared" si="8"/>
        <v>150</v>
      </c>
      <c r="O8" s="97"/>
      <c r="P8" s="97">
        <f t="shared" si="9"/>
        <v>7</v>
      </c>
      <c r="Q8" s="97">
        <f t="shared" si="10"/>
        <v>15</v>
      </c>
      <c r="R8" s="97">
        <f t="shared" si="11"/>
        <v>7</v>
      </c>
      <c r="S8" s="97">
        <f t="shared" si="12"/>
        <v>15</v>
      </c>
      <c r="T8" s="97">
        <f t="shared" si="13"/>
        <v>7</v>
      </c>
      <c r="U8" s="97">
        <f t="shared" si="14"/>
        <v>15</v>
      </c>
      <c r="V8" s="97">
        <f t="shared" si="15"/>
        <v>3</v>
      </c>
      <c r="W8" s="97">
        <f t="shared" si="16"/>
        <v>7</v>
      </c>
      <c r="X8" s="97">
        <f t="shared" si="17"/>
        <v>3</v>
      </c>
      <c r="Y8" s="97">
        <f t="shared" si="18"/>
        <v>7</v>
      </c>
      <c r="Z8" s="8">
        <f>N8*属性价值参考!C$5+官印!P8*属性价值参考!C$7+官印!Q8*属性价值参考!C$8+官印!V8*属性价值参考!C$9+官印!W8*属性价值参考!C$10+官印!X8*属性价值参考!C$11+官印!Y8*属性价值参考!C$12</f>
        <v>2020.8000000000002</v>
      </c>
      <c r="AA8" s="8">
        <f t="shared" si="0"/>
        <v>336800.00000000006</v>
      </c>
      <c r="AB8" s="8">
        <f t="shared" si="1"/>
        <v>3368.0000000000005</v>
      </c>
      <c r="AC8" s="8">
        <f>ROUND($AA$105/材料产出!$K$31*SUM(材料产出!$K$4:$K$6)/100,0)*100</f>
        <v>14200</v>
      </c>
      <c r="AD8" s="8">
        <f>ROUND($AB$105/材料产出!$Q$31*SUM(材料产出!$P$4:$P$6)/10,0)*10</f>
        <v>210</v>
      </c>
    </row>
    <row r="9" spans="1:30" ht="16.5" x14ac:dyDescent="0.3">
      <c r="A9" s="22" t="s">
        <v>29</v>
      </c>
      <c r="B9" s="22" t="s">
        <v>30</v>
      </c>
      <c r="C9" s="23" t="s">
        <v>111</v>
      </c>
      <c r="D9" s="22">
        <v>7</v>
      </c>
      <c r="E9" s="22"/>
      <c r="F9" s="22" t="s">
        <v>112</v>
      </c>
      <c r="G9" s="22"/>
      <c r="H9" s="62" t="str">
        <f t="shared" si="2"/>
        <v>3#1#200|3#3#10|3#4#20|3#5#10|3#6#20|3#7#10|3#6#20|3#8#20|3#9#5|3#10#10|3#11#5|3#12#10</v>
      </c>
      <c r="I9" s="40" t="str">
        <f t="shared" si="4"/>
        <v>元宝14200/声望210</v>
      </c>
      <c r="J9" s="22"/>
      <c r="K9" s="22">
        <v>4</v>
      </c>
      <c r="L9" s="22">
        <v>1</v>
      </c>
      <c r="M9" s="22">
        <f>材料产出!C4</f>
        <v>0.5</v>
      </c>
      <c r="N9" s="97">
        <f t="shared" si="8"/>
        <v>200</v>
      </c>
      <c r="O9" s="97"/>
      <c r="P9" s="97">
        <f t="shared" si="9"/>
        <v>10</v>
      </c>
      <c r="Q9" s="97">
        <f t="shared" si="10"/>
        <v>20</v>
      </c>
      <c r="R9" s="97">
        <f t="shared" si="11"/>
        <v>10</v>
      </c>
      <c r="S9" s="97">
        <f t="shared" si="12"/>
        <v>20</v>
      </c>
      <c r="T9" s="97">
        <f t="shared" si="13"/>
        <v>10</v>
      </c>
      <c r="U9" s="97">
        <f t="shared" si="14"/>
        <v>20</v>
      </c>
      <c r="V9" s="97">
        <f t="shared" si="15"/>
        <v>5</v>
      </c>
      <c r="W9" s="97">
        <f t="shared" si="16"/>
        <v>10</v>
      </c>
      <c r="X9" s="97">
        <f t="shared" si="17"/>
        <v>5</v>
      </c>
      <c r="Y9" s="97">
        <f t="shared" si="18"/>
        <v>10</v>
      </c>
      <c r="Z9" s="8">
        <f>N9*属性价值参考!C$5+官印!P9*属性价值参考!C$7+官印!Q9*属性价值参考!C$8+官印!V9*属性价值参考!C$9+官印!W9*属性价值参考!C$10+官印!X9*属性价值参考!C$11+官印!Y9*属性价值参考!C$12</f>
        <v>2778</v>
      </c>
      <c r="AA9" s="8">
        <f t="shared" si="0"/>
        <v>463000</v>
      </c>
      <c r="AB9" s="8">
        <f t="shared" si="1"/>
        <v>4630</v>
      </c>
      <c r="AC9" s="8">
        <f>ROUND($AA$105/材料产出!$K$31*SUM(材料产出!$K$4:$K$6)/100,0)*100</f>
        <v>14200</v>
      </c>
      <c r="AD9" s="8">
        <f>ROUND($AB$105/材料产出!$Q$31*SUM(材料产出!$P$4:$P$6)/10,0)*10</f>
        <v>210</v>
      </c>
    </row>
    <row r="10" spans="1:30" ht="16.5" x14ac:dyDescent="0.3">
      <c r="A10" s="22" t="s">
        <v>29</v>
      </c>
      <c r="B10" s="22" t="s">
        <v>30</v>
      </c>
      <c r="C10" s="23" t="s">
        <v>111</v>
      </c>
      <c r="D10" s="22">
        <v>8</v>
      </c>
      <c r="E10" s="22"/>
      <c r="F10" s="22" t="s">
        <v>112</v>
      </c>
      <c r="G10" s="22"/>
      <c r="H10" s="62" t="str">
        <f t="shared" si="2"/>
        <v>3#1#250|3#3#12|3#4#25|3#5#12|3#6#25|3#7#12|3#6#25|3#8#25|3#9#6|3#10#12|3#11#6|3#12#12</v>
      </c>
      <c r="I10" s="40" t="str">
        <f t="shared" si="4"/>
        <v>元宝14200/声望210</v>
      </c>
      <c r="J10" s="22"/>
      <c r="K10" s="22">
        <v>5</v>
      </c>
      <c r="L10" s="22">
        <v>1</v>
      </c>
      <c r="M10" s="22">
        <f>材料产出!C4</f>
        <v>0.5</v>
      </c>
      <c r="N10" s="97">
        <f t="shared" si="8"/>
        <v>250</v>
      </c>
      <c r="O10" s="97"/>
      <c r="P10" s="97">
        <f t="shared" si="9"/>
        <v>12</v>
      </c>
      <c r="Q10" s="97">
        <f t="shared" si="10"/>
        <v>25</v>
      </c>
      <c r="R10" s="97">
        <f t="shared" si="11"/>
        <v>12</v>
      </c>
      <c r="S10" s="97">
        <f t="shared" si="12"/>
        <v>25</v>
      </c>
      <c r="T10" s="97">
        <f t="shared" si="13"/>
        <v>12</v>
      </c>
      <c r="U10" s="97">
        <f t="shared" si="14"/>
        <v>25</v>
      </c>
      <c r="V10" s="97">
        <f t="shared" si="15"/>
        <v>6</v>
      </c>
      <c r="W10" s="97">
        <f t="shared" si="16"/>
        <v>12</v>
      </c>
      <c r="X10" s="97">
        <f t="shared" si="17"/>
        <v>6</v>
      </c>
      <c r="Y10" s="97">
        <f t="shared" si="18"/>
        <v>12</v>
      </c>
      <c r="Z10" s="8">
        <f>N10*属性价值参考!C$5+官印!P10*属性价值参考!C$7+官印!Q10*属性价值参考!C$8+官印!V10*属性价值参考!C$9+官印!W10*属性价值参考!C$10+官印!X10*属性价值参考!C$11+官印!Y10*属性价值参考!C$12</f>
        <v>3423.6000000000004</v>
      </c>
      <c r="AA10" s="8">
        <f t="shared" si="0"/>
        <v>570600.00000000012</v>
      </c>
      <c r="AB10" s="8">
        <f t="shared" si="1"/>
        <v>5706.0000000000009</v>
      </c>
      <c r="AC10" s="8">
        <f>ROUND($AA$105/材料产出!$K$31*SUM(材料产出!$K$4:$K$6)/100,0)*100</f>
        <v>14200</v>
      </c>
      <c r="AD10" s="8">
        <f>ROUND($AB$105/材料产出!$Q$31*SUM(材料产出!$P$4:$P$6)/10,0)*10</f>
        <v>210</v>
      </c>
    </row>
    <row r="11" spans="1:30" ht="16.5" x14ac:dyDescent="0.3">
      <c r="A11" s="22" t="s">
        <v>29</v>
      </c>
      <c r="B11" s="22" t="s">
        <v>30</v>
      </c>
      <c r="C11" s="23" t="s">
        <v>111</v>
      </c>
      <c r="D11" s="22">
        <v>9</v>
      </c>
      <c r="E11" s="22"/>
      <c r="F11" s="22" t="s">
        <v>112</v>
      </c>
      <c r="G11" s="22"/>
      <c r="H11" s="62" t="str">
        <f t="shared" si="2"/>
        <v>3#1#300|3#3#15|3#4#30|3#5#15|3#6#30|3#7#15|3#6#30|3#8#30|3#9#7|3#10#15|3#11#7|3#12#15</v>
      </c>
      <c r="I11" s="40"/>
      <c r="J11" s="22"/>
      <c r="K11" s="22">
        <v>6</v>
      </c>
      <c r="L11" s="22">
        <v>1</v>
      </c>
      <c r="M11" s="22">
        <f>材料产出!C4</f>
        <v>0.5</v>
      </c>
      <c r="N11" s="97">
        <f t="shared" si="8"/>
        <v>300</v>
      </c>
      <c r="O11" s="97"/>
      <c r="P11" s="97">
        <f t="shared" si="9"/>
        <v>15</v>
      </c>
      <c r="Q11" s="97">
        <f t="shared" si="10"/>
        <v>30</v>
      </c>
      <c r="R11" s="97">
        <f t="shared" si="11"/>
        <v>15</v>
      </c>
      <c r="S11" s="97">
        <f t="shared" si="12"/>
        <v>30</v>
      </c>
      <c r="T11" s="97">
        <f t="shared" si="13"/>
        <v>15</v>
      </c>
      <c r="U11" s="97">
        <f t="shared" si="14"/>
        <v>30</v>
      </c>
      <c r="V11" s="97">
        <f t="shared" si="15"/>
        <v>7</v>
      </c>
      <c r="W11" s="97">
        <f t="shared" si="16"/>
        <v>15</v>
      </c>
      <c r="X11" s="97">
        <f t="shared" si="17"/>
        <v>7</v>
      </c>
      <c r="Y11" s="97">
        <f t="shared" si="18"/>
        <v>15</v>
      </c>
      <c r="Z11" s="8">
        <f>N11*属性价值参考!C$5+官印!P11*属性价值参考!C$7+官印!Q11*属性价值参考!C$8+官印!V11*属性价值参考!C$9+官印!W11*属性价值参考!C$10+官印!X11*属性价值参考!C$11+官印!Y11*属性价值参考!C$12</f>
        <v>4153.2000000000007</v>
      </c>
      <c r="AA11" s="8">
        <f t="shared" si="0"/>
        <v>692200.00000000023</v>
      </c>
      <c r="AB11" s="8">
        <f t="shared" si="1"/>
        <v>6922.0000000000018</v>
      </c>
      <c r="AC11" s="8">
        <f>ROUND($AA$105/材料产出!$K$31*SUM(材料产出!$K$4:$K$6)/100,0)*100</f>
        <v>14200</v>
      </c>
      <c r="AD11" s="8">
        <f>ROUND($AB$105/材料产出!$Q$31*SUM(材料产出!$P$4:$P$6)/10,0)*10</f>
        <v>210</v>
      </c>
    </row>
    <row r="12" spans="1:30" ht="16.5" x14ac:dyDescent="0.3">
      <c r="A12" s="35" t="s">
        <v>29</v>
      </c>
      <c r="B12" s="35" t="s">
        <v>30</v>
      </c>
      <c r="C12" s="41" t="s">
        <v>113</v>
      </c>
      <c r="D12" s="35">
        <v>0</v>
      </c>
      <c r="E12" s="35"/>
      <c r="F12" s="35" t="s">
        <v>112</v>
      </c>
      <c r="G12" s="35"/>
      <c r="H12" s="61" t="str">
        <f t="shared" si="2"/>
        <v>3#1#350|3#3#17|3#4#35|3#5#17|3#6#35|3#7#17|3#6#35|3#8#35|3#9#8|3#10#17|3#11#8|3#12#17</v>
      </c>
      <c r="I12" s="42"/>
      <c r="J12" s="35"/>
      <c r="K12" s="22">
        <v>7</v>
      </c>
      <c r="L12" s="22"/>
      <c r="M12" s="22"/>
      <c r="N12" s="97">
        <f t="shared" si="8"/>
        <v>350</v>
      </c>
      <c r="O12" s="97"/>
      <c r="P12" s="97">
        <f t="shared" si="9"/>
        <v>17</v>
      </c>
      <c r="Q12" s="97">
        <f t="shared" si="10"/>
        <v>35</v>
      </c>
      <c r="R12" s="97">
        <f t="shared" si="11"/>
        <v>17</v>
      </c>
      <c r="S12" s="97">
        <f t="shared" si="12"/>
        <v>35</v>
      </c>
      <c r="T12" s="97">
        <f t="shared" si="13"/>
        <v>17</v>
      </c>
      <c r="U12" s="97">
        <f t="shared" si="14"/>
        <v>35</v>
      </c>
      <c r="V12" s="97">
        <f t="shared" si="15"/>
        <v>8</v>
      </c>
      <c r="W12" s="97">
        <f t="shared" si="16"/>
        <v>17</v>
      </c>
      <c r="X12" s="97">
        <f t="shared" si="17"/>
        <v>8</v>
      </c>
      <c r="Y12" s="97">
        <f t="shared" si="18"/>
        <v>17</v>
      </c>
      <c r="Z12" s="8">
        <f>N12*属性价值参考!C$5+官印!P12*属性价值参考!C$7+官印!Q12*属性价值参考!C$8+官印!V12*属性价值参考!C$9+官印!W12*属性价值参考!C$10+官印!X12*属性价值参考!C$11+官印!Y12*属性价值参考!C$12</f>
        <v>4798.7999999999993</v>
      </c>
      <c r="AA12" s="8">
        <f t="shared" si="0"/>
        <v>799799.99999999988</v>
      </c>
      <c r="AB12" s="8">
        <f t="shared" si="1"/>
        <v>7997.9999999999991</v>
      </c>
      <c r="AC12" s="8"/>
      <c r="AD12" s="8"/>
    </row>
    <row r="13" spans="1:30" ht="16.5" x14ac:dyDescent="0.3">
      <c r="A13" s="35" t="s">
        <v>29</v>
      </c>
      <c r="B13" s="35" t="s">
        <v>30</v>
      </c>
      <c r="C13" s="41" t="s">
        <v>114</v>
      </c>
      <c r="D13" s="35">
        <v>1</v>
      </c>
      <c r="E13" s="35"/>
      <c r="F13" s="35" t="s">
        <v>115</v>
      </c>
      <c r="G13" s="35"/>
      <c r="H13" s="61" t="str">
        <f t="shared" si="2"/>
        <v>3#1#400|3#3#20|3#4#40|3#5#20|3#6#40|3#7#20|3#6#40|3#8#40|3#9#10|3#10#20|3#11#10|3#12#20</v>
      </c>
      <c r="I13" s="43" t="str">
        <f t="shared" si="4"/>
        <v>元宝24100/声望320</v>
      </c>
      <c r="J13" s="35"/>
      <c r="K13" s="22">
        <v>8</v>
      </c>
      <c r="L13" s="22">
        <v>2</v>
      </c>
      <c r="M13" s="22">
        <f>材料产出!C7</f>
        <v>0.8</v>
      </c>
      <c r="N13" s="97">
        <f t="shared" si="8"/>
        <v>400</v>
      </c>
      <c r="O13" s="97"/>
      <c r="P13" s="97">
        <f t="shared" si="9"/>
        <v>20</v>
      </c>
      <c r="Q13" s="97">
        <f t="shared" si="10"/>
        <v>40</v>
      </c>
      <c r="R13" s="97">
        <f t="shared" si="11"/>
        <v>20</v>
      </c>
      <c r="S13" s="97">
        <f t="shared" si="12"/>
        <v>40</v>
      </c>
      <c r="T13" s="97">
        <f t="shared" si="13"/>
        <v>20</v>
      </c>
      <c r="U13" s="97">
        <f t="shared" si="14"/>
        <v>40</v>
      </c>
      <c r="V13" s="97">
        <f t="shared" si="15"/>
        <v>10</v>
      </c>
      <c r="W13" s="97">
        <f t="shared" si="16"/>
        <v>20</v>
      </c>
      <c r="X13" s="97">
        <f t="shared" si="17"/>
        <v>10</v>
      </c>
      <c r="Y13" s="97">
        <f t="shared" si="18"/>
        <v>20</v>
      </c>
      <c r="Z13" s="8">
        <f>N13*属性价值参考!C$5+官印!P13*属性价值参考!C$7+官印!Q13*属性价值参考!C$8+官印!V13*属性价值参考!C$9+官印!W13*属性价值参考!C$10+官印!X13*属性价值参考!C$11+官印!Y13*属性价值参考!C$12</f>
        <v>5556</v>
      </c>
      <c r="AA13" s="8">
        <f t="shared" si="0"/>
        <v>926000</v>
      </c>
      <c r="AB13" s="8">
        <f t="shared" si="1"/>
        <v>9260</v>
      </c>
      <c r="AC13" s="8">
        <f>ROUND($AA$105/材料产出!$K$31*SUM(材料产出!$K$7:$K$9)/100,0)*100</f>
        <v>24100</v>
      </c>
      <c r="AD13" s="8">
        <f>ROUND($AB$105/材料产出!$Q$31*SUM(材料产出!$P$7:$P$9)/10,0)*10</f>
        <v>320</v>
      </c>
    </row>
    <row r="14" spans="1:30" ht="16.5" x14ac:dyDescent="0.3">
      <c r="A14" s="35" t="s">
        <v>29</v>
      </c>
      <c r="B14" s="35" t="s">
        <v>30</v>
      </c>
      <c r="C14" s="41" t="s">
        <v>116</v>
      </c>
      <c r="D14" s="35">
        <v>2</v>
      </c>
      <c r="E14" s="35"/>
      <c r="F14" s="35" t="s">
        <v>115</v>
      </c>
      <c r="G14" s="35"/>
      <c r="H14" s="61" t="str">
        <f t="shared" si="2"/>
        <v>3#1#450|3#3#22|3#4#45|3#5#22|3#6#45|3#7#22|3#6#45|3#8#45|3#9#11|3#10#22|3#11#11|3#12#22</v>
      </c>
      <c r="I14" s="43" t="str">
        <f t="shared" si="4"/>
        <v>元宝24100/声望320</v>
      </c>
      <c r="J14" s="35"/>
      <c r="K14" s="22">
        <v>9</v>
      </c>
      <c r="L14" s="22">
        <v>2</v>
      </c>
      <c r="M14" s="22">
        <f>材料产出!C7</f>
        <v>0.8</v>
      </c>
      <c r="N14" s="97">
        <f t="shared" si="8"/>
        <v>450</v>
      </c>
      <c r="O14" s="97"/>
      <c r="P14" s="97">
        <f t="shared" si="9"/>
        <v>22</v>
      </c>
      <c r="Q14" s="97">
        <f t="shared" si="10"/>
        <v>45</v>
      </c>
      <c r="R14" s="97">
        <f t="shared" si="11"/>
        <v>22</v>
      </c>
      <c r="S14" s="97">
        <f t="shared" si="12"/>
        <v>45</v>
      </c>
      <c r="T14" s="97">
        <f t="shared" si="13"/>
        <v>22</v>
      </c>
      <c r="U14" s="97">
        <f t="shared" si="14"/>
        <v>45</v>
      </c>
      <c r="V14" s="97">
        <f t="shared" si="15"/>
        <v>11</v>
      </c>
      <c r="W14" s="97">
        <f t="shared" si="16"/>
        <v>22</v>
      </c>
      <c r="X14" s="97">
        <f t="shared" si="17"/>
        <v>11</v>
      </c>
      <c r="Y14" s="97">
        <f t="shared" si="18"/>
        <v>22</v>
      </c>
      <c r="Z14" s="8">
        <f>N14*属性价值参考!C$5+官印!P14*属性价值参考!C$7+官印!Q14*属性价值参考!C$8+官印!V14*属性价值参考!C$9+官印!W14*属性价值参考!C$10+官印!X14*属性价值参考!C$11+官印!Y14*属性价值参考!C$12</f>
        <v>6201.5999999999995</v>
      </c>
      <c r="AA14" s="8">
        <f t="shared" si="0"/>
        <v>1033600</v>
      </c>
      <c r="AB14" s="8">
        <f t="shared" si="1"/>
        <v>10336</v>
      </c>
      <c r="AC14" s="8">
        <f>ROUND($AA$105/材料产出!$K$31*SUM(材料产出!$K$7:$K$9)/100,0)*100</f>
        <v>24100</v>
      </c>
      <c r="AD14" s="8">
        <f>ROUND($AB$105/材料产出!$Q$31*SUM(材料产出!$P$7:$P$9)/10,0)*10</f>
        <v>320</v>
      </c>
    </row>
    <row r="15" spans="1:30" ht="16.5" x14ac:dyDescent="0.3">
      <c r="A15" s="35" t="s">
        <v>29</v>
      </c>
      <c r="B15" s="35" t="s">
        <v>30</v>
      </c>
      <c r="C15" s="41" t="s">
        <v>116</v>
      </c>
      <c r="D15" s="35">
        <v>3</v>
      </c>
      <c r="E15" s="35"/>
      <c r="F15" s="35" t="s">
        <v>115</v>
      </c>
      <c r="G15" s="35"/>
      <c r="H15" s="61" t="str">
        <f t="shared" si="2"/>
        <v>3#1#500|3#3#25|3#4#50|3#5#25|3#6#50|3#7#25|3#6#50|3#8#50|3#9#12|3#10#25|3#11#12|3#12#25</v>
      </c>
      <c r="I15" s="43" t="str">
        <f t="shared" si="4"/>
        <v>元宝24100/声望320</v>
      </c>
      <c r="J15" s="35"/>
      <c r="K15" s="22">
        <v>10</v>
      </c>
      <c r="L15" s="22">
        <v>2</v>
      </c>
      <c r="M15" s="22">
        <f>材料产出!C7</f>
        <v>0.8</v>
      </c>
      <c r="N15" s="97">
        <f t="shared" si="8"/>
        <v>500</v>
      </c>
      <c r="O15" s="97"/>
      <c r="P15" s="97">
        <f t="shared" si="9"/>
        <v>25</v>
      </c>
      <c r="Q15" s="97">
        <f t="shared" si="10"/>
        <v>50</v>
      </c>
      <c r="R15" s="97">
        <f t="shared" si="11"/>
        <v>25</v>
      </c>
      <c r="S15" s="97">
        <f t="shared" si="12"/>
        <v>50</v>
      </c>
      <c r="T15" s="97">
        <f t="shared" si="13"/>
        <v>25</v>
      </c>
      <c r="U15" s="97">
        <f t="shared" si="14"/>
        <v>50</v>
      </c>
      <c r="V15" s="97">
        <f t="shared" si="15"/>
        <v>12</v>
      </c>
      <c r="W15" s="97">
        <f t="shared" si="16"/>
        <v>25</v>
      </c>
      <c r="X15" s="97">
        <f t="shared" si="17"/>
        <v>12</v>
      </c>
      <c r="Y15" s="97">
        <f t="shared" si="18"/>
        <v>25</v>
      </c>
      <c r="Z15" s="8">
        <f>N15*属性价值参考!C$5+官印!P15*属性价值参考!C$7+官印!Q15*属性价值参考!C$8+官印!V15*属性价值参考!C$9+官印!W15*属性价值参考!C$10+官印!X15*属性价值参考!C$11+官印!Y15*属性价值参考!C$12</f>
        <v>6931.2</v>
      </c>
      <c r="AA15" s="8">
        <f t="shared" si="0"/>
        <v>1155200</v>
      </c>
      <c r="AB15" s="8">
        <f t="shared" si="1"/>
        <v>11552</v>
      </c>
      <c r="AC15" s="8">
        <f>ROUND($AA$105/材料产出!$K$31*SUM(材料产出!$K$7:$K$9)/100,0)*100</f>
        <v>24100</v>
      </c>
      <c r="AD15" s="8">
        <f>ROUND($AB$105/材料产出!$Q$31*SUM(材料产出!$P$7:$P$9)/10,0)*10</f>
        <v>320</v>
      </c>
    </row>
    <row r="16" spans="1:30" ht="16.5" x14ac:dyDescent="0.3">
      <c r="A16" s="35" t="s">
        <v>29</v>
      </c>
      <c r="B16" s="35" t="s">
        <v>30</v>
      </c>
      <c r="C16" s="41" t="s">
        <v>116</v>
      </c>
      <c r="D16" s="35">
        <v>4</v>
      </c>
      <c r="E16" s="35"/>
      <c r="F16" s="35" t="s">
        <v>115</v>
      </c>
      <c r="G16" s="35"/>
      <c r="H16" s="61" t="str">
        <f t="shared" si="2"/>
        <v>3#1#550|3#3#27|3#4#55|3#5#27|3#6#55|3#7#27|3#6#55|3#8#55|3#9#13|3#10#27|3#11#13|3#12#27</v>
      </c>
      <c r="I16" s="43" t="str">
        <f t="shared" si="4"/>
        <v>元宝24100/声望320</v>
      </c>
      <c r="J16" s="35"/>
      <c r="K16" s="22">
        <v>11</v>
      </c>
      <c r="L16" s="22">
        <v>2</v>
      </c>
      <c r="M16" s="22">
        <f>材料产出!C7</f>
        <v>0.8</v>
      </c>
      <c r="N16" s="97">
        <f t="shared" si="8"/>
        <v>550</v>
      </c>
      <c r="O16" s="97"/>
      <c r="P16" s="97">
        <f t="shared" si="9"/>
        <v>27</v>
      </c>
      <c r="Q16" s="97">
        <f t="shared" si="10"/>
        <v>55</v>
      </c>
      <c r="R16" s="97">
        <f t="shared" si="11"/>
        <v>27</v>
      </c>
      <c r="S16" s="97">
        <f t="shared" si="12"/>
        <v>55</v>
      </c>
      <c r="T16" s="97">
        <f t="shared" si="13"/>
        <v>27</v>
      </c>
      <c r="U16" s="97">
        <f t="shared" si="14"/>
        <v>55</v>
      </c>
      <c r="V16" s="97">
        <f t="shared" si="15"/>
        <v>13</v>
      </c>
      <c r="W16" s="97">
        <f t="shared" si="16"/>
        <v>27</v>
      </c>
      <c r="X16" s="97">
        <f t="shared" si="17"/>
        <v>13</v>
      </c>
      <c r="Y16" s="97">
        <f t="shared" si="18"/>
        <v>27</v>
      </c>
      <c r="Z16" s="8">
        <f>N16*属性价值参考!C$5+官印!P16*属性价值参考!C$7+官印!Q16*属性价值参考!C$8+官印!V16*属性价值参考!C$9+官印!W16*属性价值参考!C$10+官印!X16*属性价值参考!C$11+官印!Y16*属性价值参考!C$12</f>
        <v>7576.7999999999993</v>
      </c>
      <c r="AA16" s="8">
        <f t="shared" si="0"/>
        <v>1262800</v>
      </c>
      <c r="AB16" s="8">
        <f t="shared" si="1"/>
        <v>12628</v>
      </c>
      <c r="AC16" s="8">
        <f>ROUND($AA$105/材料产出!$K$31*SUM(材料产出!$K$7:$K$9)/100,0)*100</f>
        <v>24100</v>
      </c>
      <c r="AD16" s="8">
        <f>ROUND($AB$105/材料产出!$Q$31*SUM(材料产出!$P$7:$P$9)/10,0)*10</f>
        <v>320</v>
      </c>
    </row>
    <row r="17" spans="1:30" ht="16.5" x14ac:dyDescent="0.3">
      <c r="A17" s="35" t="s">
        <v>29</v>
      </c>
      <c r="B17" s="35" t="s">
        <v>30</v>
      </c>
      <c r="C17" s="41" t="s">
        <v>116</v>
      </c>
      <c r="D17" s="35">
        <v>5</v>
      </c>
      <c r="E17" s="35"/>
      <c r="F17" s="35" t="s">
        <v>115</v>
      </c>
      <c r="G17" s="35"/>
      <c r="H17" s="61" t="str">
        <f t="shared" si="2"/>
        <v>3#1#600|3#3#30|3#4#60|3#5#30|3#6#60|3#7#30|3#6#60|3#8#60|3#9#15|3#10#30|3#11#15|3#12#30</v>
      </c>
      <c r="I17" s="43" t="str">
        <f t="shared" si="4"/>
        <v>元宝24100/声望320</v>
      </c>
      <c r="J17" s="35"/>
      <c r="K17" s="22">
        <v>12</v>
      </c>
      <c r="L17" s="22">
        <v>2</v>
      </c>
      <c r="M17" s="22">
        <f>材料产出!C7</f>
        <v>0.8</v>
      </c>
      <c r="N17" s="97">
        <f t="shared" si="8"/>
        <v>600</v>
      </c>
      <c r="O17" s="97"/>
      <c r="P17" s="97">
        <f t="shared" si="9"/>
        <v>30</v>
      </c>
      <c r="Q17" s="97">
        <f t="shared" si="10"/>
        <v>60</v>
      </c>
      <c r="R17" s="97">
        <f t="shared" si="11"/>
        <v>30</v>
      </c>
      <c r="S17" s="97">
        <f t="shared" si="12"/>
        <v>60</v>
      </c>
      <c r="T17" s="97">
        <f t="shared" si="13"/>
        <v>30</v>
      </c>
      <c r="U17" s="97">
        <f t="shared" si="14"/>
        <v>60</v>
      </c>
      <c r="V17" s="97">
        <f t="shared" si="15"/>
        <v>15</v>
      </c>
      <c r="W17" s="97">
        <f t="shared" si="16"/>
        <v>30</v>
      </c>
      <c r="X17" s="97">
        <f t="shared" si="17"/>
        <v>15</v>
      </c>
      <c r="Y17" s="97">
        <f t="shared" si="18"/>
        <v>30</v>
      </c>
      <c r="Z17" s="8">
        <f>N17*属性价值参考!C$5+官印!P17*属性价值参考!C$7+官印!Q17*属性价值参考!C$8+官印!V17*属性价值参考!C$9+官印!W17*属性价值参考!C$10+官印!X17*属性价值参考!C$11+官印!Y17*属性价值参考!C$12</f>
        <v>8334</v>
      </c>
      <c r="AA17" s="8">
        <f t="shared" si="0"/>
        <v>1389000</v>
      </c>
      <c r="AB17" s="8">
        <f t="shared" si="1"/>
        <v>13890</v>
      </c>
      <c r="AC17" s="8">
        <f>ROUND($AA$105/材料产出!$K$31*SUM(材料产出!$K$7:$K$9)/100,0)*100</f>
        <v>24100</v>
      </c>
      <c r="AD17" s="8">
        <f>ROUND($AB$105/材料产出!$Q$31*SUM(材料产出!$P$7:$P$9)/10,0)*10</f>
        <v>320</v>
      </c>
    </row>
    <row r="18" spans="1:30" ht="16.5" x14ac:dyDescent="0.3">
      <c r="A18" s="35" t="s">
        <v>29</v>
      </c>
      <c r="B18" s="35" t="s">
        <v>30</v>
      </c>
      <c r="C18" s="41" t="s">
        <v>116</v>
      </c>
      <c r="D18" s="35">
        <v>6</v>
      </c>
      <c r="E18" s="35"/>
      <c r="F18" s="35" t="s">
        <v>115</v>
      </c>
      <c r="G18" s="35"/>
      <c r="H18" s="61" t="str">
        <f t="shared" si="2"/>
        <v>3#1#650|3#3#32|3#4#65|3#5#32|3#6#65|3#7#32|3#6#65|3#8#65|3#9#16|3#10#32|3#11#16|3#12#32</v>
      </c>
      <c r="I18" s="43" t="str">
        <f t="shared" si="4"/>
        <v>元宝24100/声望320</v>
      </c>
      <c r="J18" s="35"/>
      <c r="K18" s="22">
        <v>13</v>
      </c>
      <c r="L18" s="22">
        <v>2</v>
      </c>
      <c r="M18" s="22">
        <f>材料产出!C7</f>
        <v>0.8</v>
      </c>
      <c r="N18" s="97">
        <f t="shared" si="8"/>
        <v>650</v>
      </c>
      <c r="O18" s="97"/>
      <c r="P18" s="97">
        <f t="shared" si="9"/>
        <v>32</v>
      </c>
      <c r="Q18" s="97">
        <f t="shared" si="10"/>
        <v>65</v>
      </c>
      <c r="R18" s="97">
        <f t="shared" si="11"/>
        <v>32</v>
      </c>
      <c r="S18" s="97">
        <f t="shared" si="12"/>
        <v>65</v>
      </c>
      <c r="T18" s="97">
        <f t="shared" si="13"/>
        <v>32</v>
      </c>
      <c r="U18" s="97">
        <f t="shared" si="14"/>
        <v>65</v>
      </c>
      <c r="V18" s="97">
        <f t="shared" si="15"/>
        <v>16</v>
      </c>
      <c r="W18" s="97">
        <f t="shared" si="16"/>
        <v>32</v>
      </c>
      <c r="X18" s="97">
        <f t="shared" si="17"/>
        <v>16</v>
      </c>
      <c r="Y18" s="97">
        <f t="shared" si="18"/>
        <v>32</v>
      </c>
      <c r="Z18" s="8">
        <f>N18*属性价值参考!C$5+官印!P18*属性价值参考!C$7+官印!Q18*属性价值参考!C$8+官印!V18*属性价值参考!C$9+官印!W18*属性价值参考!C$10+官印!X18*属性价值参考!C$11+官印!Y18*属性价值参考!C$12</f>
        <v>8979.6</v>
      </c>
      <c r="AA18" s="8">
        <f t="shared" si="0"/>
        <v>1496600.0000000002</v>
      </c>
      <c r="AB18" s="8">
        <f t="shared" si="1"/>
        <v>14966.000000000002</v>
      </c>
      <c r="AC18" s="8">
        <f>ROUND($AA$105/材料产出!$K$31*SUM(材料产出!$K$7:$K$9)/100,0)*100</f>
        <v>24100</v>
      </c>
      <c r="AD18" s="8">
        <f>ROUND($AB$105/材料产出!$Q$31*SUM(材料产出!$P$7:$P$9)/10,0)*10</f>
        <v>320</v>
      </c>
    </row>
    <row r="19" spans="1:30" ht="16.5" x14ac:dyDescent="0.3">
      <c r="A19" s="35" t="s">
        <v>29</v>
      </c>
      <c r="B19" s="35" t="s">
        <v>30</v>
      </c>
      <c r="C19" s="41" t="s">
        <v>116</v>
      </c>
      <c r="D19" s="35">
        <v>7</v>
      </c>
      <c r="E19" s="35"/>
      <c r="F19" s="35" t="s">
        <v>115</v>
      </c>
      <c r="G19" s="35"/>
      <c r="H19" s="61" t="str">
        <f t="shared" si="2"/>
        <v>3#1#700|3#3#35|3#4#70|3#5#35|3#6#70|3#7#35|3#6#70|3#8#70|3#9#17|3#10#35|3#11#17|3#12#35</v>
      </c>
      <c r="I19" s="43" t="str">
        <f t="shared" si="4"/>
        <v>元宝24100/声望320</v>
      </c>
      <c r="J19" s="35"/>
      <c r="K19" s="22">
        <v>14</v>
      </c>
      <c r="L19" s="22">
        <v>2</v>
      </c>
      <c r="M19" s="22">
        <f>材料产出!C7</f>
        <v>0.8</v>
      </c>
      <c r="N19" s="97">
        <f t="shared" si="8"/>
        <v>700</v>
      </c>
      <c r="O19" s="97"/>
      <c r="P19" s="97">
        <f t="shared" si="9"/>
        <v>35</v>
      </c>
      <c r="Q19" s="97">
        <f t="shared" si="10"/>
        <v>70</v>
      </c>
      <c r="R19" s="97">
        <f t="shared" si="11"/>
        <v>35</v>
      </c>
      <c r="S19" s="97">
        <f t="shared" si="12"/>
        <v>70</v>
      </c>
      <c r="T19" s="97">
        <f t="shared" si="13"/>
        <v>35</v>
      </c>
      <c r="U19" s="97">
        <f t="shared" si="14"/>
        <v>70</v>
      </c>
      <c r="V19" s="97">
        <f t="shared" si="15"/>
        <v>17</v>
      </c>
      <c r="W19" s="97">
        <f t="shared" si="16"/>
        <v>35</v>
      </c>
      <c r="X19" s="97">
        <f t="shared" si="17"/>
        <v>17</v>
      </c>
      <c r="Y19" s="97">
        <f t="shared" si="18"/>
        <v>35</v>
      </c>
      <c r="Z19" s="8">
        <f>N19*属性价值参考!C$5+官印!P19*属性价值参考!C$7+官印!Q19*属性价值参考!C$8+官印!V19*属性价值参考!C$9+官印!W19*属性价值参考!C$10+官印!X19*属性价值参考!C$11+官印!Y19*属性价值参考!C$12</f>
        <v>9709.1999999999989</v>
      </c>
      <c r="AA19" s="8">
        <f t="shared" si="0"/>
        <v>1618199.9999999998</v>
      </c>
      <c r="AB19" s="8">
        <f t="shared" si="1"/>
        <v>16181.999999999998</v>
      </c>
      <c r="AC19" s="8">
        <f>ROUND($AA$105/材料产出!$K$31*SUM(材料产出!$K$7:$K$9)/100,0)*100</f>
        <v>24100</v>
      </c>
      <c r="AD19" s="8">
        <f>ROUND($AB$105/材料产出!$Q$31*SUM(材料产出!$P$7:$P$9)/10,0)*10</f>
        <v>320</v>
      </c>
    </row>
    <row r="20" spans="1:30" ht="16.5" x14ac:dyDescent="0.3">
      <c r="A20" s="35" t="s">
        <v>29</v>
      </c>
      <c r="B20" s="35" t="s">
        <v>30</v>
      </c>
      <c r="C20" s="41" t="s">
        <v>116</v>
      </c>
      <c r="D20" s="35">
        <v>8</v>
      </c>
      <c r="E20" s="35"/>
      <c r="F20" s="35" t="s">
        <v>115</v>
      </c>
      <c r="G20" s="35"/>
      <c r="H20" s="61" t="str">
        <f t="shared" si="2"/>
        <v>3#1#750|3#3#37|3#4#75|3#5#37|3#6#75|3#7#37|3#6#75|3#8#75|3#9#18|3#10#37|3#11#18|3#12#37</v>
      </c>
      <c r="I20" s="43" t="str">
        <f t="shared" si="4"/>
        <v>元宝24100/声望320</v>
      </c>
      <c r="J20" s="35"/>
      <c r="K20" s="22">
        <v>15</v>
      </c>
      <c r="L20" s="22">
        <v>2</v>
      </c>
      <c r="M20" s="22">
        <f>材料产出!C7</f>
        <v>0.8</v>
      </c>
      <c r="N20" s="97">
        <f t="shared" si="8"/>
        <v>750</v>
      </c>
      <c r="O20" s="97"/>
      <c r="P20" s="97">
        <f t="shared" si="9"/>
        <v>37</v>
      </c>
      <c r="Q20" s="97">
        <f t="shared" si="10"/>
        <v>75</v>
      </c>
      <c r="R20" s="97">
        <f t="shared" si="11"/>
        <v>37</v>
      </c>
      <c r="S20" s="97">
        <f t="shared" si="12"/>
        <v>75</v>
      </c>
      <c r="T20" s="97">
        <f t="shared" si="13"/>
        <v>37</v>
      </c>
      <c r="U20" s="97">
        <f t="shared" si="14"/>
        <v>75</v>
      </c>
      <c r="V20" s="97">
        <f t="shared" si="15"/>
        <v>18</v>
      </c>
      <c r="W20" s="97">
        <f t="shared" si="16"/>
        <v>37</v>
      </c>
      <c r="X20" s="97">
        <f t="shared" si="17"/>
        <v>18</v>
      </c>
      <c r="Y20" s="97">
        <f t="shared" si="18"/>
        <v>37</v>
      </c>
      <c r="Z20" s="8">
        <f>N20*属性价值参考!C$5+官印!P20*属性价值参考!C$7+官印!Q20*属性价值参考!C$8+官印!V20*属性价值参考!C$9+官印!W20*属性价值参考!C$10+官印!X20*属性价值参考!C$11+官印!Y20*属性价值参考!C$12</f>
        <v>10354.800000000001</v>
      </c>
      <c r="AA20" s="8">
        <f t="shared" si="0"/>
        <v>1725800.0000000005</v>
      </c>
      <c r="AB20" s="8">
        <f t="shared" si="1"/>
        <v>17258.000000000004</v>
      </c>
      <c r="AC20" s="8">
        <f>ROUND($AA$105/材料产出!$K$31*SUM(材料产出!$K$7:$K$9)/100,0)*100</f>
        <v>24100</v>
      </c>
      <c r="AD20" s="8">
        <f>ROUND($AB$105/材料产出!$Q$31*SUM(材料产出!$P$7:$P$9)/10,0)*10</f>
        <v>320</v>
      </c>
    </row>
    <row r="21" spans="1:30" ht="16.5" x14ac:dyDescent="0.3">
      <c r="A21" s="35" t="s">
        <v>29</v>
      </c>
      <c r="B21" s="35" t="s">
        <v>30</v>
      </c>
      <c r="C21" s="41" t="s">
        <v>116</v>
      </c>
      <c r="D21" s="35">
        <v>9</v>
      </c>
      <c r="E21" s="35"/>
      <c r="F21" s="35" t="s">
        <v>115</v>
      </c>
      <c r="G21" s="35"/>
      <c r="H21" s="61" t="str">
        <f t="shared" si="2"/>
        <v>3#1#800|3#3#40|3#4#80|3#5#40|3#6#80|3#7#40|3#6#80|3#8#80|3#9#20|3#10#40|3#11#20|3#12#40</v>
      </c>
      <c r="I21" s="43" t="str">
        <f t="shared" si="4"/>
        <v>元宝24100/声望320</v>
      </c>
      <c r="J21" s="35"/>
      <c r="K21" s="22">
        <v>16</v>
      </c>
      <c r="L21" s="22">
        <v>2</v>
      </c>
      <c r="M21" s="22">
        <f>材料产出!C7</f>
        <v>0.8</v>
      </c>
      <c r="N21" s="97">
        <f t="shared" si="8"/>
        <v>800</v>
      </c>
      <c r="O21" s="97"/>
      <c r="P21" s="97">
        <f t="shared" si="9"/>
        <v>40</v>
      </c>
      <c r="Q21" s="97">
        <f t="shared" si="10"/>
        <v>80</v>
      </c>
      <c r="R21" s="97">
        <f t="shared" si="11"/>
        <v>40</v>
      </c>
      <c r="S21" s="97">
        <f t="shared" si="12"/>
        <v>80</v>
      </c>
      <c r="T21" s="97">
        <f t="shared" si="13"/>
        <v>40</v>
      </c>
      <c r="U21" s="97">
        <f t="shared" si="14"/>
        <v>80</v>
      </c>
      <c r="V21" s="97">
        <f t="shared" si="15"/>
        <v>20</v>
      </c>
      <c r="W21" s="97">
        <f t="shared" si="16"/>
        <v>40</v>
      </c>
      <c r="X21" s="97">
        <f t="shared" si="17"/>
        <v>20</v>
      </c>
      <c r="Y21" s="97">
        <f t="shared" si="18"/>
        <v>40</v>
      </c>
      <c r="Z21" s="8">
        <f>N21*属性价值参考!C$5+官印!P21*属性价值参考!C$7+官印!Q21*属性价值参考!C$8+官印!V21*属性价值参考!C$9+官印!W21*属性价值参考!C$10+官印!X21*属性价值参考!C$11+官印!Y21*属性价值参考!C$12</f>
        <v>11112</v>
      </c>
      <c r="AA21" s="8">
        <f t="shared" si="0"/>
        <v>1852000</v>
      </c>
      <c r="AB21" s="8">
        <f t="shared" si="1"/>
        <v>18520</v>
      </c>
      <c r="AC21" s="8">
        <f>ROUND($AA$105/材料产出!$K$31*SUM(材料产出!$K$7:$K$9)/100,0)*100</f>
        <v>24100</v>
      </c>
      <c r="AD21" s="8">
        <f>ROUND($AB$105/材料产出!$Q$31*SUM(材料产出!$P$7:$P$9)/10,0)*10</f>
        <v>320</v>
      </c>
    </row>
    <row r="22" spans="1:30" ht="16.5" x14ac:dyDescent="0.3">
      <c r="A22" s="44" t="s">
        <v>29</v>
      </c>
      <c r="B22" s="44" t="s">
        <v>30</v>
      </c>
      <c r="C22" s="45" t="s">
        <v>117</v>
      </c>
      <c r="D22" s="44">
        <v>0</v>
      </c>
      <c r="E22" s="44"/>
      <c r="F22" s="44" t="s">
        <v>115</v>
      </c>
      <c r="G22" s="44"/>
      <c r="H22" s="60" t="str">
        <f t="shared" si="2"/>
        <v>3#1#850|3#3#42|3#4#85|3#5#42|3#6#85|3#7#42|3#6#85|3#8#85|3#9#21|3#10#42|3#11#21|3#12#42</v>
      </c>
      <c r="I22" s="46"/>
      <c r="J22" s="44"/>
      <c r="K22" s="22">
        <v>17</v>
      </c>
      <c r="L22" s="22"/>
      <c r="M22" s="22"/>
      <c r="N22" s="97">
        <f t="shared" si="8"/>
        <v>850</v>
      </c>
      <c r="O22" s="97"/>
      <c r="P22" s="97">
        <f t="shared" si="9"/>
        <v>42</v>
      </c>
      <c r="Q22" s="97">
        <f t="shared" si="10"/>
        <v>85</v>
      </c>
      <c r="R22" s="97">
        <f t="shared" si="11"/>
        <v>42</v>
      </c>
      <c r="S22" s="97">
        <f t="shared" si="12"/>
        <v>85</v>
      </c>
      <c r="T22" s="97">
        <f t="shared" si="13"/>
        <v>42</v>
      </c>
      <c r="U22" s="97">
        <f t="shared" si="14"/>
        <v>85</v>
      </c>
      <c r="V22" s="97">
        <f t="shared" si="15"/>
        <v>21</v>
      </c>
      <c r="W22" s="97">
        <f t="shared" si="16"/>
        <v>42</v>
      </c>
      <c r="X22" s="97">
        <f t="shared" si="17"/>
        <v>21</v>
      </c>
      <c r="Y22" s="97">
        <f t="shared" si="18"/>
        <v>42</v>
      </c>
      <c r="Z22" s="8">
        <f>N22*属性价值参考!C$5+官印!P22*属性价值参考!C$7+官印!Q22*属性价值参考!C$8+官印!V22*属性价值参考!C$9+官印!W22*属性价值参考!C$10+官印!X22*属性价值参考!C$11+官印!Y22*属性价值参考!C$12</f>
        <v>11757.6</v>
      </c>
      <c r="AA22" s="8">
        <f t="shared" si="0"/>
        <v>1959600</v>
      </c>
      <c r="AB22" s="8">
        <f t="shared" si="1"/>
        <v>19596</v>
      </c>
      <c r="AC22" s="8"/>
      <c r="AD22" s="8"/>
    </row>
    <row r="23" spans="1:30" ht="16.5" x14ac:dyDescent="0.3">
      <c r="A23" s="44" t="s">
        <v>29</v>
      </c>
      <c r="B23" s="44" t="s">
        <v>30</v>
      </c>
      <c r="C23" s="45" t="s">
        <v>118</v>
      </c>
      <c r="D23" s="44">
        <v>1</v>
      </c>
      <c r="E23" s="44"/>
      <c r="F23" s="44" t="s">
        <v>119</v>
      </c>
      <c r="G23" s="44"/>
      <c r="H23" s="60" t="str">
        <f t="shared" si="2"/>
        <v>3#1#900|3#3#45|3#4#90|3#5#45|3#6#90|3#7#45|3#6#90|3#8#90|3#9#22|3#10#45|3#11#22|3#12#45</v>
      </c>
      <c r="I23" s="46" t="str">
        <f t="shared" si="4"/>
        <v>元宝68700/声望860</v>
      </c>
      <c r="J23" s="44"/>
      <c r="K23" s="22">
        <v>18</v>
      </c>
      <c r="L23" s="22">
        <v>3</v>
      </c>
      <c r="M23" s="22">
        <f>材料产出!C$10</f>
        <v>1.1000000000000001</v>
      </c>
      <c r="N23" s="97">
        <f t="shared" si="8"/>
        <v>900</v>
      </c>
      <c r="O23" s="97"/>
      <c r="P23" s="97">
        <f t="shared" si="9"/>
        <v>45</v>
      </c>
      <c r="Q23" s="97">
        <f t="shared" si="10"/>
        <v>90</v>
      </c>
      <c r="R23" s="97">
        <f t="shared" si="11"/>
        <v>45</v>
      </c>
      <c r="S23" s="97">
        <f t="shared" si="12"/>
        <v>90</v>
      </c>
      <c r="T23" s="97">
        <f t="shared" si="13"/>
        <v>45</v>
      </c>
      <c r="U23" s="97">
        <f t="shared" si="14"/>
        <v>90</v>
      </c>
      <c r="V23" s="97">
        <f t="shared" si="15"/>
        <v>22</v>
      </c>
      <c r="W23" s="97">
        <f t="shared" si="16"/>
        <v>45</v>
      </c>
      <c r="X23" s="97">
        <f t="shared" si="17"/>
        <v>22</v>
      </c>
      <c r="Y23" s="97">
        <f t="shared" si="18"/>
        <v>45</v>
      </c>
      <c r="Z23" s="8">
        <f>N23*属性价值参考!C$5+官印!P23*属性价值参考!C$7+官印!Q23*属性价值参考!C$8+官印!V23*属性价值参考!C$9+官印!W23*属性价值参考!C$10+官印!X23*属性价值参考!C$11+官印!Y23*属性价值参考!C$12</f>
        <v>12487.199999999999</v>
      </c>
      <c r="AA23" s="8">
        <f t="shared" si="0"/>
        <v>2081200</v>
      </c>
      <c r="AB23" s="8">
        <f t="shared" si="1"/>
        <v>20812</v>
      </c>
      <c r="AC23" s="8">
        <f>ROUND($AA$105/材料产出!$K$31*SUM(材料产出!$K$10:$K$12)/100,0)*100</f>
        <v>68700</v>
      </c>
      <c r="AD23" s="8">
        <f>ROUND($AB$105/材料产出!$Q$31*SUM(材料产出!$P$10:$P$12)/10,0)*10</f>
        <v>860</v>
      </c>
    </row>
    <row r="24" spans="1:30" ht="16.5" x14ac:dyDescent="0.3">
      <c r="A24" s="44" t="s">
        <v>29</v>
      </c>
      <c r="B24" s="44" t="s">
        <v>30</v>
      </c>
      <c r="C24" s="45" t="s">
        <v>118</v>
      </c>
      <c r="D24" s="44">
        <v>2</v>
      </c>
      <c r="E24" s="44"/>
      <c r="F24" s="44" t="s">
        <v>119</v>
      </c>
      <c r="G24" s="44"/>
      <c r="H24" s="60" t="str">
        <f t="shared" si="2"/>
        <v>3#1#950|3#3#47|3#4#95|3#5#47|3#6#95|3#7#47|3#6#95|3#8#95|3#9#23|3#10#47|3#11#23|3#12#47</v>
      </c>
      <c r="I24" s="46" t="str">
        <f t="shared" si="4"/>
        <v>元宝68700/声望860</v>
      </c>
      <c r="J24" s="44"/>
      <c r="K24" s="22">
        <v>19</v>
      </c>
      <c r="L24" s="22">
        <v>3</v>
      </c>
      <c r="M24" s="22">
        <f>材料产出!C$10</f>
        <v>1.1000000000000001</v>
      </c>
      <c r="N24" s="97">
        <f t="shared" si="8"/>
        <v>950</v>
      </c>
      <c r="O24" s="97"/>
      <c r="P24" s="97">
        <f t="shared" si="9"/>
        <v>47</v>
      </c>
      <c r="Q24" s="97">
        <f t="shared" si="10"/>
        <v>95</v>
      </c>
      <c r="R24" s="97">
        <f t="shared" si="11"/>
        <v>47</v>
      </c>
      <c r="S24" s="97">
        <f t="shared" si="12"/>
        <v>95</v>
      </c>
      <c r="T24" s="97">
        <f t="shared" si="13"/>
        <v>47</v>
      </c>
      <c r="U24" s="97">
        <f t="shared" si="14"/>
        <v>95</v>
      </c>
      <c r="V24" s="97">
        <f t="shared" si="15"/>
        <v>23</v>
      </c>
      <c r="W24" s="97">
        <f t="shared" si="16"/>
        <v>47</v>
      </c>
      <c r="X24" s="97">
        <f t="shared" si="17"/>
        <v>23</v>
      </c>
      <c r="Y24" s="97">
        <f t="shared" si="18"/>
        <v>47</v>
      </c>
      <c r="Z24" s="8">
        <f>N24*属性价值参考!C$5+官印!P24*属性价值参考!C$7+官印!Q24*属性价值参考!C$8+官印!V24*属性价值参考!C$9+官印!W24*属性价值参考!C$10+官印!X24*属性价值参考!C$11+官印!Y24*属性价值参考!C$12</f>
        <v>13132.800000000001</v>
      </c>
      <c r="AA24" s="8">
        <f t="shared" si="0"/>
        <v>2188800.0000000005</v>
      </c>
      <c r="AB24" s="8">
        <f t="shared" si="1"/>
        <v>21888.000000000004</v>
      </c>
      <c r="AC24" s="8">
        <f>ROUND($AA$105/材料产出!$K$31*SUM(材料产出!$K$10:$K$12)/100,0)*100</f>
        <v>68700</v>
      </c>
      <c r="AD24" s="8">
        <f>ROUND($AB$105/材料产出!$Q$31*SUM(材料产出!$P$10:$P$12)/10,0)*10</f>
        <v>860</v>
      </c>
    </row>
    <row r="25" spans="1:30" ht="16.5" x14ac:dyDescent="0.3">
      <c r="A25" s="44" t="s">
        <v>29</v>
      </c>
      <c r="B25" s="44" t="s">
        <v>30</v>
      </c>
      <c r="C25" s="45" t="s">
        <v>118</v>
      </c>
      <c r="D25" s="44">
        <v>3</v>
      </c>
      <c r="E25" s="44"/>
      <c r="F25" s="44" t="s">
        <v>119</v>
      </c>
      <c r="G25" s="44"/>
      <c r="H25" s="60" t="str">
        <f t="shared" si="2"/>
        <v>3#1#1000|3#3#50|3#4#100|3#5#50|3#6#100|3#7#50|3#6#100|3#8#100|3#9#25|3#10#50|3#11#25|3#12#50</v>
      </c>
      <c r="I25" s="46" t="str">
        <f t="shared" si="4"/>
        <v>元宝68700/声望860</v>
      </c>
      <c r="J25" s="44"/>
      <c r="K25" s="22">
        <v>20</v>
      </c>
      <c r="L25" s="22">
        <v>3</v>
      </c>
      <c r="M25" s="22">
        <f>材料产出!C$10</f>
        <v>1.1000000000000001</v>
      </c>
      <c r="N25" s="97">
        <f t="shared" si="8"/>
        <v>1000</v>
      </c>
      <c r="O25" s="97"/>
      <c r="P25" s="97">
        <f t="shared" si="9"/>
        <v>50</v>
      </c>
      <c r="Q25" s="97">
        <f t="shared" si="10"/>
        <v>100</v>
      </c>
      <c r="R25" s="97">
        <f t="shared" si="11"/>
        <v>50</v>
      </c>
      <c r="S25" s="97">
        <f t="shared" si="12"/>
        <v>100</v>
      </c>
      <c r="T25" s="97">
        <f t="shared" si="13"/>
        <v>50</v>
      </c>
      <c r="U25" s="97">
        <f t="shared" si="14"/>
        <v>100</v>
      </c>
      <c r="V25" s="97">
        <f t="shared" si="15"/>
        <v>25</v>
      </c>
      <c r="W25" s="97">
        <f t="shared" si="16"/>
        <v>50</v>
      </c>
      <c r="X25" s="97">
        <f t="shared" si="17"/>
        <v>25</v>
      </c>
      <c r="Y25" s="97">
        <f t="shared" si="18"/>
        <v>50</v>
      </c>
      <c r="Z25" s="8">
        <f>N25*属性价值参考!C$5+官印!P25*属性价值参考!C$7+官印!Q25*属性价值参考!C$8+官印!V25*属性价值参考!C$9+官印!W25*属性价值参考!C$10+官印!X25*属性价值参考!C$11+官印!Y25*属性价值参考!C$12</f>
        <v>13890</v>
      </c>
      <c r="AA25" s="8">
        <f t="shared" si="0"/>
        <v>2315000</v>
      </c>
      <c r="AB25" s="8">
        <f t="shared" si="1"/>
        <v>23150</v>
      </c>
      <c r="AC25" s="8">
        <f>ROUND($AA$105/材料产出!$K$31*SUM(材料产出!$K$10:$K$12)/100,0)*100</f>
        <v>68700</v>
      </c>
      <c r="AD25" s="8">
        <f>ROUND($AB$105/材料产出!$Q$31*SUM(材料产出!$P$10:$P$12)/10,0)*10</f>
        <v>860</v>
      </c>
    </row>
    <row r="26" spans="1:30" ht="16.5" x14ac:dyDescent="0.3">
      <c r="A26" s="44" t="s">
        <v>29</v>
      </c>
      <c r="B26" s="44" t="s">
        <v>30</v>
      </c>
      <c r="C26" s="45" t="s">
        <v>118</v>
      </c>
      <c r="D26" s="44">
        <v>4</v>
      </c>
      <c r="E26" s="44"/>
      <c r="F26" s="44" t="s">
        <v>119</v>
      </c>
      <c r="G26" s="44"/>
      <c r="H26" s="60" t="str">
        <f t="shared" si="2"/>
        <v>3#1#1050|3#3#52|3#4#105|3#5#52|3#6#105|3#7#52|3#6#105|3#8#105|3#9#26|3#10#52|3#11#26|3#12#52</v>
      </c>
      <c r="I26" s="46" t="str">
        <f t="shared" si="4"/>
        <v>元宝68700/声望860</v>
      </c>
      <c r="J26" s="44"/>
      <c r="K26" s="22">
        <v>21</v>
      </c>
      <c r="L26" s="22">
        <v>3</v>
      </c>
      <c r="M26" s="22">
        <f>材料产出!C$10</f>
        <v>1.1000000000000001</v>
      </c>
      <c r="N26" s="97">
        <f t="shared" si="8"/>
        <v>1050</v>
      </c>
      <c r="O26" s="97"/>
      <c r="P26" s="97">
        <f t="shared" si="9"/>
        <v>52</v>
      </c>
      <c r="Q26" s="97">
        <f t="shared" si="10"/>
        <v>105</v>
      </c>
      <c r="R26" s="97">
        <f t="shared" si="11"/>
        <v>52</v>
      </c>
      <c r="S26" s="97">
        <f t="shared" si="12"/>
        <v>105</v>
      </c>
      <c r="T26" s="97">
        <f t="shared" si="13"/>
        <v>52</v>
      </c>
      <c r="U26" s="97">
        <f t="shared" si="14"/>
        <v>105</v>
      </c>
      <c r="V26" s="97">
        <f t="shared" si="15"/>
        <v>26</v>
      </c>
      <c r="W26" s="97">
        <f t="shared" si="16"/>
        <v>52</v>
      </c>
      <c r="X26" s="97">
        <f t="shared" si="17"/>
        <v>26</v>
      </c>
      <c r="Y26" s="97">
        <f t="shared" si="18"/>
        <v>52</v>
      </c>
      <c r="Z26" s="8">
        <f>N26*属性价值参考!C$5+官印!P26*属性价值参考!C$7+官印!Q26*属性价值参考!C$8+官印!V26*属性价值参考!C$9+官印!W26*属性价值参考!C$10+官印!X26*属性价值参考!C$11+官印!Y26*属性价值参考!C$12</f>
        <v>14535.6</v>
      </c>
      <c r="AA26" s="8">
        <f t="shared" si="0"/>
        <v>2422600</v>
      </c>
      <c r="AB26" s="8">
        <f t="shared" si="1"/>
        <v>24226</v>
      </c>
      <c r="AC26" s="8">
        <f>ROUND($AA$105/材料产出!$K$31*SUM(材料产出!$K$10:$K$12)/100,0)*100</f>
        <v>68700</v>
      </c>
      <c r="AD26" s="8">
        <f>ROUND($AB$105/材料产出!$Q$31*SUM(材料产出!$P$10:$P$12)/10,0)*10</f>
        <v>860</v>
      </c>
    </row>
    <row r="27" spans="1:30" ht="16.5" x14ac:dyDescent="0.3">
      <c r="A27" s="44" t="s">
        <v>29</v>
      </c>
      <c r="B27" s="44" t="s">
        <v>30</v>
      </c>
      <c r="C27" s="45" t="s">
        <v>118</v>
      </c>
      <c r="D27" s="44">
        <v>5</v>
      </c>
      <c r="E27" s="44"/>
      <c r="F27" s="44" t="s">
        <v>119</v>
      </c>
      <c r="G27" s="44"/>
      <c r="H27" s="60" t="str">
        <f t="shared" si="2"/>
        <v>3#1#1100|3#3#55|3#4#110|3#5#55|3#6#110|3#7#55|3#6#110|3#8#110|3#9#27|3#10#55|3#11#27|3#12#55</v>
      </c>
      <c r="I27" s="46" t="str">
        <f t="shared" si="4"/>
        <v>元宝68700/声望860</v>
      </c>
      <c r="J27" s="44"/>
      <c r="K27" s="22">
        <v>22</v>
      </c>
      <c r="L27" s="22">
        <v>3</v>
      </c>
      <c r="M27" s="22">
        <f>材料产出!C$10</f>
        <v>1.1000000000000001</v>
      </c>
      <c r="N27" s="97">
        <f t="shared" si="8"/>
        <v>1100</v>
      </c>
      <c r="O27" s="97"/>
      <c r="P27" s="97">
        <f t="shared" si="9"/>
        <v>55</v>
      </c>
      <c r="Q27" s="97">
        <f t="shared" si="10"/>
        <v>110</v>
      </c>
      <c r="R27" s="97">
        <f t="shared" si="11"/>
        <v>55</v>
      </c>
      <c r="S27" s="97">
        <f t="shared" si="12"/>
        <v>110</v>
      </c>
      <c r="T27" s="97">
        <f t="shared" si="13"/>
        <v>55</v>
      </c>
      <c r="U27" s="97">
        <f t="shared" si="14"/>
        <v>110</v>
      </c>
      <c r="V27" s="97">
        <f t="shared" si="15"/>
        <v>27</v>
      </c>
      <c r="W27" s="97">
        <f t="shared" si="16"/>
        <v>55</v>
      </c>
      <c r="X27" s="97">
        <f t="shared" si="17"/>
        <v>27</v>
      </c>
      <c r="Y27" s="97">
        <f t="shared" si="18"/>
        <v>55</v>
      </c>
      <c r="Z27" s="8">
        <f>N27*属性价值参考!C$5+官印!P27*属性价值参考!C$7+官印!Q27*属性价值参考!C$8+官印!V27*属性价值参考!C$9+官印!W27*属性价值参考!C$10+官印!X27*属性价值参考!C$11+官印!Y27*属性价值参考!C$12</f>
        <v>15265.199999999999</v>
      </c>
      <c r="AA27" s="8">
        <f t="shared" si="0"/>
        <v>2544200</v>
      </c>
      <c r="AB27" s="8">
        <f t="shared" si="1"/>
        <v>25442</v>
      </c>
      <c r="AC27" s="8">
        <f>ROUND($AA$105/材料产出!$K$31*SUM(材料产出!$K$10:$K$12)/100,0)*100</f>
        <v>68700</v>
      </c>
      <c r="AD27" s="8">
        <f>ROUND($AB$105/材料产出!$Q$31*SUM(材料产出!$P$10:$P$12)/10,0)*10</f>
        <v>860</v>
      </c>
    </row>
    <row r="28" spans="1:30" ht="16.5" x14ac:dyDescent="0.3">
      <c r="A28" s="44" t="s">
        <v>29</v>
      </c>
      <c r="B28" s="44" t="s">
        <v>30</v>
      </c>
      <c r="C28" s="45" t="s">
        <v>118</v>
      </c>
      <c r="D28" s="44">
        <v>6</v>
      </c>
      <c r="E28" s="44"/>
      <c r="F28" s="44" t="s">
        <v>119</v>
      </c>
      <c r="G28" s="44"/>
      <c r="H28" s="60" t="str">
        <f t="shared" si="2"/>
        <v>3#1#1150|3#3#57|3#4#115|3#5#57|3#6#115|3#7#57|3#6#115|3#8#115|3#9#28|3#10#57|3#11#28|3#12#57</v>
      </c>
      <c r="I28" s="46" t="str">
        <f t="shared" si="4"/>
        <v>元宝68700/声望860</v>
      </c>
      <c r="J28" s="44"/>
      <c r="K28" s="22">
        <v>23</v>
      </c>
      <c r="L28" s="22">
        <v>3</v>
      </c>
      <c r="M28" s="22">
        <f>材料产出!C$10</f>
        <v>1.1000000000000001</v>
      </c>
      <c r="N28" s="97">
        <f t="shared" si="8"/>
        <v>1150</v>
      </c>
      <c r="O28" s="97"/>
      <c r="P28" s="97">
        <f t="shared" si="9"/>
        <v>57</v>
      </c>
      <c r="Q28" s="97">
        <f t="shared" si="10"/>
        <v>115</v>
      </c>
      <c r="R28" s="97">
        <f t="shared" si="11"/>
        <v>57</v>
      </c>
      <c r="S28" s="97">
        <f t="shared" si="12"/>
        <v>115</v>
      </c>
      <c r="T28" s="97">
        <f t="shared" si="13"/>
        <v>57</v>
      </c>
      <c r="U28" s="97">
        <f t="shared" si="14"/>
        <v>115</v>
      </c>
      <c r="V28" s="97">
        <f t="shared" si="15"/>
        <v>28</v>
      </c>
      <c r="W28" s="97">
        <f t="shared" si="16"/>
        <v>57</v>
      </c>
      <c r="X28" s="97">
        <f t="shared" si="17"/>
        <v>28</v>
      </c>
      <c r="Y28" s="97">
        <f t="shared" si="18"/>
        <v>57</v>
      </c>
      <c r="Z28" s="8">
        <f>N28*属性价值参考!C$5+官印!P28*属性价值参考!C$7+官印!Q28*属性价值参考!C$8+官印!V28*属性价值参考!C$9+官印!W28*属性价值参考!C$10+官印!X28*属性价值参考!C$11+官印!Y28*属性价值参考!C$12</f>
        <v>15910.800000000001</v>
      </c>
      <c r="AA28" s="8">
        <f t="shared" si="0"/>
        <v>2651800.0000000005</v>
      </c>
      <c r="AB28" s="8">
        <f t="shared" si="1"/>
        <v>26518.000000000004</v>
      </c>
      <c r="AC28" s="8">
        <f>ROUND($AA$105/材料产出!$K$31*SUM(材料产出!$K$10:$K$12)/100,0)*100</f>
        <v>68700</v>
      </c>
      <c r="AD28" s="8">
        <f>ROUND($AB$105/材料产出!$Q$31*SUM(材料产出!$P$10:$P$12)/10,0)*10</f>
        <v>860</v>
      </c>
    </row>
    <row r="29" spans="1:30" ht="16.5" x14ac:dyDescent="0.3">
      <c r="A29" s="44" t="s">
        <v>29</v>
      </c>
      <c r="B29" s="44" t="s">
        <v>30</v>
      </c>
      <c r="C29" s="45" t="s">
        <v>118</v>
      </c>
      <c r="D29" s="44">
        <v>7</v>
      </c>
      <c r="E29" s="44"/>
      <c r="F29" s="44" t="s">
        <v>119</v>
      </c>
      <c r="G29" s="44"/>
      <c r="H29" s="60" t="str">
        <f t="shared" si="2"/>
        <v>3#1#1200|3#3#60|3#4#120|3#5#60|3#6#120|3#7#60|3#6#120|3#8#120|3#9#30|3#10#60|3#11#30|3#12#60</v>
      </c>
      <c r="I29" s="46" t="str">
        <f t="shared" si="4"/>
        <v>元宝68700/声望860</v>
      </c>
      <c r="J29" s="44"/>
      <c r="K29" s="22">
        <v>24</v>
      </c>
      <c r="L29" s="22">
        <v>3</v>
      </c>
      <c r="M29" s="22">
        <f>材料产出!C$10</f>
        <v>1.1000000000000001</v>
      </c>
      <c r="N29" s="97">
        <f t="shared" si="8"/>
        <v>1200</v>
      </c>
      <c r="O29" s="97"/>
      <c r="P29" s="97">
        <f t="shared" si="9"/>
        <v>60</v>
      </c>
      <c r="Q29" s="97">
        <f t="shared" si="10"/>
        <v>120</v>
      </c>
      <c r="R29" s="97">
        <f t="shared" si="11"/>
        <v>60</v>
      </c>
      <c r="S29" s="97">
        <f t="shared" si="12"/>
        <v>120</v>
      </c>
      <c r="T29" s="97">
        <f t="shared" si="13"/>
        <v>60</v>
      </c>
      <c r="U29" s="97">
        <f t="shared" si="14"/>
        <v>120</v>
      </c>
      <c r="V29" s="97">
        <f t="shared" si="15"/>
        <v>30</v>
      </c>
      <c r="W29" s="97">
        <f t="shared" si="16"/>
        <v>60</v>
      </c>
      <c r="X29" s="97">
        <f t="shared" si="17"/>
        <v>30</v>
      </c>
      <c r="Y29" s="97">
        <f t="shared" si="18"/>
        <v>60</v>
      </c>
      <c r="Z29" s="8">
        <f>N29*属性价值参考!C$5+官印!P29*属性价值参考!C$7+官印!Q29*属性价值参考!C$8+官印!V29*属性价值参考!C$9+官印!W29*属性价值参考!C$10+官印!X29*属性价值参考!C$11+官印!Y29*属性价值参考!C$12</f>
        <v>16668</v>
      </c>
      <c r="AA29" s="8">
        <f t="shared" si="0"/>
        <v>2778000</v>
      </c>
      <c r="AB29" s="8">
        <f t="shared" si="1"/>
        <v>27780</v>
      </c>
      <c r="AC29" s="8">
        <f>ROUND($AA$105/材料产出!$K$31*SUM(材料产出!$K$10:$K$12)/100,0)*100</f>
        <v>68700</v>
      </c>
      <c r="AD29" s="8">
        <f>ROUND($AB$105/材料产出!$Q$31*SUM(材料产出!$P$10:$P$12)/10,0)*10</f>
        <v>860</v>
      </c>
    </row>
    <row r="30" spans="1:30" ht="16.5" x14ac:dyDescent="0.3">
      <c r="A30" s="44" t="s">
        <v>29</v>
      </c>
      <c r="B30" s="44" t="s">
        <v>30</v>
      </c>
      <c r="C30" s="45" t="s">
        <v>118</v>
      </c>
      <c r="D30" s="44">
        <v>8</v>
      </c>
      <c r="E30" s="44"/>
      <c r="F30" s="44" t="s">
        <v>119</v>
      </c>
      <c r="G30" s="44"/>
      <c r="H30" s="60" t="str">
        <f t="shared" si="2"/>
        <v>3#1#1250|3#3#62|3#4#125|3#5#62|3#6#125|3#7#62|3#6#125|3#8#125|3#9#31|3#10#62|3#11#31|3#12#62</v>
      </c>
      <c r="I30" s="46" t="str">
        <f t="shared" si="4"/>
        <v>元宝68700/声望860</v>
      </c>
      <c r="J30" s="44"/>
      <c r="K30" s="22">
        <v>25</v>
      </c>
      <c r="L30" s="22">
        <v>3</v>
      </c>
      <c r="M30" s="22">
        <f>材料产出!C$10</f>
        <v>1.1000000000000001</v>
      </c>
      <c r="N30" s="97">
        <f t="shared" si="8"/>
        <v>1250</v>
      </c>
      <c r="O30" s="97"/>
      <c r="P30" s="97">
        <f t="shared" si="9"/>
        <v>62</v>
      </c>
      <c r="Q30" s="97">
        <f t="shared" si="10"/>
        <v>125</v>
      </c>
      <c r="R30" s="97">
        <f t="shared" si="11"/>
        <v>62</v>
      </c>
      <c r="S30" s="97">
        <f t="shared" si="12"/>
        <v>125</v>
      </c>
      <c r="T30" s="97">
        <f t="shared" si="13"/>
        <v>62</v>
      </c>
      <c r="U30" s="97">
        <f t="shared" si="14"/>
        <v>125</v>
      </c>
      <c r="V30" s="97">
        <f t="shared" si="15"/>
        <v>31</v>
      </c>
      <c r="W30" s="97">
        <f t="shared" si="16"/>
        <v>62</v>
      </c>
      <c r="X30" s="97">
        <f t="shared" si="17"/>
        <v>31</v>
      </c>
      <c r="Y30" s="97">
        <f t="shared" si="18"/>
        <v>62</v>
      </c>
      <c r="Z30" s="8">
        <f>N30*属性价值参考!C$5+官印!P30*属性价值参考!C$7+官印!Q30*属性价值参考!C$8+官印!V30*属性价值参考!C$9+官印!W30*属性价值参考!C$10+官印!X30*属性价值参考!C$11+官印!Y30*属性价值参考!C$12</f>
        <v>17313.599999999999</v>
      </c>
      <c r="AA30" s="8">
        <f t="shared" si="0"/>
        <v>2885600</v>
      </c>
      <c r="AB30" s="8">
        <f t="shared" si="1"/>
        <v>28856</v>
      </c>
      <c r="AC30" s="8">
        <f>ROUND($AA$105/材料产出!$K$31*SUM(材料产出!$K$10:$K$12)/100,0)*100</f>
        <v>68700</v>
      </c>
      <c r="AD30" s="8">
        <f>ROUND($AB$105/材料产出!$Q$31*SUM(材料产出!$P$10:$P$12)/10,0)*10</f>
        <v>860</v>
      </c>
    </row>
    <row r="31" spans="1:30" ht="16.5" x14ac:dyDescent="0.3">
      <c r="A31" s="44" t="s">
        <v>29</v>
      </c>
      <c r="B31" s="44" t="s">
        <v>30</v>
      </c>
      <c r="C31" s="45" t="s">
        <v>118</v>
      </c>
      <c r="D31" s="44">
        <v>9</v>
      </c>
      <c r="E31" s="44"/>
      <c r="F31" s="44" t="s">
        <v>119</v>
      </c>
      <c r="G31" s="44"/>
      <c r="H31" s="60" t="str">
        <f t="shared" si="2"/>
        <v>3#1#1300|3#3#65|3#4#130|3#5#65|3#6#130|3#7#65|3#6#130|3#8#130|3#9#32|3#10#65|3#11#32|3#12#65</v>
      </c>
      <c r="I31" s="46" t="str">
        <f t="shared" si="4"/>
        <v>元宝68700/声望860</v>
      </c>
      <c r="J31" s="44"/>
      <c r="K31" s="22">
        <v>26</v>
      </c>
      <c r="L31" s="22">
        <v>3</v>
      </c>
      <c r="M31" s="22">
        <f>材料产出!C$10</f>
        <v>1.1000000000000001</v>
      </c>
      <c r="N31" s="97">
        <f t="shared" si="8"/>
        <v>1300</v>
      </c>
      <c r="O31" s="97"/>
      <c r="P31" s="97">
        <f t="shared" si="9"/>
        <v>65</v>
      </c>
      <c r="Q31" s="97">
        <f t="shared" si="10"/>
        <v>130</v>
      </c>
      <c r="R31" s="97">
        <f t="shared" si="11"/>
        <v>65</v>
      </c>
      <c r="S31" s="97">
        <f t="shared" si="12"/>
        <v>130</v>
      </c>
      <c r="T31" s="97">
        <f t="shared" si="13"/>
        <v>65</v>
      </c>
      <c r="U31" s="97">
        <f t="shared" si="14"/>
        <v>130</v>
      </c>
      <c r="V31" s="97">
        <f t="shared" si="15"/>
        <v>32</v>
      </c>
      <c r="W31" s="97">
        <f t="shared" si="16"/>
        <v>65</v>
      </c>
      <c r="X31" s="97">
        <f t="shared" si="17"/>
        <v>32</v>
      </c>
      <c r="Y31" s="97">
        <f t="shared" si="18"/>
        <v>65</v>
      </c>
      <c r="Z31" s="8">
        <f>N31*属性价值参考!C$5+官印!P31*属性价值参考!C$7+官印!Q31*属性价值参考!C$8+官印!V31*属性价值参考!C$9+官印!W31*属性价值参考!C$10+官印!X31*属性价值参考!C$11+官印!Y31*属性价值参考!C$12</f>
        <v>18043.2</v>
      </c>
      <c r="AA31" s="8">
        <f t="shared" si="0"/>
        <v>3007200.0000000005</v>
      </c>
      <c r="AB31" s="8">
        <f t="shared" si="1"/>
        <v>30072.000000000004</v>
      </c>
      <c r="AC31" s="8">
        <f>ROUND($AA$105/材料产出!$K$31*SUM(材料产出!$K$10:$K$12)/100,0)*100</f>
        <v>68700</v>
      </c>
      <c r="AD31" s="8">
        <f>ROUND($AB$105/材料产出!$Q$31*SUM(材料产出!$P$10:$P$12)/10,0)*10</f>
        <v>860</v>
      </c>
    </row>
    <row r="32" spans="1:30" ht="16.5" x14ac:dyDescent="0.3">
      <c r="A32" s="47" t="s">
        <v>29</v>
      </c>
      <c r="B32" s="47" t="s">
        <v>30</v>
      </c>
      <c r="C32" s="48" t="s">
        <v>120</v>
      </c>
      <c r="D32" s="47">
        <v>0</v>
      </c>
      <c r="E32" s="47"/>
      <c r="F32" s="47" t="s">
        <v>119</v>
      </c>
      <c r="G32" s="47"/>
      <c r="H32" s="59" t="str">
        <f t="shared" si="2"/>
        <v>3#1#1350|3#3#67|3#4#135|3#5#67|3#6#135|3#7#67|3#6#135|3#8#135|3#9#33|3#10#67|3#11#33|3#12#67</v>
      </c>
      <c r="I32" s="49"/>
      <c r="J32" s="47"/>
      <c r="K32" s="22">
        <v>27</v>
      </c>
      <c r="L32" s="22"/>
      <c r="M32" s="22"/>
      <c r="N32" s="97">
        <f t="shared" si="8"/>
        <v>1350</v>
      </c>
      <c r="O32" s="97"/>
      <c r="P32" s="97">
        <f t="shared" si="9"/>
        <v>67</v>
      </c>
      <c r="Q32" s="97">
        <f t="shared" si="10"/>
        <v>135</v>
      </c>
      <c r="R32" s="97">
        <f t="shared" si="11"/>
        <v>67</v>
      </c>
      <c r="S32" s="97">
        <f t="shared" si="12"/>
        <v>135</v>
      </c>
      <c r="T32" s="97">
        <f t="shared" si="13"/>
        <v>67</v>
      </c>
      <c r="U32" s="97">
        <f t="shared" si="14"/>
        <v>135</v>
      </c>
      <c r="V32" s="97">
        <f t="shared" si="15"/>
        <v>33</v>
      </c>
      <c r="W32" s="97">
        <f t="shared" si="16"/>
        <v>67</v>
      </c>
      <c r="X32" s="97">
        <f t="shared" si="17"/>
        <v>33</v>
      </c>
      <c r="Y32" s="97">
        <f t="shared" si="18"/>
        <v>67</v>
      </c>
      <c r="Z32" s="8">
        <f>N32*属性价值参考!C$5+官印!P32*属性价值参考!C$7+官印!Q32*属性价值参考!C$8+官印!V32*属性价值参考!C$9+官印!W32*属性价值参考!C$10+官印!X32*属性价值参考!C$11+官印!Y32*属性价值参考!C$12</f>
        <v>18688.800000000003</v>
      </c>
      <c r="AA32" s="8">
        <f t="shared" si="0"/>
        <v>3114800.0000000009</v>
      </c>
      <c r="AB32" s="8">
        <f t="shared" si="1"/>
        <v>31148.000000000007</v>
      </c>
      <c r="AC32" s="8"/>
      <c r="AD32" s="8"/>
    </row>
    <row r="33" spans="1:30" ht="16.5" x14ac:dyDescent="0.3">
      <c r="A33" s="47" t="s">
        <v>29</v>
      </c>
      <c r="B33" s="47" t="s">
        <v>30</v>
      </c>
      <c r="C33" s="48" t="s">
        <v>121</v>
      </c>
      <c r="D33" s="47">
        <v>1</v>
      </c>
      <c r="E33" s="47"/>
      <c r="F33" s="47" t="s">
        <v>122</v>
      </c>
      <c r="G33" s="47"/>
      <c r="H33" s="59" t="str">
        <f t="shared" si="2"/>
        <v>3#1#1400|3#3#70|3#4#140|3#5#70|3#6#140|3#7#70|3#6#140|3#8#140|3#9#35|3#10#70|3#11#35|3#12#70</v>
      </c>
      <c r="I33" s="49" t="str">
        <f t="shared" si="4"/>
        <v>元宝396200/声望4250</v>
      </c>
      <c r="J33" s="47"/>
      <c r="K33" s="22">
        <v>28</v>
      </c>
      <c r="L33" s="22">
        <v>4</v>
      </c>
      <c r="M33" s="22">
        <f>材料产出!C$13</f>
        <v>1.5</v>
      </c>
      <c r="N33" s="97">
        <f t="shared" si="8"/>
        <v>1400</v>
      </c>
      <c r="O33" s="97"/>
      <c r="P33" s="97">
        <f t="shared" si="9"/>
        <v>70</v>
      </c>
      <c r="Q33" s="97">
        <f t="shared" si="10"/>
        <v>140</v>
      </c>
      <c r="R33" s="97">
        <f t="shared" si="11"/>
        <v>70</v>
      </c>
      <c r="S33" s="97">
        <f t="shared" si="12"/>
        <v>140</v>
      </c>
      <c r="T33" s="97">
        <f t="shared" si="13"/>
        <v>70</v>
      </c>
      <c r="U33" s="97">
        <f t="shared" si="14"/>
        <v>140</v>
      </c>
      <c r="V33" s="97">
        <f t="shared" si="15"/>
        <v>35</v>
      </c>
      <c r="W33" s="97">
        <f t="shared" si="16"/>
        <v>70</v>
      </c>
      <c r="X33" s="97">
        <f t="shared" si="17"/>
        <v>35</v>
      </c>
      <c r="Y33" s="97">
        <f t="shared" si="18"/>
        <v>70</v>
      </c>
      <c r="Z33" s="8">
        <f>N33*属性价值参考!C$5+官印!P33*属性价值参考!C$7+官印!Q33*属性价值参考!C$8+官印!V33*属性价值参考!C$9+官印!W33*属性价值参考!C$10+官印!X33*属性价值参考!C$11+官印!Y33*属性价值参考!C$12</f>
        <v>19446</v>
      </c>
      <c r="AA33" s="8">
        <f t="shared" si="0"/>
        <v>3241000</v>
      </c>
      <c r="AB33" s="8">
        <f t="shared" si="1"/>
        <v>32410</v>
      </c>
      <c r="AC33" s="8">
        <f>ROUND($AA$105/材料产出!$K$31*SUM(材料产出!$K$13:$K$15)/100,0)*100</f>
        <v>396200</v>
      </c>
      <c r="AD33" s="8">
        <f>ROUND($AB$105/材料产出!$Q$31*SUM(材料产出!$P$13:$P$15)/10,0)*10</f>
        <v>4250</v>
      </c>
    </row>
    <row r="34" spans="1:30" ht="16.5" x14ac:dyDescent="0.3">
      <c r="A34" s="47" t="s">
        <v>29</v>
      </c>
      <c r="B34" s="47" t="s">
        <v>30</v>
      </c>
      <c r="C34" s="48" t="s">
        <v>121</v>
      </c>
      <c r="D34" s="47">
        <v>2</v>
      </c>
      <c r="E34" s="47"/>
      <c r="F34" s="47" t="s">
        <v>122</v>
      </c>
      <c r="G34" s="47"/>
      <c r="H34" s="59" t="str">
        <f t="shared" si="2"/>
        <v>3#1#1450|3#3#72|3#4#145|3#5#72|3#6#145|3#7#72|3#6#145|3#8#145|3#9#36|3#10#72|3#11#36|3#12#72</v>
      </c>
      <c r="I34" s="49" t="str">
        <f t="shared" si="4"/>
        <v>元宝396200/声望4250</v>
      </c>
      <c r="J34" s="47"/>
      <c r="K34" s="22">
        <v>29</v>
      </c>
      <c r="L34" s="22">
        <v>4</v>
      </c>
      <c r="M34" s="22">
        <f>材料产出!C$13</f>
        <v>1.5</v>
      </c>
      <c r="N34" s="97">
        <f t="shared" si="8"/>
        <v>1450</v>
      </c>
      <c r="O34" s="97"/>
      <c r="P34" s="97">
        <f t="shared" si="9"/>
        <v>72</v>
      </c>
      <c r="Q34" s="97">
        <f t="shared" si="10"/>
        <v>145</v>
      </c>
      <c r="R34" s="97">
        <f t="shared" si="11"/>
        <v>72</v>
      </c>
      <c r="S34" s="97">
        <f t="shared" si="12"/>
        <v>145</v>
      </c>
      <c r="T34" s="97">
        <f t="shared" si="13"/>
        <v>72</v>
      </c>
      <c r="U34" s="97">
        <f t="shared" si="14"/>
        <v>145</v>
      </c>
      <c r="V34" s="97">
        <f t="shared" si="15"/>
        <v>36</v>
      </c>
      <c r="W34" s="97">
        <f t="shared" si="16"/>
        <v>72</v>
      </c>
      <c r="X34" s="97">
        <f t="shared" si="17"/>
        <v>36</v>
      </c>
      <c r="Y34" s="97">
        <f t="shared" si="18"/>
        <v>72</v>
      </c>
      <c r="Z34" s="8">
        <f>N34*属性价值参考!C$5+官印!P34*属性价值参考!C$7+官印!Q34*属性价值参考!C$8+官印!V34*属性价值参考!C$9+官印!W34*属性价值参考!C$10+官印!X34*属性价值参考!C$11+官印!Y34*属性价值参考!C$12</f>
        <v>20091.600000000002</v>
      </c>
      <c r="AA34" s="8">
        <f t="shared" si="0"/>
        <v>3348600.0000000009</v>
      </c>
      <c r="AB34" s="8">
        <f t="shared" si="1"/>
        <v>33486.000000000007</v>
      </c>
      <c r="AC34" s="8">
        <f>ROUND($AA$105/材料产出!$K$31*SUM(材料产出!$K$13:$K$15)/100,0)*100</f>
        <v>396200</v>
      </c>
      <c r="AD34" s="8">
        <f>ROUND($AB$105/材料产出!$Q$31*SUM(材料产出!$P$13:$P$15)/10,0)*10</f>
        <v>4250</v>
      </c>
    </row>
    <row r="35" spans="1:30" ht="16.5" x14ac:dyDescent="0.3">
      <c r="A35" s="47" t="s">
        <v>29</v>
      </c>
      <c r="B35" s="47" t="s">
        <v>30</v>
      </c>
      <c r="C35" s="48" t="s">
        <v>123</v>
      </c>
      <c r="D35" s="47">
        <v>3</v>
      </c>
      <c r="E35" s="47"/>
      <c r="F35" s="47" t="s">
        <v>122</v>
      </c>
      <c r="G35" s="47"/>
      <c r="H35" s="59" t="str">
        <f t="shared" si="2"/>
        <v>3#1#1500|3#3#75|3#4#150|3#5#75|3#6#150|3#7#75|3#6#150|3#8#150|3#9#37|3#10#75|3#11#37|3#12#75</v>
      </c>
      <c r="I35" s="49" t="str">
        <f t="shared" si="4"/>
        <v>元宝396200/声望4250</v>
      </c>
      <c r="J35" s="47"/>
      <c r="K35" s="22">
        <v>30</v>
      </c>
      <c r="L35" s="22">
        <v>4</v>
      </c>
      <c r="M35" s="22">
        <f>材料产出!C$13</f>
        <v>1.5</v>
      </c>
      <c r="N35" s="97">
        <f t="shared" si="8"/>
        <v>1500</v>
      </c>
      <c r="O35" s="97"/>
      <c r="P35" s="97">
        <f t="shared" si="9"/>
        <v>75</v>
      </c>
      <c r="Q35" s="97">
        <f t="shared" si="10"/>
        <v>150</v>
      </c>
      <c r="R35" s="97">
        <f t="shared" si="11"/>
        <v>75</v>
      </c>
      <c r="S35" s="97">
        <f t="shared" si="12"/>
        <v>150</v>
      </c>
      <c r="T35" s="97">
        <f t="shared" si="13"/>
        <v>75</v>
      </c>
      <c r="U35" s="97">
        <f t="shared" si="14"/>
        <v>150</v>
      </c>
      <c r="V35" s="97">
        <f t="shared" si="15"/>
        <v>37</v>
      </c>
      <c r="W35" s="97">
        <f t="shared" si="16"/>
        <v>75</v>
      </c>
      <c r="X35" s="97">
        <f t="shared" si="17"/>
        <v>37</v>
      </c>
      <c r="Y35" s="97">
        <f t="shared" si="18"/>
        <v>75</v>
      </c>
      <c r="Z35" s="8">
        <f>N35*属性价值参考!C$5+官印!P35*属性价值参考!C$7+官印!Q35*属性价值参考!C$8+官印!V35*属性价值参考!C$9+官印!W35*属性价值参考!C$10+官印!X35*属性价值参考!C$11+官印!Y35*属性价值参考!C$12</f>
        <v>20821.2</v>
      </c>
      <c r="AA35" s="8">
        <f t="shared" si="0"/>
        <v>3470200</v>
      </c>
      <c r="AB35" s="8">
        <f t="shared" si="1"/>
        <v>34702</v>
      </c>
      <c r="AC35" s="8">
        <f>ROUND($AA$105/材料产出!$K$31*SUM(材料产出!$K$13:$K$15)/100,0)*100</f>
        <v>396200</v>
      </c>
      <c r="AD35" s="8">
        <f>ROUND($AB$105/材料产出!$Q$31*SUM(材料产出!$P$13:$P$15)/10,0)*10</f>
        <v>4250</v>
      </c>
    </row>
    <row r="36" spans="1:30" ht="16.5" x14ac:dyDescent="0.3">
      <c r="A36" s="47" t="s">
        <v>29</v>
      </c>
      <c r="B36" s="47" t="s">
        <v>30</v>
      </c>
      <c r="C36" s="48" t="s">
        <v>121</v>
      </c>
      <c r="D36" s="47">
        <v>4</v>
      </c>
      <c r="E36" s="47"/>
      <c r="F36" s="47" t="s">
        <v>122</v>
      </c>
      <c r="G36" s="47"/>
      <c r="H36" s="59" t="str">
        <f t="shared" si="2"/>
        <v>3#1#1550|3#3#77|3#4#155|3#5#77|3#6#155|3#7#77|3#6#155|3#8#155|3#9#38|3#10#77|3#11#38|3#12#77</v>
      </c>
      <c r="I36" s="49" t="str">
        <f t="shared" si="4"/>
        <v>元宝396200/声望4250</v>
      </c>
      <c r="J36" s="47"/>
      <c r="K36" s="22">
        <v>31</v>
      </c>
      <c r="L36" s="22">
        <v>4</v>
      </c>
      <c r="M36" s="22">
        <f>材料产出!C$13</f>
        <v>1.5</v>
      </c>
      <c r="N36" s="97">
        <f t="shared" si="8"/>
        <v>1550</v>
      </c>
      <c r="O36" s="97"/>
      <c r="P36" s="97">
        <f t="shared" si="9"/>
        <v>77</v>
      </c>
      <c r="Q36" s="97">
        <f t="shared" si="10"/>
        <v>155</v>
      </c>
      <c r="R36" s="97">
        <f t="shared" si="11"/>
        <v>77</v>
      </c>
      <c r="S36" s="97">
        <f t="shared" si="12"/>
        <v>155</v>
      </c>
      <c r="T36" s="97">
        <f t="shared" si="13"/>
        <v>77</v>
      </c>
      <c r="U36" s="97">
        <f t="shared" si="14"/>
        <v>155</v>
      </c>
      <c r="V36" s="97">
        <f t="shared" si="15"/>
        <v>38</v>
      </c>
      <c r="W36" s="97">
        <f t="shared" si="16"/>
        <v>77</v>
      </c>
      <c r="X36" s="97">
        <f t="shared" si="17"/>
        <v>38</v>
      </c>
      <c r="Y36" s="97">
        <f t="shared" si="18"/>
        <v>77</v>
      </c>
      <c r="Z36" s="8">
        <f>N36*属性价值参考!C$5+官印!P36*属性价值参考!C$7+官印!Q36*属性价值参考!C$8+官印!V36*属性价值参考!C$9+官印!W36*属性价值参考!C$10+官印!X36*属性价值参考!C$11+官印!Y36*属性价值参考!C$12</f>
        <v>21466.800000000003</v>
      </c>
      <c r="AA36" s="8">
        <f t="shared" si="0"/>
        <v>3577800.0000000009</v>
      </c>
      <c r="AB36" s="8">
        <f t="shared" si="1"/>
        <v>35778.000000000007</v>
      </c>
      <c r="AC36" s="8">
        <f>ROUND($AA$105/材料产出!$K$31*SUM(材料产出!$K$13:$K$15)/100,0)*100</f>
        <v>396200</v>
      </c>
      <c r="AD36" s="8">
        <f>ROUND($AB$105/材料产出!$Q$31*SUM(材料产出!$P$13:$P$15)/10,0)*10</f>
        <v>4250</v>
      </c>
    </row>
    <row r="37" spans="1:30" ht="16.5" x14ac:dyDescent="0.3">
      <c r="A37" s="47" t="s">
        <v>29</v>
      </c>
      <c r="B37" s="47" t="s">
        <v>30</v>
      </c>
      <c r="C37" s="48" t="s">
        <v>121</v>
      </c>
      <c r="D37" s="47">
        <v>5</v>
      </c>
      <c r="E37" s="47"/>
      <c r="F37" s="47" t="s">
        <v>122</v>
      </c>
      <c r="G37" s="47"/>
      <c r="H37" s="59" t="str">
        <f t="shared" si="2"/>
        <v>3#1#1600|3#3#80|3#4#160|3#5#80|3#6#160|3#7#80|3#6#160|3#8#160|3#9#40|3#10#80|3#11#40|3#12#80</v>
      </c>
      <c r="I37" s="49" t="str">
        <f t="shared" si="4"/>
        <v>元宝396200/声望4250</v>
      </c>
      <c r="J37" s="47"/>
      <c r="K37" s="22">
        <v>32</v>
      </c>
      <c r="L37" s="22">
        <v>4</v>
      </c>
      <c r="M37" s="22">
        <f>材料产出!C$13</f>
        <v>1.5</v>
      </c>
      <c r="N37" s="97">
        <f t="shared" si="8"/>
        <v>1600</v>
      </c>
      <c r="O37" s="97"/>
      <c r="P37" s="97">
        <f t="shared" si="9"/>
        <v>80</v>
      </c>
      <c r="Q37" s="97">
        <f t="shared" si="10"/>
        <v>160</v>
      </c>
      <c r="R37" s="97">
        <f t="shared" si="11"/>
        <v>80</v>
      </c>
      <c r="S37" s="97">
        <f t="shared" si="12"/>
        <v>160</v>
      </c>
      <c r="T37" s="97">
        <f t="shared" si="13"/>
        <v>80</v>
      </c>
      <c r="U37" s="97">
        <f t="shared" si="14"/>
        <v>160</v>
      </c>
      <c r="V37" s="97">
        <f t="shared" si="15"/>
        <v>40</v>
      </c>
      <c r="W37" s="97">
        <f t="shared" si="16"/>
        <v>80</v>
      </c>
      <c r="X37" s="97">
        <f t="shared" si="17"/>
        <v>40</v>
      </c>
      <c r="Y37" s="97">
        <f t="shared" si="18"/>
        <v>80</v>
      </c>
      <c r="Z37" s="8">
        <f>N37*属性价值参考!C$5+官印!P37*属性价值参考!C$7+官印!Q37*属性价值参考!C$8+官印!V37*属性价值参考!C$9+官印!W37*属性价值参考!C$10+官印!X37*属性价值参考!C$11+官印!Y37*属性价值参考!C$12</f>
        <v>22224</v>
      </c>
      <c r="AA37" s="8">
        <f t="shared" si="0"/>
        <v>3704000</v>
      </c>
      <c r="AB37" s="8">
        <f t="shared" si="1"/>
        <v>37040</v>
      </c>
      <c r="AC37" s="8">
        <f>ROUND($AA$105/材料产出!$K$31*SUM(材料产出!$K$13:$K$15)/100,0)*100</f>
        <v>396200</v>
      </c>
      <c r="AD37" s="8">
        <f>ROUND($AB$105/材料产出!$Q$31*SUM(材料产出!$P$13:$P$15)/10,0)*10</f>
        <v>4250</v>
      </c>
    </row>
    <row r="38" spans="1:30" ht="16.5" x14ac:dyDescent="0.3">
      <c r="A38" s="47" t="s">
        <v>29</v>
      </c>
      <c r="B38" s="47" t="s">
        <v>30</v>
      </c>
      <c r="C38" s="48" t="s">
        <v>121</v>
      </c>
      <c r="D38" s="47">
        <v>6</v>
      </c>
      <c r="E38" s="47"/>
      <c r="F38" s="47" t="s">
        <v>122</v>
      </c>
      <c r="G38" s="47"/>
      <c r="H38" s="59" t="str">
        <f t="shared" si="2"/>
        <v>3#1#1650|3#3#82|3#4#165|3#5#82|3#6#165|3#7#82|3#6#165|3#8#165|3#9#41|3#10#82|3#11#41|3#12#82</v>
      </c>
      <c r="I38" s="49" t="str">
        <f t="shared" si="4"/>
        <v>元宝396200/声望4250</v>
      </c>
      <c r="J38" s="47"/>
      <c r="K38" s="22">
        <v>33</v>
      </c>
      <c r="L38" s="22">
        <v>4</v>
      </c>
      <c r="M38" s="22">
        <f>材料产出!C$13</f>
        <v>1.5</v>
      </c>
      <c r="N38" s="97">
        <f t="shared" si="8"/>
        <v>1650</v>
      </c>
      <c r="O38" s="97"/>
      <c r="P38" s="97">
        <f t="shared" si="9"/>
        <v>82</v>
      </c>
      <c r="Q38" s="97">
        <f t="shared" si="10"/>
        <v>165</v>
      </c>
      <c r="R38" s="97">
        <f t="shared" si="11"/>
        <v>82</v>
      </c>
      <c r="S38" s="97">
        <f t="shared" si="12"/>
        <v>165</v>
      </c>
      <c r="T38" s="97">
        <f t="shared" si="13"/>
        <v>82</v>
      </c>
      <c r="U38" s="97">
        <f t="shared" si="14"/>
        <v>165</v>
      </c>
      <c r="V38" s="97">
        <f t="shared" si="15"/>
        <v>41</v>
      </c>
      <c r="W38" s="97">
        <f t="shared" si="16"/>
        <v>82</v>
      </c>
      <c r="X38" s="97">
        <f t="shared" si="17"/>
        <v>41</v>
      </c>
      <c r="Y38" s="97">
        <f t="shared" si="18"/>
        <v>82</v>
      </c>
      <c r="Z38" s="8">
        <f>N38*属性价值参考!C$5+官印!P38*属性价值参考!C$7+官印!Q38*属性价值参考!C$8+官印!V38*属性价值参考!C$9+官印!W38*属性价值参考!C$10+官印!X38*属性价值参考!C$11+官印!Y38*属性价值参考!C$12</f>
        <v>22869.600000000006</v>
      </c>
      <c r="AA38" s="8">
        <f t="shared" si="0"/>
        <v>3811600.0000000014</v>
      </c>
      <c r="AB38" s="8">
        <f t="shared" si="1"/>
        <v>38116.000000000015</v>
      </c>
      <c r="AC38" s="8">
        <f>ROUND($AA$105/材料产出!$K$31*SUM(材料产出!$K$13:$K$15)/100,0)*100</f>
        <v>396200</v>
      </c>
      <c r="AD38" s="8">
        <f>ROUND($AB$105/材料产出!$Q$31*SUM(材料产出!$P$13:$P$15)/10,0)*10</f>
        <v>4250</v>
      </c>
    </row>
    <row r="39" spans="1:30" ht="16.5" x14ac:dyDescent="0.3">
      <c r="A39" s="47" t="s">
        <v>29</v>
      </c>
      <c r="B39" s="47" t="s">
        <v>30</v>
      </c>
      <c r="C39" s="48" t="s">
        <v>121</v>
      </c>
      <c r="D39" s="47">
        <v>7</v>
      </c>
      <c r="E39" s="47"/>
      <c r="F39" s="47" t="s">
        <v>122</v>
      </c>
      <c r="G39" s="47"/>
      <c r="H39" s="59" t="str">
        <f t="shared" si="2"/>
        <v>3#1#1700|3#3#85|3#4#170|3#5#85|3#6#170|3#7#85|3#6#170|3#8#170|3#9#42|3#10#85|3#11#42|3#12#85</v>
      </c>
      <c r="I39" s="49" t="str">
        <f t="shared" si="4"/>
        <v>元宝396200/声望4250</v>
      </c>
      <c r="J39" s="47"/>
      <c r="K39" s="22">
        <v>34</v>
      </c>
      <c r="L39" s="22">
        <v>4</v>
      </c>
      <c r="M39" s="22">
        <f>材料产出!C$13</f>
        <v>1.5</v>
      </c>
      <c r="N39" s="97">
        <f t="shared" si="8"/>
        <v>1700</v>
      </c>
      <c r="O39" s="97"/>
      <c r="P39" s="97">
        <f t="shared" si="9"/>
        <v>85</v>
      </c>
      <c r="Q39" s="97">
        <f t="shared" si="10"/>
        <v>170</v>
      </c>
      <c r="R39" s="97">
        <f t="shared" si="11"/>
        <v>85</v>
      </c>
      <c r="S39" s="97">
        <f t="shared" si="12"/>
        <v>170</v>
      </c>
      <c r="T39" s="97">
        <f t="shared" si="13"/>
        <v>85</v>
      </c>
      <c r="U39" s="97">
        <f t="shared" si="14"/>
        <v>170</v>
      </c>
      <c r="V39" s="97">
        <f t="shared" si="15"/>
        <v>42</v>
      </c>
      <c r="W39" s="97">
        <f t="shared" si="16"/>
        <v>85</v>
      </c>
      <c r="X39" s="97">
        <f t="shared" si="17"/>
        <v>42</v>
      </c>
      <c r="Y39" s="97">
        <f t="shared" si="18"/>
        <v>85</v>
      </c>
      <c r="Z39" s="8">
        <f>N39*属性价值参考!C$5+官印!P39*属性价值参考!C$7+官印!Q39*属性价值参考!C$8+官印!V39*属性价值参考!C$9+官印!W39*属性价值参考!C$10+官印!X39*属性价值参考!C$11+官印!Y39*属性价值参考!C$12</f>
        <v>23599.200000000001</v>
      </c>
      <c r="AA39" s="8">
        <f t="shared" si="0"/>
        <v>3933200</v>
      </c>
      <c r="AB39" s="8">
        <f t="shared" si="1"/>
        <v>39332</v>
      </c>
      <c r="AC39" s="8">
        <f>ROUND($AA$105/材料产出!$K$31*SUM(材料产出!$K$13:$K$15)/100,0)*100</f>
        <v>396200</v>
      </c>
      <c r="AD39" s="8">
        <f>ROUND($AB$105/材料产出!$Q$31*SUM(材料产出!$P$13:$P$15)/10,0)*10</f>
        <v>4250</v>
      </c>
    </row>
    <row r="40" spans="1:30" ht="16.5" x14ac:dyDescent="0.3">
      <c r="A40" s="47" t="s">
        <v>29</v>
      </c>
      <c r="B40" s="47" t="s">
        <v>30</v>
      </c>
      <c r="C40" s="48" t="s">
        <v>121</v>
      </c>
      <c r="D40" s="47">
        <v>8</v>
      </c>
      <c r="E40" s="47"/>
      <c r="F40" s="47" t="s">
        <v>122</v>
      </c>
      <c r="G40" s="47"/>
      <c r="H40" s="59" t="str">
        <f t="shared" si="2"/>
        <v>3#1#1750|3#3#87|3#4#175|3#5#87|3#6#175|3#7#87|3#6#175|3#8#175|3#9#43|3#10#87|3#11#43|3#12#87</v>
      </c>
      <c r="I40" s="49" t="str">
        <f t="shared" si="4"/>
        <v>元宝396200/声望4250</v>
      </c>
      <c r="J40" s="47"/>
      <c r="K40" s="22">
        <v>35</v>
      </c>
      <c r="L40" s="22">
        <v>4</v>
      </c>
      <c r="M40" s="22">
        <f>材料产出!C$13</f>
        <v>1.5</v>
      </c>
      <c r="N40" s="97">
        <f t="shared" si="8"/>
        <v>1750</v>
      </c>
      <c r="O40" s="97"/>
      <c r="P40" s="97">
        <f t="shared" si="9"/>
        <v>87</v>
      </c>
      <c r="Q40" s="97">
        <f t="shared" si="10"/>
        <v>175</v>
      </c>
      <c r="R40" s="97">
        <f t="shared" si="11"/>
        <v>87</v>
      </c>
      <c r="S40" s="97">
        <f t="shared" si="12"/>
        <v>175</v>
      </c>
      <c r="T40" s="97">
        <f t="shared" si="13"/>
        <v>87</v>
      </c>
      <c r="U40" s="97">
        <f t="shared" si="14"/>
        <v>175</v>
      </c>
      <c r="V40" s="97">
        <f t="shared" si="15"/>
        <v>43</v>
      </c>
      <c r="W40" s="97">
        <f t="shared" si="16"/>
        <v>87</v>
      </c>
      <c r="X40" s="97">
        <f t="shared" si="17"/>
        <v>43</v>
      </c>
      <c r="Y40" s="97">
        <f t="shared" si="18"/>
        <v>87</v>
      </c>
      <c r="Z40" s="8">
        <f>N40*属性价值参考!C$5+官印!P40*属性价值参考!C$7+官印!Q40*属性价值参考!C$8+官印!V40*属性价值参考!C$9+官印!W40*属性价值参考!C$10+官印!X40*属性价值参考!C$11+官印!Y40*属性价值参考!C$12</f>
        <v>24244.800000000003</v>
      </c>
      <c r="AA40" s="8">
        <f t="shared" si="0"/>
        <v>4040800.0000000009</v>
      </c>
      <c r="AB40" s="8">
        <f t="shared" si="1"/>
        <v>40408.000000000007</v>
      </c>
      <c r="AC40" s="8">
        <f>ROUND($AA$105/材料产出!$K$31*SUM(材料产出!$K$13:$K$15)/100,0)*100</f>
        <v>396200</v>
      </c>
      <c r="AD40" s="8">
        <f>ROUND($AB$105/材料产出!$Q$31*SUM(材料产出!$P$13:$P$15)/10,0)*10</f>
        <v>4250</v>
      </c>
    </row>
    <row r="41" spans="1:30" ht="16.5" x14ac:dyDescent="0.3">
      <c r="A41" s="47" t="s">
        <v>29</v>
      </c>
      <c r="B41" s="47" t="s">
        <v>30</v>
      </c>
      <c r="C41" s="48" t="s">
        <v>121</v>
      </c>
      <c r="D41" s="47">
        <v>9</v>
      </c>
      <c r="E41" s="47"/>
      <c r="F41" s="47" t="s">
        <v>122</v>
      </c>
      <c r="G41" s="47"/>
      <c r="H41" s="59" t="str">
        <f t="shared" si="2"/>
        <v>3#1#1800|3#3#90|3#4#180|3#5#90|3#6#180|3#7#90|3#6#180|3#8#180|3#9#45|3#10#90|3#11#45|3#12#90</v>
      </c>
      <c r="I41" s="49" t="str">
        <f t="shared" si="4"/>
        <v>元宝396200/声望4250</v>
      </c>
      <c r="J41" s="47"/>
      <c r="K41" s="22">
        <v>36</v>
      </c>
      <c r="L41" s="22">
        <v>4</v>
      </c>
      <c r="M41" s="22">
        <f>材料产出!C$13</f>
        <v>1.5</v>
      </c>
      <c r="N41" s="97">
        <f t="shared" si="8"/>
        <v>1800</v>
      </c>
      <c r="O41" s="97"/>
      <c r="P41" s="97">
        <f t="shared" si="9"/>
        <v>90</v>
      </c>
      <c r="Q41" s="97">
        <f t="shared" si="10"/>
        <v>180</v>
      </c>
      <c r="R41" s="97">
        <f t="shared" si="11"/>
        <v>90</v>
      </c>
      <c r="S41" s="97">
        <f t="shared" si="12"/>
        <v>180</v>
      </c>
      <c r="T41" s="97">
        <f t="shared" si="13"/>
        <v>90</v>
      </c>
      <c r="U41" s="97">
        <f t="shared" si="14"/>
        <v>180</v>
      </c>
      <c r="V41" s="97">
        <f t="shared" si="15"/>
        <v>45</v>
      </c>
      <c r="W41" s="97">
        <f t="shared" si="16"/>
        <v>90</v>
      </c>
      <c r="X41" s="97">
        <f t="shared" si="17"/>
        <v>45</v>
      </c>
      <c r="Y41" s="97">
        <f t="shared" si="18"/>
        <v>90</v>
      </c>
      <c r="Z41" s="8">
        <f>N41*属性价值参考!C$5+官印!P41*属性价值参考!C$7+官印!Q41*属性价值参考!C$8+官印!V41*属性价值参考!C$9+官印!W41*属性价值参考!C$10+官印!X41*属性价值参考!C$11+官印!Y41*属性价值参考!C$12</f>
        <v>25002</v>
      </c>
      <c r="AA41" s="8">
        <f t="shared" si="0"/>
        <v>4167000</v>
      </c>
      <c r="AB41" s="8">
        <f t="shared" si="1"/>
        <v>41670</v>
      </c>
      <c r="AC41" s="8">
        <f>ROUND($AA$105/材料产出!$K$31*SUM(材料产出!$K$13:$K$15)/100,0)*100</f>
        <v>396200</v>
      </c>
      <c r="AD41" s="8">
        <f>ROUND($AB$105/材料产出!$Q$31*SUM(材料产出!$P$13:$P$15)/10,0)*10</f>
        <v>4250</v>
      </c>
    </row>
    <row r="42" spans="1:30" ht="16.5" x14ac:dyDescent="0.3">
      <c r="A42" s="50" t="s">
        <v>29</v>
      </c>
      <c r="B42" s="50" t="s">
        <v>30</v>
      </c>
      <c r="C42" s="51" t="s">
        <v>124</v>
      </c>
      <c r="D42" s="50">
        <v>0</v>
      </c>
      <c r="E42" s="50"/>
      <c r="F42" s="50" t="s">
        <v>122</v>
      </c>
      <c r="G42" s="50"/>
      <c r="H42" s="58" t="str">
        <f t="shared" si="2"/>
        <v>3#1#1850|3#3#92|3#4#185|3#5#92|3#6#185|3#7#92|3#6#185|3#8#185|3#9#46|3#10#92|3#11#46|3#12#92</v>
      </c>
      <c r="I42" s="52"/>
      <c r="J42" s="50"/>
      <c r="K42" s="22">
        <v>37</v>
      </c>
      <c r="L42" s="22"/>
      <c r="M42" s="22"/>
      <c r="N42" s="97">
        <f t="shared" si="8"/>
        <v>1850</v>
      </c>
      <c r="O42" s="97"/>
      <c r="P42" s="97">
        <f t="shared" si="9"/>
        <v>92</v>
      </c>
      <c r="Q42" s="97">
        <f t="shared" si="10"/>
        <v>185</v>
      </c>
      <c r="R42" s="97">
        <f t="shared" si="11"/>
        <v>92</v>
      </c>
      <c r="S42" s="97">
        <f t="shared" si="12"/>
        <v>185</v>
      </c>
      <c r="T42" s="97">
        <f t="shared" si="13"/>
        <v>92</v>
      </c>
      <c r="U42" s="97">
        <f t="shared" si="14"/>
        <v>185</v>
      </c>
      <c r="V42" s="97">
        <f t="shared" si="15"/>
        <v>46</v>
      </c>
      <c r="W42" s="97">
        <f t="shared" si="16"/>
        <v>92</v>
      </c>
      <c r="X42" s="97">
        <f t="shared" si="17"/>
        <v>46</v>
      </c>
      <c r="Y42" s="97">
        <f t="shared" si="18"/>
        <v>92</v>
      </c>
      <c r="Z42" s="8">
        <f>N42*属性价值参考!C$5+官印!P42*属性价值参考!C$7+官印!Q42*属性价值参考!C$8+官印!V42*属性价值参考!C$9+官印!W42*属性价值参考!C$10+官印!X42*属性价值参考!C$11+官印!Y42*属性价值参考!C$12</f>
        <v>25647.600000000006</v>
      </c>
      <c r="AA42" s="8">
        <f t="shared" si="0"/>
        <v>4274600.0000000019</v>
      </c>
      <c r="AB42" s="8">
        <f t="shared" si="1"/>
        <v>42746.000000000015</v>
      </c>
      <c r="AC42" s="8"/>
      <c r="AD42" s="8"/>
    </row>
    <row r="43" spans="1:30" ht="16.5" x14ac:dyDescent="0.3">
      <c r="A43" s="50" t="s">
        <v>29</v>
      </c>
      <c r="B43" s="50" t="s">
        <v>30</v>
      </c>
      <c r="C43" s="51" t="s">
        <v>125</v>
      </c>
      <c r="D43" s="50">
        <v>1</v>
      </c>
      <c r="E43" s="50"/>
      <c r="F43" s="50" t="s">
        <v>126</v>
      </c>
      <c r="G43" s="50"/>
      <c r="H43" s="58" t="str">
        <f t="shared" si="2"/>
        <v>3#1#1900|3#3#95|3#4#190|3#5#95|3#6#190|3#7#95|3#6#190|3#8#190|3#9#47|3#10#95|3#11#47|3#12#95</v>
      </c>
      <c r="I43" s="52" t="str">
        <f t="shared" si="4"/>
        <v>元宝1267800/声望12680</v>
      </c>
      <c r="J43" s="50"/>
      <c r="K43" s="22">
        <v>38</v>
      </c>
      <c r="L43" s="22">
        <v>5</v>
      </c>
      <c r="M43" s="22">
        <f>材料产出!C$16</f>
        <v>2.5</v>
      </c>
      <c r="N43" s="97">
        <f t="shared" si="8"/>
        <v>1900</v>
      </c>
      <c r="O43" s="97"/>
      <c r="P43" s="97">
        <f t="shared" si="9"/>
        <v>95</v>
      </c>
      <c r="Q43" s="97">
        <f t="shared" si="10"/>
        <v>190</v>
      </c>
      <c r="R43" s="97">
        <f t="shared" si="11"/>
        <v>95</v>
      </c>
      <c r="S43" s="97">
        <f t="shared" si="12"/>
        <v>190</v>
      </c>
      <c r="T43" s="97">
        <f t="shared" si="13"/>
        <v>95</v>
      </c>
      <c r="U43" s="97">
        <f t="shared" si="14"/>
        <v>190</v>
      </c>
      <c r="V43" s="97">
        <f t="shared" si="15"/>
        <v>47</v>
      </c>
      <c r="W43" s="97">
        <f t="shared" si="16"/>
        <v>95</v>
      </c>
      <c r="X43" s="97">
        <f t="shared" si="17"/>
        <v>47</v>
      </c>
      <c r="Y43" s="97">
        <f t="shared" si="18"/>
        <v>95</v>
      </c>
      <c r="Z43" s="8">
        <f>N43*属性价值参考!C$5+官印!P43*属性价值参考!C$7+官印!Q43*属性价值参考!C$8+官印!V43*属性价值参考!C$9+官印!W43*属性价值参考!C$10+官印!X43*属性价值参考!C$11+官印!Y43*属性价值参考!C$12</f>
        <v>26377.200000000001</v>
      </c>
      <c r="AA43" s="8">
        <f t="shared" si="0"/>
        <v>4396200</v>
      </c>
      <c r="AB43" s="8">
        <f t="shared" si="1"/>
        <v>43962</v>
      </c>
      <c r="AC43" s="8">
        <f>ROUND($AA$105/材料产出!$K$31*SUM(材料产出!$K$16:$K$18)/100,0)*100</f>
        <v>1267800</v>
      </c>
      <c r="AD43" s="8">
        <f>ROUND($AB$105/材料产出!$Q$31*SUM(材料产出!$P$16:$P$18)/10,0)*10</f>
        <v>12680</v>
      </c>
    </row>
    <row r="44" spans="1:30" ht="16.5" x14ac:dyDescent="0.3">
      <c r="A44" s="50" t="s">
        <v>29</v>
      </c>
      <c r="B44" s="50" t="s">
        <v>30</v>
      </c>
      <c r="C44" s="51" t="s">
        <v>125</v>
      </c>
      <c r="D44" s="50">
        <v>2</v>
      </c>
      <c r="E44" s="50"/>
      <c r="F44" s="50" t="s">
        <v>126</v>
      </c>
      <c r="G44" s="50"/>
      <c r="H44" s="58" t="str">
        <f t="shared" si="2"/>
        <v>3#1#1950|3#3#97|3#4#195|3#5#97|3#6#195|3#7#97|3#6#195|3#8#195|3#9#48|3#10#97|3#11#48|3#12#97</v>
      </c>
      <c r="I44" s="52" t="str">
        <f t="shared" si="4"/>
        <v>元宝1267800/声望12680</v>
      </c>
      <c r="J44" s="50"/>
      <c r="K44" s="22">
        <v>39</v>
      </c>
      <c r="L44" s="22">
        <v>5</v>
      </c>
      <c r="M44" s="22">
        <f>材料产出!C$16</f>
        <v>2.5</v>
      </c>
      <c r="N44" s="97">
        <f t="shared" si="8"/>
        <v>1950</v>
      </c>
      <c r="O44" s="97"/>
      <c r="P44" s="97">
        <f t="shared" si="9"/>
        <v>97</v>
      </c>
      <c r="Q44" s="97">
        <f t="shared" si="10"/>
        <v>195</v>
      </c>
      <c r="R44" s="97">
        <f t="shared" si="11"/>
        <v>97</v>
      </c>
      <c r="S44" s="97">
        <f t="shared" si="12"/>
        <v>195</v>
      </c>
      <c r="T44" s="97">
        <f t="shared" si="13"/>
        <v>97</v>
      </c>
      <c r="U44" s="97">
        <f t="shared" si="14"/>
        <v>195</v>
      </c>
      <c r="V44" s="97">
        <f t="shared" si="15"/>
        <v>48</v>
      </c>
      <c r="W44" s="97">
        <f t="shared" si="16"/>
        <v>97</v>
      </c>
      <c r="X44" s="97">
        <f t="shared" si="17"/>
        <v>48</v>
      </c>
      <c r="Y44" s="97">
        <f t="shared" si="18"/>
        <v>97</v>
      </c>
      <c r="Z44" s="8">
        <f>N44*属性价值参考!C$5+官印!P44*属性价值参考!C$7+官印!Q44*属性价值参考!C$8+官印!V44*属性价值参考!C$9+官印!W44*属性价值参考!C$10+官印!X44*属性价值参考!C$11+官印!Y44*属性价值参考!C$12</f>
        <v>27022.800000000003</v>
      </c>
      <c r="AA44" s="8">
        <f t="shared" si="0"/>
        <v>4503800.0000000009</v>
      </c>
      <c r="AB44" s="8">
        <f t="shared" si="1"/>
        <v>45038.000000000007</v>
      </c>
      <c r="AC44" s="8">
        <f>ROUND($AA$105/材料产出!$K$31*SUM(材料产出!$K$16:$K$18)/100,0)*100</f>
        <v>1267800</v>
      </c>
      <c r="AD44" s="8">
        <f>ROUND($AB$105/材料产出!$Q$31*SUM(材料产出!$P$16:$P$18)/10,0)*10</f>
        <v>12680</v>
      </c>
    </row>
    <row r="45" spans="1:30" ht="16.5" x14ac:dyDescent="0.3">
      <c r="A45" s="50" t="s">
        <v>29</v>
      </c>
      <c r="B45" s="50" t="s">
        <v>30</v>
      </c>
      <c r="C45" s="51" t="s">
        <v>125</v>
      </c>
      <c r="D45" s="50">
        <v>3</v>
      </c>
      <c r="E45" s="50"/>
      <c r="F45" s="50" t="s">
        <v>126</v>
      </c>
      <c r="G45" s="50"/>
      <c r="H45" s="58" t="str">
        <f t="shared" si="2"/>
        <v>3#1#2000|3#3#100|3#4#200|3#5#100|3#6#200|3#7#100|3#6#200|3#8#200|3#9#50|3#10#100|3#11#50|3#12#100</v>
      </c>
      <c r="I45" s="52" t="str">
        <f t="shared" si="4"/>
        <v>元宝1267800/声望12680</v>
      </c>
      <c r="J45" s="50"/>
      <c r="K45" s="22">
        <v>40</v>
      </c>
      <c r="L45" s="22">
        <v>5</v>
      </c>
      <c r="M45" s="22">
        <f>材料产出!C$16</f>
        <v>2.5</v>
      </c>
      <c r="N45" s="97">
        <f t="shared" si="8"/>
        <v>2000</v>
      </c>
      <c r="O45" s="97"/>
      <c r="P45" s="97">
        <f t="shared" si="9"/>
        <v>100</v>
      </c>
      <c r="Q45" s="97">
        <f t="shared" si="10"/>
        <v>200</v>
      </c>
      <c r="R45" s="97">
        <f t="shared" si="11"/>
        <v>100</v>
      </c>
      <c r="S45" s="97">
        <f t="shared" si="12"/>
        <v>200</v>
      </c>
      <c r="T45" s="97">
        <f t="shared" si="13"/>
        <v>100</v>
      </c>
      <c r="U45" s="97">
        <f t="shared" si="14"/>
        <v>200</v>
      </c>
      <c r="V45" s="97">
        <f t="shared" si="15"/>
        <v>50</v>
      </c>
      <c r="W45" s="97">
        <f t="shared" si="16"/>
        <v>100</v>
      </c>
      <c r="X45" s="97">
        <f t="shared" si="17"/>
        <v>50</v>
      </c>
      <c r="Y45" s="97">
        <f t="shared" si="18"/>
        <v>100</v>
      </c>
      <c r="Z45" s="8">
        <f>N45*属性价值参考!C$5+官印!P45*属性价值参考!C$7+官印!Q45*属性价值参考!C$8+官印!V45*属性价值参考!C$9+官印!W45*属性价值参考!C$10+官印!X45*属性价值参考!C$11+官印!Y45*属性价值参考!C$12</f>
        <v>27780</v>
      </c>
      <c r="AA45" s="8">
        <f t="shared" si="0"/>
        <v>4630000</v>
      </c>
      <c r="AB45" s="8">
        <f t="shared" si="1"/>
        <v>46300</v>
      </c>
      <c r="AC45" s="8">
        <f>ROUND($AA$105/材料产出!$K$31*SUM(材料产出!$K$16:$K$18)/100,0)*100</f>
        <v>1267800</v>
      </c>
      <c r="AD45" s="8">
        <f>ROUND($AB$105/材料产出!$Q$31*SUM(材料产出!$P$16:$P$18)/10,0)*10</f>
        <v>12680</v>
      </c>
    </row>
    <row r="46" spans="1:30" ht="16.5" x14ac:dyDescent="0.3">
      <c r="A46" s="50" t="s">
        <v>29</v>
      </c>
      <c r="B46" s="50" t="s">
        <v>30</v>
      </c>
      <c r="C46" s="51" t="s">
        <v>125</v>
      </c>
      <c r="D46" s="50">
        <v>4</v>
      </c>
      <c r="E46" s="50"/>
      <c r="F46" s="50" t="s">
        <v>126</v>
      </c>
      <c r="G46" s="50"/>
      <c r="H46" s="58" t="str">
        <f t="shared" si="2"/>
        <v>3#1#2050|3#3#102|3#4#205|3#5#102|3#6#205|3#7#102|3#6#205|3#8#205|3#9#51|3#10#102|3#11#51|3#12#102</v>
      </c>
      <c r="I46" s="52" t="str">
        <f t="shared" si="4"/>
        <v>元宝1267800/声望12680</v>
      </c>
      <c r="J46" s="50"/>
      <c r="K46" s="22">
        <v>41</v>
      </c>
      <c r="L46" s="22">
        <v>5</v>
      </c>
      <c r="M46" s="22">
        <f>材料产出!C$16</f>
        <v>2.5</v>
      </c>
      <c r="N46" s="97">
        <f t="shared" si="8"/>
        <v>2050</v>
      </c>
      <c r="O46" s="97"/>
      <c r="P46" s="97">
        <f t="shared" si="9"/>
        <v>102</v>
      </c>
      <c r="Q46" s="97">
        <f t="shared" si="10"/>
        <v>205</v>
      </c>
      <c r="R46" s="97">
        <f t="shared" si="11"/>
        <v>102</v>
      </c>
      <c r="S46" s="97">
        <f t="shared" si="12"/>
        <v>205</v>
      </c>
      <c r="T46" s="97">
        <f t="shared" si="13"/>
        <v>102</v>
      </c>
      <c r="U46" s="97">
        <f t="shared" si="14"/>
        <v>205</v>
      </c>
      <c r="V46" s="97">
        <f t="shared" si="15"/>
        <v>51</v>
      </c>
      <c r="W46" s="97">
        <f t="shared" si="16"/>
        <v>102</v>
      </c>
      <c r="X46" s="97">
        <f t="shared" si="17"/>
        <v>51</v>
      </c>
      <c r="Y46" s="97">
        <f t="shared" si="18"/>
        <v>102</v>
      </c>
      <c r="Z46" s="8">
        <f>N46*属性价值参考!C$5+官印!P46*属性价值参考!C$7+官印!Q46*属性价值参考!C$8+官印!V46*属性价值参考!C$9+官印!W46*属性价值参考!C$10+官印!X46*属性价值参考!C$11+官印!Y46*属性价值参考!C$12</f>
        <v>28425.600000000006</v>
      </c>
      <c r="AA46" s="8">
        <f t="shared" si="0"/>
        <v>4737600.0000000019</v>
      </c>
      <c r="AB46" s="8">
        <f t="shared" si="1"/>
        <v>47376.000000000015</v>
      </c>
      <c r="AC46" s="8">
        <f>ROUND($AA$105/材料产出!$K$31*SUM(材料产出!$K$16:$K$18)/100,0)*100</f>
        <v>1267800</v>
      </c>
      <c r="AD46" s="8">
        <f>ROUND($AB$105/材料产出!$Q$31*SUM(材料产出!$P$16:$P$18)/10,0)*10</f>
        <v>12680</v>
      </c>
    </row>
    <row r="47" spans="1:30" ht="16.5" x14ac:dyDescent="0.3">
      <c r="A47" s="50" t="s">
        <v>29</v>
      </c>
      <c r="B47" s="50" t="s">
        <v>30</v>
      </c>
      <c r="C47" s="51" t="s">
        <v>125</v>
      </c>
      <c r="D47" s="50">
        <v>5</v>
      </c>
      <c r="E47" s="50"/>
      <c r="F47" s="50" t="s">
        <v>126</v>
      </c>
      <c r="G47" s="50"/>
      <c r="H47" s="58" t="str">
        <f t="shared" si="2"/>
        <v>3#1#2100|3#3#105|3#4#210|3#5#105|3#6#210|3#7#105|3#6#210|3#8#210|3#9#52|3#10#105|3#11#52|3#12#105</v>
      </c>
      <c r="I47" s="52" t="str">
        <f t="shared" si="4"/>
        <v>元宝1267800/声望12680</v>
      </c>
      <c r="J47" s="50"/>
      <c r="K47" s="22">
        <v>42</v>
      </c>
      <c r="L47" s="22">
        <v>5</v>
      </c>
      <c r="M47" s="22">
        <f>材料产出!C$16</f>
        <v>2.5</v>
      </c>
      <c r="N47" s="97">
        <f t="shared" si="8"/>
        <v>2100</v>
      </c>
      <c r="O47" s="97"/>
      <c r="P47" s="97">
        <f t="shared" si="9"/>
        <v>105</v>
      </c>
      <c r="Q47" s="97">
        <f t="shared" si="10"/>
        <v>210</v>
      </c>
      <c r="R47" s="97">
        <f t="shared" si="11"/>
        <v>105</v>
      </c>
      <c r="S47" s="97">
        <f t="shared" si="12"/>
        <v>210</v>
      </c>
      <c r="T47" s="97">
        <f t="shared" si="13"/>
        <v>105</v>
      </c>
      <c r="U47" s="97">
        <f t="shared" si="14"/>
        <v>210</v>
      </c>
      <c r="V47" s="97">
        <f t="shared" si="15"/>
        <v>52</v>
      </c>
      <c r="W47" s="97">
        <f t="shared" si="16"/>
        <v>105</v>
      </c>
      <c r="X47" s="97">
        <f t="shared" si="17"/>
        <v>52</v>
      </c>
      <c r="Y47" s="97">
        <f t="shared" si="18"/>
        <v>105</v>
      </c>
      <c r="Z47" s="8">
        <f>N47*属性价值参考!C$5+官印!P47*属性价值参考!C$7+官印!Q47*属性价值参考!C$8+官印!V47*属性价值参考!C$9+官印!W47*属性价值参考!C$10+官印!X47*属性价值参考!C$11+官印!Y47*属性价值参考!C$12</f>
        <v>29155.200000000001</v>
      </c>
      <c r="AA47" s="8">
        <f t="shared" si="0"/>
        <v>4859200</v>
      </c>
      <c r="AB47" s="8">
        <f t="shared" si="1"/>
        <v>48592</v>
      </c>
      <c r="AC47" s="8">
        <f>ROUND($AA$105/材料产出!$K$31*SUM(材料产出!$K$16:$K$18)/100,0)*100</f>
        <v>1267800</v>
      </c>
      <c r="AD47" s="8">
        <f>ROUND($AB$105/材料产出!$Q$31*SUM(材料产出!$P$16:$P$18)/10,0)*10</f>
        <v>12680</v>
      </c>
    </row>
    <row r="48" spans="1:30" ht="16.5" x14ac:dyDescent="0.3">
      <c r="A48" s="50" t="s">
        <v>29</v>
      </c>
      <c r="B48" s="50" t="s">
        <v>30</v>
      </c>
      <c r="C48" s="51" t="s">
        <v>125</v>
      </c>
      <c r="D48" s="50">
        <v>6</v>
      </c>
      <c r="E48" s="50"/>
      <c r="F48" s="50" t="s">
        <v>126</v>
      </c>
      <c r="G48" s="50"/>
      <c r="H48" s="58" t="str">
        <f t="shared" si="2"/>
        <v>3#1#2150|3#3#107|3#4#215|3#5#107|3#6#215|3#7#107|3#6#215|3#8#215|3#9#53|3#10#107|3#11#53|3#12#107</v>
      </c>
      <c r="I48" s="52" t="str">
        <f t="shared" si="4"/>
        <v>元宝1267800/声望12680</v>
      </c>
      <c r="J48" s="50"/>
      <c r="K48" s="22">
        <v>43</v>
      </c>
      <c r="L48" s="22">
        <v>5</v>
      </c>
      <c r="M48" s="22">
        <f>材料产出!C$16</f>
        <v>2.5</v>
      </c>
      <c r="N48" s="97">
        <f t="shared" si="8"/>
        <v>2150</v>
      </c>
      <c r="O48" s="97"/>
      <c r="P48" s="97">
        <f t="shared" si="9"/>
        <v>107</v>
      </c>
      <c r="Q48" s="97">
        <f t="shared" si="10"/>
        <v>215</v>
      </c>
      <c r="R48" s="97">
        <f t="shared" si="11"/>
        <v>107</v>
      </c>
      <c r="S48" s="97">
        <f t="shared" si="12"/>
        <v>215</v>
      </c>
      <c r="T48" s="97">
        <f t="shared" si="13"/>
        <v>107</v>
      </c>
      <c r="U48" s="97">
        <f t="shared" si="14"/>
        <v>215</v>
      </c>
      <c r="V48" s="97">
        <f t="shared" si="15"/>
        <v>53</v>
      </c>
      <c r="W48" s="97">
        <f t="shared" si="16"/>
        <v>107</v>
      </c>
      <c r="X48" s="97">
        <f t="shared" si="17"/>
        <v>53</v>
      </c>
      <c r="Y48" s="97">
        <f t="shared" si="18"/>
        <v>107</v>
      </c>
      <c r="Z48" s="8">
        <f>N48*属性价值参考!C$5+官印!P48*属性价值参考!C$7+官印!Q48*属性价值参考!C$8+官印!V48*属性价值参考!C$9+官印!W48*属性价值参考!C$10+官印!X48*属性价值参考!C$11+官印!Y48*属性价值参考!C$12</f>
        <v>29800.800000000003</v>
      </c>
      <c r="AA48" s="8">
        <f t="shared" si="0"/>
        <v>4966800.0000000009</v>
      </c>
      <c r="AB48" s="8">
        <f t="shared" si="1"/>
        <v>49668.000000000007</v>
      </c>
      <c r="AC48" s="8">
        <f>ROUND($AA$105/材料产出!$K$31*SUM(材料产出!$K$16:$K$18)/100,0)*100</f>
        <v>1267800</v>
      </c>
      <c r="AD48" s="8">
        <f>ROUND($AB$105/材料产出!$Q$31*SUM(材料产出!$P$16:$P$18)/10,0)*10</f>
        <v>12680</v>
      </c>
    </row>
    <row r="49" spans="1:30" ht="16.5" x14ac:dyDescent="0.3">
      <c r="A49" s="50" t="s">
        <v>29</v>
      </c>
      <c r="B49" s="50" t="s">
        <v>30</v>
      </c>
      <c r="C49" s="51" t="s">
        <v>125</v>
      </c>
      <c r="D49" s="50">
        <v>7</v>
      </c>
      <c r="E49" s="50"/>
      <c r="F49" s="50" t="s">
        <v>126</v>
      </c>
      <c r="G49" s="50"/>
      <c r="H49" s="58" t="str">
        <f t="shared" si="2"/>
        <v>3#1#2200|3#3#110|3#4#220|3#5#110|3#6#220|3#7#110|3#6#220|3#8#220|3#9#55|3#10#110|3#11#55|3#12#110</v>
      </c>
      <c r="I49" s="52" t="str">
        <f t="shared" si="4"/>
        <v>元宝1267800/声望12680</v>
      </c>
      <c r="J49" s="50"/>
      <c r="K49" s="22">
        <v>44</v>
      </c>
      <c r="L49" s="22">
        <v>5</v>
      </c>
      <c r="M49" s="22">
        <f>材料产出!C$16</f>
        <v>2.5</v>
      </c>
      <c r="N49" s="97">
        <f t="shared" si="8"/>
        <v>2200</v>
      </c>
      <c r="O49" s="97"/>
      <c r="P49" s="97">
        <f t="shared" si="9"/>
        <v>110</v>
      </c>
      <c r="Q49" s="97">
        <f t="shared" si="10"/>
        <v>220</v>
      </c>
      <c r="R49" s="97">
        <f t="shared" si="11"/>
        <v>110</v>
      </c>
      <c r="S49" s="97">
        <f t="shared" si="12"/>
        <v>220</v>
      </c>
      <c r="T49" s="97">
        <f t="shared" si="13"/>
        <v>110</v>
      </c>
      <c r="U49" s="97">
        <f t="shared" si="14"/>
        <v>220</v>
      </c>
      <c r="V49" s="97">
        <f t="shared" si="15"/>
        <v>55</v>
      </c>
      <c r="W49" s="97">
        <f t="shared" si="16"/>
        <v>110</v>
      </c>
      <c r="X49" s="97">
        <f t="shared" si="17"/>
        <v>55</v>
      </c>
      <c r="Y49" s="97">
        <f t="shared" si="18"/>
        <v>110</v>
      </c>
      <c r="Z49" s="8">
        <f>N49*属性价值参考!C$5+官印!P49*属性价值参考!C$7+官印!Q49*属性价值参考!C$8+官印!V49*属性价值参考!C$9+官印!W49*属性价值参考!C$10+官印!X49*属性价值参考!C$11+官印!Y49*属性价值参考!C$12</f>
        <v>30558</v>
      </c>
      <c r="AA49" s="8">
        <f t="shared" si="0"/>
        <v>5093000</v>
      </c>
      <c r="AB49" s="8">
        <f t="shared" si="1"/>
        <v>50930</v>
      </c>
      <c r="AC49" s="8">
        <f>ROUND($AA$105/材料产出!$K$31*SUM(材料产出!$K$16:$K$18)/100,0)*100</f>
        <v>1267800</v>
      </c>
      <c r="AD49" s="8">
        <f>ROUND($AB$105/材料产出!$Q$31*SUM(材料产出!$P$16:$P$18)/10,0)*10</f>
        <v>12680</v>
      </c>
    </row>
    <row r="50" spans="1:30" ht="16.5" x14ac:dyDescent="0.3">
      <c r="A50" s="50" t="s">
        <v>29</v>
      </c>
      <c r="B50" s="50" t="s">
        <v>30</v>
      </c>
      <c r="C50" s="51" t="s">
        <v>125</v>
      </c>
      <c r="D50" s="50">
        <v>8</v>
      </c>
      <c r="E50" s="50"/>
      <c r="F50" s="50" t="s">
        <v>126</v>
      </c>
      <c r="G50" s="50"/>
      <c r="H50" s="58" t="str">
        <f t="shared" si="2"/>
        <v>3#1#2250|3#3#112|3#4#225|3#5#112|3#6#225|3#7#112|3#6#225|3#8#225|3#9#56|3#10#112|3#11#56|3#12#112</v>
      </c>
      <c r="I50" s="52" t="str">
        <f t="shared" si="4"/>
        <v>元宝1267800/声望12680</v>
      </c>
      <c r="J50" s="50"/>
      <c r="K50" s="22">
        <v>45</v>
      </c>
      <c r="L50" s="22">
        <v>5</v>
      </c>
      <c r="M50" s="22">
        <f>材料产出!C$16</f>
        <v>2.5</v>
      </c>
      <c r="N50" s="97">
        <f t="shared" si="8"/>
        <v>2250</v>
      </c>
      <c r="O50" s="97"/>
      <c r="P50" s="97">
        <f t="shared" si="9"/>
        <v>112</v>
      </c>
      <c r="Q50" s="97">
        <f t="shared" si="10"/>
        <v>225</v>
      </c>
      <c r="R50" s="97">
        <f t="shared" si="11"/>
        <v>112</v>
      </c>
      <c r="S50" s="97">
        <f t="shared" si="12"/>
        <v>225</v>
      </c>
      <c r="T50" s="97">
        <f t="shared" si="13"/>
        <v>112</v>
      </c>
      <c r="U50" s="97">
        <f t="shared" si="14"/>
        <v>225</v>
      </c>
      <c r="V50" s="97">
        <f t="shared" si="15"/>
        <v>56</v>
      </c>
      <c r="W50" s="97">
        <f t="shared" si="16"/>
        <v>112</v>
      </c>
      <c r="X50" s="97">
        <f t="shared" si="17"/>
        <v>56</v>
      </c>
      <c r="Y50" s="97">
        <f t="shared" si="18"/>
        <v>112</v>
      </c>
      <c r="Z50" s="8">
        <f>N50*属性价值参考!C$5+官印!P50*属性价值参考!C$7+官印!Q50*属性价值参考!C$8+官印!V50*属性价值参考!C$9+官印!W50*属性价值参考!C$10+官印!X50*属性价值参考!C$11+官印!Y50*属性价值参考!C$12</f>
        <v>31203.600000000006</v>
      </c>
      <c r="AA50" s="8">
        <f t="shared" si="0"/>
        <v>5200600.0000000019</v>
      </c>
      <c r="AB50" s="8">
        <f t="shared" si="1"/>
        <v>52006.000000000015</v>
      </c>
      <c r="AC50" s="8">
        <f>ROUND($AA$105/材料产出!$K$31*SUM(材料产出!$K$16:$K$18)/100,0)*100</f>
        <v>1267800</v>
      </c>
      <c r="AD50" s="8">
        <f>ROUND($AB$105/材料产出!$Q$31*SUM(材料产出!$P$16:$P$18)/10,0)*10</f>
        <v>12680</v>
      </c>
    </row>
    <row r="51" spans="1:30" ht="16.5" x14ac:dyDescent="0.3">
      <c r="A51" s="50" t="s">
        <v>29</v>
      </c>
      <c r="B51" s="50" t="s">
        <v>30</v>
      </c>
      <c r="C51" s="51" t="s">
        <v>127</v>
      </c>
      <c r="D51" s="50">
        <v>9</v>
      </c>
      <c r="E51" s="50"/>
      <c r="F51" s="50" t="s">
        <v>126</v>
      </c>
      <c r="G51" s="50"/>
      <c r="H51" s="58" t="str">
        <f t="shared" si="2"/>
        <v>3#1#2300|3#3#115|3#4#230|3#5#115|3#6#230|3#7#115|3#6#230|3#8#230|3#9#57|3#10#115|3#11#57|3#12#115</v>
      </c>
      <c r="I51" s="52" t="str">
        <f t="shared" si="4"/>
        <v>元宝1267800/声望12680</v>
      </c>
      <c r="J51" s="50"/>
      <c r="K51" s="22">
        <v>46</v>
      </c>
      <c r="L51" s="22">
        <v>5</v>
      </c>
      <c r="M51" s="22">
        <f>材料产出!C$16</f>
        <v>2.5</v>
      </c>
      <c r="N51" s="97">
        <f t="shared" si="8"/>
        <v>2300</v>
      </c>
      <c r="O51" s="97"/>
      <c r="P51" s="97">
        <f t="shared" si="9"/>
        <v>115</v>
      </c>
      <c r="Q51" s="97">
        <f t="shared" si="10"/>
        <v>230</v>
      </c>
      <c r="R51" s="97">
        <f t="shared" si="11"/>
        <v>115</v>
      </c>
      <c r="S51" s="97">
        <f t="shared" si="12"/>
        <v>230</v>
      </c>
      <c r="T51" s="97">
        <f t="shared" si="13"/>
        <v>115</v>
      </c>
      <c r="U51" s="97">
        <f t="shared" si="14"/>
        <v>230</v>
      </c>
      <c r="V51" s="97">
        <f t="shared" si="15"/>
        <v>57</v>
      </c>
      <c r="W51" s="97">
        <f t="shared" si="16"/>
        <v>115</v>
      </c>
      <c r="X51" s="97">
        <f t="shared" si="17"/>
        <v>57</v>
      </c>
      <c r="Y51" s="97">
        <f t="shared" si="18"/>
        <v>115</v>
      </c>
      <c r="Z51" s="8">
        <f>N51*属性价值参考!C$5+官印!P51*属性价值参考!C$7+官印!Q51*属性价值参考!C$8+官印!V51*属性价值参考!C$9+官印!W51*属性价值参考!C$10+官印!X51*属性价值参考!C$11+官印!Y51*属性价值参考!C$12</f>
        <v>31933.200000000001</v>
      </c>
      <c r="AA51" s="8">
        <f t="shared" si="0"/>
        <v>5322200</v>
      </c>
      <c r="AB51" s="8">
        <f t="shared" si="1"/>
        <v>53222</v>
      </c>
      <c r="AC51" s="8">
        <f>ROUND($AA$105/材料产出!$K$31*SUM(材料产出!$K$16:$K$18)/100,0)*100</f>
        <v>1267800</v>
      </c>
      <c r="AD51" s="8">
        <f>ROUND($AB$105/材料产出!$Q$31*SUM(材料产出!$P$16:$P$18)/10,0)*10</f>
        <v>12680</v>
      </c>
    </row>
    <row r="52" spans="1:30" ht="16.5" x14ac:dyDescent="0.3">
      <c r="A52" s="53" t="s">
        <v>29</v>
      </c>
      <c r="B52" s="53" t="s">
        <v>30</v>
      </c>
      <c r="C52" s="54" t="s">
        <v>128</v>
      </c>
      <c r="D52" s="53">
        <v>0</v>
      </c>
      <c r="E52" s="53"/>
      <c r="F52" s="53" t="s">
        <v>126</v>
      </c>
      <c r="G52" s="53"/>
      <c r="H52" s="57" t="str">
        <f t="shared" si="2"/>
        <v>3#1#2350|3#3#117|3#4#235|3#5#117|3#6#235|3#7#117|3#6#235|3#8#235|3#9#58|3#10#117|3#11#58|3#12#117</v>
      </c>
      <c r="I52" s="56"/>
      <c r="J52" s="53"/>
      <c r="K52" s="22">
        <v>47</v>
      </c>
      <c r="L52" s="22"/>
      <c r="M52" s="22"/>
      <c r="N52" s="97">
        <f t="shared" si="8"/>
        <v>2350</v>
      </c>
      <c r="O52" s="97"/>
      <c r="P52" s="97">
        <f t="shared" si="9"/>
        <v>117</v>
      </c>
      <c r="Q52" s="97">
        <f t="shared" si="10"/>
        <v>235</v>
      </c>
      <c r="R52" s="97">
        <f t="shared" si="11"/>
        <v>117</v>
      </c>
      <c r="S52" s="97">
        <f t="shared" si="12"/>
        <v>235</v>
      </c>
      <c r="T52" s="97">
        <f t="shared" si="13"/>
        <v>117</v>
      </c>
      <c r="U52" s="97">
        <f t="shared" si="14"/>
        <v>235</v>
      </c>
      <c r="V52" s="97">
        <f t="shared" si="15"/>
        <v>58</v>
      </c>
      <c r="W52" s="97">
        <f t="shared" si="16"/>
        <v>117</v>
      </c>
      <c r="X52" s="97">
        <f t="shared" si="17"/>
        <v>58</v>
      </c>
      <c r="Y52" s="97">
        <f t="shared" si="18"/>
        <v>117</v>
      </c>
      <c r="Z52" s="8">
        <f>N52*属性价值参考!C$5+官印!P52*属性价值参考!C$7+官印!Q52*属性价值参考!C$8+官印!V52*属性价值参考!C$9+官印!W52*属性价值参考!C$10+官印!X52*属性价值参考!C$11+官印!Y52*属性价值参考!C$12</f>
        <v>32578.800000000003</v>
      </c>
      <c r="AA52" s="8">
        <f t="shared" si="0"/>
        <v>5429800.0000000009</v>
      </c>
      <c r="AB52" s="8">
        <f t="shared" si="1"/>
        <v>54298.000000000007</v>
      </c>
      <c r="AC52" s="8"/>
      <c r="AD52" s="8"/>
    </row>
    <row r="53" spans="1:30" ht="16.5" x14ac:dyDescent="0.3">
      <c r="A53" s="53" t="s">
        <v>29</v>
      </c>
      <c r="B53" s="53" t="s">
        <v>30</v>
      </c>
      <c r="C53" s="54" t="s">
        <v>129</v>
      </c>
      <c r="D53" s="53">
        <v>1</v>
      </c>
      <c r="E53" s="53"/>
      <c r="F53" s="53" t="s">
        <v>130</v>
      </c>
      <c r="G53" s="53"/>
      <c r="H53" s="57" t="str">
        <f t="shared" si="2"/>
        <v>3#1#2400|3#3#120|3#4#240|3#5#120|3#6#240|3#7#120|3#6#240|3#8#240|3#9#60|3#10#120|3#11#60|3#12#120</v>
      </c>
      <c r="I53" s="56" t="str">
        <f t="shared" si="4"/>
        <v>元宝4113200/声望41130</v>
      </c>
      <c r="J53" s="53"/>
      <c r="K53" s="22">
        <v>48</v>
      </c>
      <c r="L53" s="22">
        <v>6</v>
      </c>
      <c r="M53" s="22">
        <f>材料产出!C$19</f>
        <v>3.7</v>
      </c>
      <c r="N53" s="97">
        <f t="shared" si="8"/>
        <v>2400</v>
      </c>
      <c r="O53" s="97"/>
      <c r="P53" s="97">
        <f t="shared" si="9"/>
        <v>120</v>
      </c>
      <c r="Q53" s="97">
        <f t="shared" si="10"/>
        <v>240</v>
      </c>
      <c r="R53" s="97">
        <f t="shared" si="11"/>
        <v>120</v>
      </c>
      <c r="S53" s="97">
        <f t="shared" si="12"/>
        <v>240</v>
      </c>
      <c r="T53" s="97">
        <f t="shared" si="13"/>
        <v>120</v>
      </c>
      <c r="U53" s="97">
        <f t="shared" si="14"/>
        <v>240</v>
      </c>
      <c r="V53" s="97">
        <f t="shared" si="15"/>
        <v>60</v>
      </c>
      <c r="W53" s="97">
        <f t="shared" si="16"/>
        <v>120</v>
      </c>
      <c r="X53" s="97">
        <f t="shared" si="17"/>
        <v>60</v>
      </c>
      <c r="Y53" s="97">
        <f t="shared" si="18"/>
        <v>120</v>
      </c>
      <c r="Z53" s="8">
        <f>N53*属性价值参考!C$5+官印!P53*属性价值参考!C$7+官印!Q53*属性价值参考!C$8+官印!V53*属性价值参考!C$9+官印!W53*属性价值参考!C$10+官印!X53*属性价值参考!C$11+官印!Y53*属性价值参考!C$12</f>
        <v>33336</v>
      </c>
      <c r="AA53" s="8">
        <f t="shared" si="0"/>
        <v>5556000</v>
      </c>
      <c r="AB53" s="8">
        <f t="shared" si="1"/>
        <v>55560</v>
      </c>
      <c r="AC53" s="8">
        <f>ROUND($AA$105/材料产出!$K$31*SUM(材料产出!$K$19:$K$21)/100,0)*100</f>
        <v>4113200</v>
      </c>
      <c r="AD53" s="8">
        <f>ROUND($AB$105/材料产出!$Q$31*SUM(材料产出!$P$19:$P$21)/10,0)*10</f>
        <v>41130</v>
      </c>
    </row>
    <row r="54" spans="1:30" ht="16.5" x14ac:dyDescent="0.3">
      <c r="A54" s="53" t="s">
        <v>29</v>
      </c>
      <c r="B54" s="53" t="s">
        <v>30</v>
      </c>
      <c r="C54" s="54" t="s">
        <v>131</v>
      </c>
      <c r="D54" s="53">
        <v>2</v>
      </c>
      <c r="E54" s="53"/>
      <c r="F54" s="53" t="s">
        <v>130</v>
      </c>
      <c r="G54" s="53"/>
      <c r="H54" s="57" t="str">
        <f t="shared" si="2"/>
        <v>3#1#2450|3#3#122|3#4#245|3#5#122|3#6#245|3#7#122|3#6#245|3#8#245|3#9#61|3#10#122|3#11#61|3#12#122</v>
      </c>
      <c r="I54" s="56" t="str">
        <f t="shared" si="4"/>
        <v>元宝4113200/声望41130</v>
      </c>
      <c r="J54" s="53"/>
      <c r="K54" s="22">
        <v>49</v>
      </c>
      <c r="L54" s="22">
        <v>6</v>
      </c>
      <c r="M54" s="22">
        <f>材料产出!C$19</f>
        <v>3.7</v>
      </c>
      <c r="N54" s="97">
        <f t="shared" si="8"/>
        <v>2450</v>
      </c>
      <c r="O54" s="97"/>
      <c r="P54" s="97">
        <f t="shared" si="9"/>
        <v>122</v>
      </c>
      <c r="Q54" s="97">
        <f t="shared" si="10"/>
        <v>245</v>
      </c>
      <c r="R54" s="97">
        <f t="shared" si="11"/>
        <v>122</v>
      </c>
      <c r="S54" s="97">
        <f t="shared" si="12"/>
        <v>245</v>
      </c>
      <c r="T54" s="97">
        <f t="shared" si="13"/>
        <v>122</v>
      </c>
      <c r="U54" s="97">
        <f t="shared" si="14"/>
        <v>245</v>
      </c>
      <c r="V54" s="97">
        <f t="shared" si="15"/>
        <v>61</v>
      </c>
      <c r="W54" s="97">
        <f t="shared" si="16"/>
        <v>122</v>
      </c>
      <c r="X54" s="97">
        <f t="shared" si="17"/>
        <v>61</v>
      </c>
      <c r="Y54" s="97">
        <f t="shared" si="18"/>
        <v>122</v>
      </c>
      <c r="Z54" s="8">
        <f>N54*属性价值参考!C$5+官印!P54*属性价值参考!C$7+官印!Q54*属性价值参考!C$8+官印!V54*属性价值参考!C$9+官印!W54*属性价值参考!C$10+官印!X54*属性价值参考!C$11+官印!Y54*属性价值参考!C$12</f>
        <v>33981.600000000006</v>
      </c>
      <c r="AA54" s="8">
        <f t="shared" si="0"/>
        <v>5663600.0000000019</v>
      </c>
      <c r="AB54" s="8">
        <f t="shared" si="1"/>
        <v>56636.000000000015</v>
      </c>
      <c r="AC54" s="8">
        <f>ROUND($AA$105/材料产出!$K$31*SUM(材料产出!$K$19:$K$21)/100,0)*100</f>
        <v>4113200</v>
      </c>
      <c r="AD54" s="8">
        <f>ROUND($AB$105/材料产出!$Q$31*SUM(材料产出!$P$19:$P$21)/10,0)*10</f>
        <v>41130</v>
      </c>
    </row>
    <row r="55" spans="1:30" ht="16.5" x14ac:dyDescent="0.3">
      <c r="A55" s="53" t="s">
        <v>29</v>
      </c>
      <c r="B55" s="53" t="s">
        <v>30</v>
      </c>
      <c r="C55" s="54" t="s">
        <v>129</v>
      </c>
      <c r="D55" s="53">
        <v>3</v>
      </c>
      <c r="E55" s="53"/>
      <c r="F55" s="53" t="s">
        <v>130</v>
      </c>
      <c r="G55" s="53"/>
      <c r="H55" s="57" t="str">
        <f t="shared" si="2"/>
        <v>3#1#2500|3#3#125|3#4#250|3#5#125|3#6#250|3#7#125|3#6#250|3#8#250|3#9#62|3#10#125|3#11#62|3#12#125</v>
      </c>
      <c r="I55" s="56" t="str">
        <f t="shared" si="4"/>
        <v>元宝4113200/声望41130</v>
      </c>
      <c r="J55" s="53"/>
      <c r="K55" s="22">
        <v>50</v>
      </c>
      <c r="L55" s="22">
        <v>6</v>
      </c>
      <c r="M55" s="22">
        <f>材料产出!C$19</f>
        <v>3.7</v>
      </c>
      <c r="N55" s="97">
        <f t="shared" si="8"/>
        <v>2500</v>
      </c>
      <c r="O55" s="97"/>
      <c r="P55" s="97">
        <f t="shared" si="9"/>
        <v>125</v>
      </c>
      <c r="Q55" s="97">
        <f t="shared" si="10"/>
        <v>250</v>
      </c>
      <c r="R55" s="97">
        <f t="shared" si="11"/>
        <v>125</v>
      </c>
      <c r="S55" s="97">
        <f t="shared" si="12"/>
        <v>250</v>
      </c>
      <c r="T55" s="97">
        <f t="shared" si="13"/>
        <v>125</v>
      </c>
      <c r="U55" s="97">
        <f t="shared" si="14"/>
        <v>250</v>
      </c>
      <c r="V55" s="97">
        <f t="shared" si="15"/>
        <v>62</v>
      </c>
      <c r="W55" s="97">
        <f t="shared" si="16"/>
        <v>125</v>
      </c>
      <c r="X55" s="97">
        <f t="shared" si="17"/>
        <v>62</v>
      </c>
      <c r="Y55" s="97">
        <f t="shared" si="18"/>
        <v>125</v>
      </c>
      <c r="Z55" s="8">
        <f>N55*属性价值参考!C$5+官印!P55*属性价值参考!C$7+官印!Q55*属性价值参考!C$8+官印!V55*属性价值参考!C$9+官印!W55*属性价值参考!C$10+官印!X55*属性价值参考!C$11+官印!Y55*属性价值参考!C$12</f>
        <v>34711.199999999997</v>
      </c>
      <c r="AA55" s="8">
        <f t="shared" si="0"/>
        <v>5785200</v>
      </c>
      <c r="AB55" s="8">
        <f t="shared" si="1"/>
        <v>57852</v>
      </c>
      <c r="AC55" s="8">
        <f>ROUND($AA$105/材料产出!$K$31*SUM(材料产出!$K$19:$K$21)/100,0)*100</f>
        <v>4113200</v>
      </c>
      <c r="AD55" s="8">
        <f>ROUND($AB$105/材料产出!$Q$31*SUM(材料产出!$P$19:$P$21)/10,0)*10</f>
        <v>41130</v>
      </c>
    </row>
    <row r="56" spans="1:30" ht="16.5" x14ac:dyDescent="0.3">
      <c r="A56" s="53" t="s">
        <v>29</v>
      </c>
      <c r="B56" s="53" t="s">
        <v>30</v>
      </c>
      <c r="C56" s="54" t="s">
        <v>129</v>
      </c>
      <c r="D56" s="53">
        <v>4</v>
      </c>
      <c r="E56" s="53"/>
      <c r="F56" s="53" t="s">
        <v>130</v>
      </c>
      <c r="G56" s="53"/>
      <c r="H56" s="57" t="str">
        <f t="shared" si="2"/>
        <v>3#1#2550|3#3#127|3#4#255|3#5#127|3#6#255|3#7#127|3#6#255|3#8#255|3#9#63|3#10#127|3#11#63|3#12#127</v>
      </c>
      <c r="I56" s="56" t="str">
        <f t="shared" si="4"/>
        <v>元宝4113200/声望41130</v>
      </c>
      <c r="J56" s="53"/>
      <c r="K56" s="22">
        <v>51</v>
      </c>
      <c r="L56" s="22">
        <v>6</v>
      </c>
      <c r="M56" s="22">
        <f>材料产出!C$19</f>
        <v>3.7</v>
      </c>
      <c r="N56" s="97">
        <f t="shared" si="8"/>
        <v>2550</v>
      </c>
      <c r="O56" s="97"/>
      <c r="P56" s="97">
        <f t="shared" si="9"/>
        <v>127</v>
      </c>
      <c r="Q56" s="97">
        <f t="shared" si="10"/>
        <v>255</v>
      </c>
      <c r="R56" s="97">
        <f t="shared" si="11"/>
        <v>127</v>
      </c>
      <c r="S56" s="97">
        <f t="shared" si="12"/>
        <v>255</v>
      </c>
      <c r="T56" s="97">
        <f t="shared" si="13"/>
        <v>127</v>
      </c>
      <c r="U56" s="97">
        <f t="shared" si="14"/>
        <v>255</v>
      </c>
      <c r="V56" s="97">
        <f t="shared" si="15"/>
        <v>63</v>
      </c>
      <c r="W56" s="97">
        <f t="shared" si="16"/>
        <v>127</v>
      </c>
      <c r="X56" s="97">
        <f t="shared" si="17"/>
        <v>63</v>
      </c>
      <c r="Y56" s="97">
        <f t="shared" si="18"/>
        <v>127</v>
      </c>
      <c r="Z56" s="8">
        <f>N56*属性价值参考!C$5+官印!P56*属性价值参考!C$7+官印!Q56*属性价值参考!C$8+官印!V56*属性价值参考!C$9+官印!W56*属性价值参考!C$10+官印!X56*属性价值参考!C$11+官印!Y56*属性价值参考!C$12</f>
        <v>35356.800000000003</v>
      </c>
      <c r="AA56" s="8">
        <f t="shared" si="0"/>
        <v>5892800.0000000009</v>
      </c>
      <c r="AB56" s="8">
        <f t="shared" si="1"/>
        <v>58928.000000000007</v>
      </c>
      <c r="AC56" s="8">
        <f>ROUND($AA$105/材料产出!$K$31*SUM(材料产出!$K$19:$K$21)/100,0)*100</f>
        <v>4113200</v>
      </c>
      <c r="AD56" s="8">
        <f>ROUND($AB$105/材料产出!$Q$31*SUM(材料产出!$P$19:$P$21)/10,0)*10</f>
        <v>41130</v>
      </c>
    </row>
    <row r="57" spans="1:30" ht="16.5" x14ac:dyDescent="0.3">
      <c r="A57" s="53" t="s">
        <v>29</v>
      </c>
      <c r="B57" s="53" t="s">
        <v>30</v>
      </c>
      <c r="C57" s="54" t="s">
        <v>129</v>
      </c>
      <c r="D57" s="53">
        <v>5</v>
      </c>
      <c r="E57" s="53"/>
      <c r="F57" s="53" t="s">
        <v>130</v>
      </c>
      <c r="G57" s="53"/>
      <c r="H57" s="57" t="str">
        <f t="shared" si="2"/>
        <v>3#1#2600|3#3#130|3#4#260|3#5#130|3#6#260|3#7#130|3#6#260|3#8#260|3#9#65|3#10#130|3#11#65|3#12#130</v>
      </c>
      <c r="I57" s="56" t="str">
        <f t="shared" si="4"/>
        <v>元宝4113200/声望41130</v>
      </c>
      <c r="J57" s="53"/>
      <c r="K57" s="22">
        <v>52</v>
      </c>
      <c r="L57" s="22">
        <v>6</v>
      </c>
      <c r="M57" s="22">
        <f>材料产出!C$19</f>
        <v>3.7</v>
      </c>
      <c r="N57" s="97">
        <f t="shared" si="8"/>
        <v>2600</v>
      </c>
      <c r="O57" s="97"/>
      <c r="P57" s="97">
        <f t="shared" si="9"/>
        <v>130</v>
      </c>
      <c r="Q57" s="97">
        <f t="shared" si="10"/>
        <v>260</v>
      </c>
      <c r="R57" s="97">
        <f t="shared" si="11"/>
        <v>130</v>
      </c>
      <c r="S57" s="97">
        <f t="shared" si="12"/>
        <v>260</v>
      </c>
      <c r="T57" s="97">
        <f t="shared" si="13"/>
        <v>130</v>
      </c>
      <c r="U57" s="97">
        <f t="shared" si="14"/>
        <v>260</v>
      </c>
      <c r="V57" s="97">
        <f t="shared" si="15"/>
        <v>65</v>
      </c>
      <c r="W57" s="97">
        <f t="shared" si="16"/>
        <v>130</v>
      </c>
      <c r="X57" s="97">
        <f t="shared" si="17"/>
        <v>65</v>
      </c>
      <c r="Y57" s="97">
        <f t="shared" si="18"/>
        <v>130</v>
      </c>
      <c r="Z57" s="8">
        <f>N57*属性价值参考!C$5+官印!P57*属性价值参考!C$7+官印!Q57*属性价值参考!C$8+官印!V57*属性价值参考!C$9+官印!W57*属性价值参考!C$10+官印!X57*属性价值参考!C$11+官印!Y57*属性价值参考!C$12</f>
        <v>36114</v>
      </c>
      <c r="AA57" s="8">
        <f t="shared" si="0"/>
        <v>6019000</v>
      </c>
      <c r="AB57" s="8">
        <f t="shared" si="1"/>
        <v>60190</v>
      </c>
      <c r="AC57" s="8">
        <f>ROUND($AA$105/材料产出!$K$31*SUM(材料产出!$K$19:$K$21)/100,0)*100</f>
        <v>4113200</v>
      </c>
      <c r="AD57" s="8">
        <f>ROUND($AB$105/材料产出!$Q$31*SUM(材料产出!$P$19:$P$21)/10,0)*10</f>
        <v>41130</v>
      </c>
    </row>
    <row r="58" spans="1:30" ht="16.5" x14ac:dyDescent="0.3">
      <c r="A58" s="53" t="s">
        <v>29</v>
      </c>
      <c r="B58" s="53" t="s">
        <v>30</v>
      </c>
      <c r="C58" s="54" t="s">
        <v>129</v>
      </c>
      <c r="D58" s="53">
        <v>6</v>
      </c>
      <c r="E58" s="53"/>
      <c r="F58" s="53" t="s">
        <v>130</v>
      </c>
      <c r="G58" s="53"/>
      <c r="H58" s="57" t="str">
        <f t="shared" si="2"/>
        <v>3#1#2650|3#3#132|3#4#265|3#5#132|3#6#265|3#7#132|3#6#265|3#8#265|3#9#66|3#10#132|3#11#66|3#12#132</v>
      </c>
      <c r="I58" s="56" t="str">
        <f t="shared" si="4"/>
        <v>元宝4113200/声望41130</v>
      </c>
      <c r="J58" s="53"/>
      <c r="K58" s="22">
        <v>53</v>
      </c>
      <c r="L58" s="22">
        <v>6</v>
      </c>
      <c r="M58" s="22">
        <f>材料产出!C$19</f>
        <v>3.7</v>
      </c>
      <c r="N58" s="97">
        <f t="shared" si="8"/>
        <v>2650</v>
      </c>
      <c r="O58" s="97"/>
      <c r="P58" s="97">
        <f t="shared" si="9"/>
        <v>132</v>
      </c>
      <c r="Q58" s="97">
        <f t="shared" si="10"/>
        <v>265</v>
      </c>
      <c r="R58" s="97">
        <f t="shared" si="11"/>
        <v>132</v>
      </c>
      <c r="S58" s="97">
        <f t="shared" si="12"/>
        <v>265</v>
      </c>
      <c r="T58" s="97">
        <f t="shared" si="13"/>
        <v>132</v>
      </c>
      <c r="U58" s="97">
        <f t="shared" si="14"/>
        <v>265</v>
      </c>
      <c r="V58" s="97">
        <f t="shared" si="15"/>
        <v>66</v>
      </c>
      <c r="W58" s="97">
        <f t="shared" si="16"/>
        <v>132</v>
      </c>
      <c r="X58" s="97">
        <f t="shared" si="17"/>
        <v>66</v>
      </c>
      <c r="Y58" s="97">
        <f t="shared" si="18"/>
        <v>132</v>
      </c>
      <c r="Z58" s="8">
        <f>N58*属性价值参考!C$5+官印!P58*属性价值参考!C$7+官印!Q58*属性价值参考!C$8+官印!V58*属性价值参考!C$9+官印!W58*属性价值参考!C$10+官印!X58*属性价值参考!C$11+官印!Y58*属性价值参考!C$12</f>
        <v>36759.599999999999</v>
      </c>
      <c r="AA58" s="8">
        <f t="shared" si="0"/>
        <v>6126600</v>
      </c>
      <c r="AB58" s="8">
        <f t="shared" si="1"/>
        <v>61266</v>
      </c>
      <c r="AC58" s="8">
        <f>ROUND($AA$105/材料产出!$K$31*SUM(材料产出!$K$19:$K$21)/100,0)*100</f>
        <v>4113200</v>
      </c>
      <c r="AD58" s="8">
        <f>ROUND($AB$105/材料产出!$Q$31*SUM(材料产出!$P$19:$P$21)/10,0)*10</f>
        <v>41130</v>
      </c>
    </row>
    <row r="59" spans="1:30" ht="16.5" x14ac:dyDescent="0.3">
      <c r="A59" s="53" t="s">
        <v>29</v>
      </c>
      <c r="B59" s="53" t="s">
        <v>30</v>
      </c>
      <c r="C59" s="54" t="s">
        <v>129</v>
      </c>
      <c r="D59" s="53">
        <v>7</v>
      </c>
      <c r="E59" s="53"/>
      <c r="F59" s="53" t="s">
        <v>130</v>
      </c>
      <c r="G59" s="53"/>
      <c r="H59" s="57" t="str">
        <f t="shared" si="2"/>
        <v>3#1#2700|3#3#135|3#4#270|3#5#135|3#6#270|3#7#135|3#6#270|3#8#270|3#9#67|3#10#135|3#11#67|3#12#135</v>
      </c>
      <c r="I59" s="56" t="str">
        <f t="shared" si="4"/>
        <v>元宝4113200/声望41130</v>
      </c>
      <c r="J59" s="53"/>
      <c r="K59" s="22">
        <v>54</v>
      </c>
      <c r="L59" s="22">
        <v>6</v>
      </c>
      <c r="M59" s="22">
        <f>材料产出!C$19</f>
        <v>3.7</v>
      </c>
      <c r="N59" s="97">
        <f t="shared" si="8"/>
        <v>2700</v>
      </c>
      <c r="O59" s="97"/>
      <c r="P59" s="97">
        <f t="shared" si="9"/>
        <v>135</v>
      </c>
      <c r="Q59" s="97">
        <f t="shared" si="10"/>
        <v>270</v>
      </c>
      <c r="R59" s="97">
        <f t="shared" si="11"/>
        <v>135</v>
      </c>
      <c r="S59" s="97">
        <f t="shared" si="12"/>
        <v>270</v>
      </c>
      <c r="T59" s="97">
        <f t="shared" si="13"/>
        <v>135</v>
      </c>
      <c r="U59" s="97">
        <f t="shared" si="14"/>
        <v>270</v>
      </c>
      <c r="V59" s="97">
        <f t="shared" si="15"/>
        <v>67</v>
      </c>
      <c r="W59" s="97">
        <f t="shared" si="16"/>
        <v>135</v>
      </c>
      <c r="X59" s="97">
        <f t="shared" si="17"/>
        <v>67</v>
      </c>
      <c r="Y59" s="97">
        <f t="shared" si="18"/>
        <v>135</v>
      </c>
      <c r="Z59" s="8">
        <f>N59*属性价值参考!C$5+官印!P59*属性价值参考!C$7+官印!Q59*属性价值参考!C$8+官印!V59*属性价值参考!C$9+官印!W59*属性价值参考!C$10+官印!X59*属性价值参考!C$11+官印!Y59*属性价值参考!C$12</f>
        <v>37489.200000000004</v>
      </c>
      <c r="AA59" s="8">
        <f t="shared" si="0"/>
        <v>6248200.0000000009</v>
      </c>
      <c r="AB59" s="8">
        <f t="shared" si="1"/>
        <v>62482.000000000007</v>
      </c>
      <c r="AC59" s="8">
        <f>ROUND($AA$105/材料产出!$K$31*SUM(材料产出!$K$19:$K$21)/100,0)*100</f>
        <v>4113200</v>
      </c>
      <c r="AD59" s="8">
        <f>ROUND($AB$105/材料产出!$Q$31*SUM(材料产出!$P$19:$P$21)/10,0)*10</f>
        <v>41130</v>
      </c>
    </row>
    <row r="60" spans="1:30" ht="16.5" x14ac:dyDescent="0.3">
      <c r="A60" s="53" t="s">
        <v>29</v>
      </c>
      <c r="B60" s="53" t="s">
        <v>30</v>
      </c>
      <c r="C60" s="54" t="s">
        <v>129</v>
      </c>
      <c r="D60" s="53">
        <v>8</v>
      </c>
      <c r="E60" s="53"/>
      <c r="F60" s="53" t="s">
        <v>130</v>
      </c>
      <c r="G60" s="53"/>
      <c r="H60" s="57" t="str">
        <f t="shared" si="2"/>
        <v>3#1#2750|3#3#137|3#4#275|3#5#137|3#6#275|3#7#137|3#6#275|3#8#275|3#9#68|3#10#137|3#11#68|3#12#137</v>
      </c>
      <c r="I60" s="56" t="str">
        <f t="shared" si="4"/>
        <v>元宝4113200/声望41130</v>
      </c>
      <c r="J60" s="53"/>
      <c r="K60" s="22">
        <v>55</v>
      </c>
      <c r="L60" s="22">
        <v>6</v>
      </c>
      <c r="M60" s="22">
        <f>材料产出!C$19</f>
        <v>3.7</v>
      </c>
      <c r="N60" s="97">
        <f t="shared" si="8"/>
        <v>2750</v>
      </c>
      <c r="O60" s="97"/>
      <c r="P60" s="97">
        <f t="shared" si="9"/>
        <v>137</v>
      </c>
      <c r="Q60" s="97">
        <f t="shared" si="10"/>
        <v>275</v>
      </c>
      <c r="R60" s="97">
        <f t="shared" si="11"/>
        <v>137</v>
      </c>
      <c r="S60" s="97">
        <f t="shared" si="12"/>
        <v>275</v>
      </c>
      <c r="T60" s="97">
        <f t="shared" si="13"/>
        <v>137</v>
      </c>
      <c r="U60" s="97">
        <f t="shared" si="14"/>
        <v>275</v>
      </c>
      <c r="V60" s="97">
        <f t="shared" si="15"/>
        <v>68</v>
      </c>
      <c r="W60" s="97">
        <f t="shared" si="16"/>
        <v>137</v>
      </c>
      <c r="X60" s="97">
        <f t="shared" si="17"/>
        <v>68</v>
      </c>
      <c r="Y60" s="97">
        <f t="shared" si="18"/>
        <v>137</v>
      </c>
      <c r="Z60" s="8">
        <f>N60*属性价值参考!C$5+官印!P60*属性价值参考!C$7+官印!Q60*属性价值参考!C$8+官印!V60*属性价值参考!C$9+官印!W60*属性价值参考!C$10+官印!X60*属性价值参考!C$11+官印!Y60*属性价值参考!C$12</f>
        <v>38134.799999999996</v>
      </c>
      <c r="AA60" s="8">
        <f t="shared" si="0"/>
        <v>6355799.9999999991</v>
      </c>
      <c r="AB60" s="8">
        <f t="shared" si="1"/>
        <v>63557.999999999993</v>
      </c>
      <c r="AC60" s="8">
        <f>ROUND($AA$105/材料产出!$K$31*SUM(材料产出!$K$19:$K$21)/100,0)*100</f>
        <v>4113200</v>
      </c>
      <c r="AD60" s="8">
        <f>ROUND($AB$105/材料产出!$Q$31*SUM(材料产出!$P$19:$P$21)/10,0)*10</f>
        <v>41130</v>
      </c>
    </row>
    <row r="61" spans="1:30" ht="16.5" x14ac:dyDescent="0.3">
      <c r="A61" s="53" t="s">
        <v>29</v>
      </c>
      <c r="B61" s="53" t="s">
        <v>30</v>
      </c>
      <c r="C61" s="54" t="s">
        <v>129</v>
      </c>
      <c r="D61" s="53">
        <v>9</v>
      </c>
      <c r="E61" s="53"/>
      <c r="F61" s="53" t="s">
        <v>130</v>
      </c>
      <c r="G61" s="53"/>
      <c r="H61" s="57" t="str">
        <f t="shared" si="2"/>
        <v>3#1#2800|3#3#140|3#4#280|3#5#140|3#6#280|3#7#140|3#6#280|3#8#280|3#9#70|3#10#140|3#11#70|3#12#140</v>
      </c>
      <c r="I61" s="56" t="str">
        <f t="shared" si="4"/>
        <v>元宝4113200/声望41130</v>
      </c>
      <c r="J61" s="53"/>
      <c r="K61" s="22">
        <v>56</v>
      </c>
      <c r="L61" s="22">
        <v>6</v>
      </c>
      <c r="M61" s="22">
        <f>材料产出!C$19</f>
        <v>3.7</v>
      </c>
      <c r="N61" s="97">
        <f t="shared" si="8"/>
        <v>2800</v>
      </c>
      <c r="O61" s="97"/>
      <c r="P61" s="97">
        <f t="shared" si="9"/>
        <v>140</v>
      </c>
      <c r="Q61" s="97">
        <f t="shared" si="10"/>
        <v>280</v>
      </c>
      <c r="R61" s="97">
        <f t="shared" si="11"/>
        <v>140</v>
      </c>
      <c r="S61" s="97">
        <f t="shared" si="12"/>
        <v>280</v>
      </c>
      <c r="T61" s="97">
        <f t="shared" si="13"/>
        <v>140</v>
      </c>
      <c r="U61" s="97">
        <f t="shared" si="14"/>
        <v>280</v>
      </c>
      <c r="V61" s="97">
        <f t="shared" si="15"/>
        <v>70</v>
      </c>
      <c r="W61" s="97">
        <f t="shared" si="16"/>
        <v>140</v>
      </c>
      <c r="X61" s="97">
        <f t="shared" si="17"/>
        <v>70</v>
      </c>
      <c r="Y61" s="97">
        <f t="shared" si="18"/>
        <v>140</v>
      </c>
      <c r="Z61" s="8">
        <f>N61*属性价值参考!C$5+官印!P61*属性价值参考!C$7+官印!Q61*属性价值参考!C$8+官印!V61*属性价值参考!C$9+官印!W61*属性价值参考!C$10+官印!X61*属性价值参考!C$11+官印!Y61*属性价值参考!C$12</f>
        <v>38892</v>
      </c>
      <c r="AA61" s="8">
        <f t="shared" si="0"/>
        <v>6482000</v>
      </c>
      <c r="AB61" s="8">
        <f t="shared" si="1"/>
        <v>64820</v>
      </c>
      <c r="AC61" s="8">
        <f>ROUND($AA$105/材料产出!$K$31*SUM(材料产出!$K$19:$K$21)/100,0)*100</f>
        <v>4113200</v>
      </c>
      <c r="AD61" s="8">
        <f>ROUND($AB$105/材料产出!$Q$31*SUM(材料产出!$P$19:$P$21)/10,0)*10</f>
        <v>41130</v>
      </c>
    </row>
    <row r="62" spans="1:30" ht="16.5" x14ac:dyDescent="0.3">
      <c r="A62" s="53" t="s">
        <v>29</v>
      </c>
      <c r="B62" s="53" t="s">
        <v>30</v>
      </c>
      <c r="C62" s="54" t="s">
        <v>128</v>
      </c>
      <c r="D62" s="53">
        <v>10</v>
      </c>
      <c r="E62" s="53"/>
      <c r="F62" s="53" t="s">
        <v>130</v>
      </c>
      <c r="G62" s="53"/>
      <c r="H62" s="57" t="str">
        <f t="shared" si="2"/>
        <v>3#1#2850|3#3#142|3#4#285|3#5#142|3#6#285|3#7#142|3#6#285|3#8#285|3#9#71|3#10#142|3#11#71|3#12#142</v>
      </c>
      <c r="I62" s="56"/>
      <c r="J62" s="53"/>
      <c r="K62" s="22">
        <v>57</v>
      </c>
      <c r="L62" s="22"/>
      <c r="M62" s="22"/>
      <c r="N62" s="97">
        <f t="shared" si="8"/>
        <v>2850</v>
      </c>
      <c r="O62" s="97"/>
      <c r="P62" s="97">
        <f t="shared" si="9"/>
        <v>142</v>
      </c>
      <c r="Q62" s="97">
        <f t="shared" si="10"/>
        <v>285</v>
      </c>
      <c r="R62" s="97">
        <f t="shared" si="11"/>
        <v>142</v>
      </c>
      <c r="S62" s="97">
        <f t="shared" si="12"/>
        <v>285</v>
      </c>
      <c r="T62" s="97">
        <f t="shared" si="13"/>
        <v>142</v>
      </c>
      <c r="U62" s="97">
        <f t="shared" si="14"/>
        <v>285</v>
      </c>
      <c r="V62" s="97">
        <f t="shared" si="15"/>
        <v>71</v>
      </c>
      <c r="W62" s="97">
        <f t="shared" si="16"/>
        <v>142</v>
      </c>
      <c r="X62" s="97">
        <f t="shared" si="17"/>
        <v>71</v>
      </c>
      <c r="Y62" s="97">
        <f t="shared" si="18"/>
        <v>142</v>
      </c>
      <c r="Z62" s="8">
        <f>N62*属性价值参考!C$5+官印!P62*属性价值参考!C$7+官印!Q62*属性价值参考!C$8+官印!V62*属性价值参考!C$9+官印!W62*属性价值参考!C$10+官印!X62*属性价值参考!C$11+官印!Y62*属性价值参考!C$12</f>
        <v>39537.599999999999</v>
      </c>
      <c r="AA62" s="8">
        <f t="shared" si="0"/>
        <v>6589600</v>
      </c>
      <c r="AB62" s="8">
        <f t="shared" si="1"/>
        <v>65896</v>
      </c>
      <c r="AC62" s="8"/>
      <c r="AD62" s="8"/>
    </row>
    <row r="63" spans="1:30" ht="16.5" x14ac:dyDescent="0.3">
      <c r="A63" s="53" t="s">
        <v>29</v>
      </c>
      <c r="B63" s="53" t="s">
        <v>30</v>
      </c>
      <c r="C63" s="54" t="s">
        <v>131</v>
      </c>
      <c r="D63" s="53">
        <v>10</v>
      </c>
      <c r="E63" s="53"/>
      <c r="F63" s="53" t="s">
        <v>102</v>
      </c>
      <c r="G63" s="53"/>
      <c r="H63" s="57" t="str">
        <f t="shared" si="2"/>
        <v>3#1#2900|3#3#145|3#4#290|3#5#145|3#6#290|3#7#145|3#6#290|3#8#290|3#9#72|3#10#145|3#11#72|3#12#145</v>
      </c>
      <c r="I63" s="56"/>
      <c r="J63" s="53"/>
      <c r="K63" s="22">
        <v>58</v>
      </c>
      <c r="L63" s="22"/>
      <c r="M63" s="22"/>
      <c r="N63" s="97">
        <f t="shared" si="8"/>
        <v>2900</v>
      </c>
      <c r="O63" s="97"/>
      <c r="P63" s="97">
        <f t="shared" si="9"/>
        <v>145</v>
      </c>
      <c r="Q63" s="97">
        <f t="shared" si="10"/>
        <v>290</v>
      </c>
      <c r="R63" s="97">
        <f t="shared" si="11"/>
        <v>145</v>
      </c>
      <c r="S63" s="97">
        <f t="shared" si="12"/>
        <v>290</v>
      </c>
      <c r="T63" s="97">
        <f t="shared" si="13"/>
        <v>145</v>
      </c>
      <c r="U63" s="97">
        <f t="shared" si="14"/>
        <v>290</v>
      </c>
      <c r="V63" s="97">
        <f t="shared" si="15"/>
        <v>72</v>
      </c>
      <c r="W63" s="97">
        <f t="shared" si="16"/>
        <v>145</v>
      </c>
      <c r="X63" s="97">
        <f t="shared" si="17"/>
        <v>72</v>
      </c>
      <c r="Y63" s="97">
        <f t="shared" si="18"/>
        <v>145</v>
      </c>
      <c r="Z63" s="8">
        <f>N63*属性价值参考!C$5+官印!P63*属性价值参考!C$7+官印!Q63*属性价值参考!C$8+官印!V63*属性价值参考!C$9+官印!W63*属性价值参考!C$10+官印!X63*属性价值参考!C$11+官印!Y63*属性价值参考!C$12</f>
        <v>40267.200000000004</v>
      </c>
      <c r="AA63" s="8">
        <f t="shared" si="0"/>
        <v>6711200.0000000019</v>
      </c>
      <c r="AB63" s="8">
        <f t="shared" si="1"/>
        <v>67112.000000000015</v>
      </c>
      <c r="AC63" s="8"/>
      <c r="AD63" s="8"/>
    </row>
    <row r="64" spans="1:30" ht="16.5" x14ac:dyDescent="0.3">
      <c r="A64" s="35" t="s">
        <v>29</v>
      </c>
      <c r="B64" s="35" t="s">
        <v>132</v>
      </c>
      <c r="C64" s="41" t="s">
        <v>133</v>
      </c>
      <c r="D64" s="35">
        <v>0</v>
      </c>
      <c r="E64" s="35"/>
      <c r="F64" s="35" t="s">
        <v>102</v>
      </c>
      <c r="G64" s="35"/>
      <c r="H64" s="61" t="str">
        <f t="shared" si="2"/>
        <v>3#1#2950|3#3#147|3#4#295|3#5#147|3#6#295|3#7#147|3#6#295|3#8#295|3#9#73|3#10#147|3#11#73|3#12#147</v>
      </c>
      <c r="I64" s="43"/>
      <c r="J64" s="35"/>
      <c r="K64" s="22">
        <v>59</v>
      </c>
      <c r="L64" s="22"/>
      <c r="M64" s="22"/>
      <c r="N64" s="97">
        <f t="shared" si="8"/>
        <v>2950</v>
      </c>
      <c r="O64" s="97"/>
      <c r="P64" s="97">
        <f t="shared" si="9"/>
        <v>147</v>
      </c>
      <c r="Q64" s="97">
        <f t="shared" si="10"/>
        <v>295</v>
      </c>
      <c r="R64" s="97">
        <f t="shared" si="11"/>
        <v>147</v>
      </c>
      <c r="S64" s="97">
        <f t="shared" si="12"/>
        <v>295</v>
      </c>
      <c r="T64" s="97">
        <f t="shared" si="13"/>
        <v>147</v>
      </c>
      <c r="U64" s="97">
        <f t="shared" si="14"/>
        <v>295</v>
      </c>
      <c r="V64" s="97">
        <f t="shared" si="15"/>
        <v>73</v>
      </c>
      <c r="W64" s="97">
        <f t="shared" si="16"/>
        <v>147</v>
      </c>
      <c r="X64" s="97">
        <f t="shared" si="17"/>
        <v>73</v>
      </c>
      <c r="Y64" s="97">
        <f t="shared" si="18"/>
        <v>147</v>
      </c>
      <c r="Z64" s="8">
        <f>N64*属性价值参考!C$5+官印!P64*属性价值参考!C$7+官印!Q64*属性价值参考!C$8+官印!V64*属性价值参考!C$9+官印!W64*属性价值参考!C$10+官印!X64*属性价值参考!C$11+官印!Y64*属性价值参考!C$12</f>
        <v>40912.799999999996</v>
      </c>
      <c r="AA64" s="8">
        <f t="shared" si="0"/>
        <v>6818800</v>
      </c>
      <c r="AB64" s="8">
        <f t="shared" si="1"/>
        <v>68188</v>
      </c>
      <c r="AC64" s="8"/>
      <c r="AD64" s="8"/>
    </row>
    <row r="65" spans="1:30" ht="16.5" x14ac:dyDescent="0.3">
      <c r="A65" s="35" t="s">
        <v>29</v>
      </c>
      <c r="B65" s="35" t="s">
        <v>132</v>
      </c>
      <c r="C65" s="41" t="s">
        <v>134</v>
      </c>
      <c r="D65" s="35">
        <v>1</v>
      </c>
      <c r="E65" s="35"/>
      <c r="F65" s="35" t="s">
        <v>105</v>
      </c>
      <c r="G65" s="35"/>
      <c r="H65" s="61" t="str">
        <f t="shared" si="2"/>
        <v>3#1#3000|3#3#150|3#4#300|3#5#150|3#6#300|3#7#150|3#6#300|3#8#300|3#9#75|3#10#150|3#11#75|3#12#150</v>
      </c>
      <c r="I65" s="43" t="str">
        <f t="shared" si="4"/>
        <v>元宝10353400/声望103530</v>
      </c>
      <c r="J65" s="35"/>
      <c r="K65" s="22">
        <v>60</v>
      </c>
      <c r="L65" s="22">
        <v>7</v>
      </c>
      <c r="M65" s="22">
        <f>材料产出!C$22</f>
        <v>4.5999999999999996</v>
      </c>
      <c r="N65" s="97">
        <f t="shared" si="8"/>
        <v>3000</v>
      </c>
      <c r="O65" s="97"/>
      <c r="P65" s="97">
        <f t="shared" si="9"/>
        <v>150</v>
      </c>
      <c r="Q65" s="97">
        <f t="shared" si="10"/>
        <v>300</v>
      </c>
      <c r="R65" s="97">
        <f t="shared" si="11"/>
        <v>150</v>
      </c>
      <c r="S65" s="97">
        <f t="shared" si="12"/>
        <v>300</v>
      </c>
      <c r="T65" s="97">
        <f t="shared" si="13"/>
        <v>150</v>
      </c>
      <c r="U65" s="97">
        <f t="shared" si="14"/>
        <v>300</v>
      </c>
      <c r="V65" s="97">
        <f t="shared" si="15"/>
        <v>75</v>
      </c>
      <c r="W65" s="97">
        <f t="shared" si="16"/>
        <v>150</v>
      </c>
      <c r="X65" s="97">
        <f t="shared" si="17"/>
        <v>75</v>
      </c>
      <c r="Y65" s="97">
        <f t="shared" si="18"/>
        <v>150</v>
      </c>
      <c r="Z65" s="8">
        <f>N65*属性价值参考!C$5+官印!P65*属性价值参考!C$7+官印!Q65*属性价值参考!C$8+官印!V65*属性价值参考!C$9+官印!W65*属性价值参考!C$10+官印!X65*属性价值参考!C$11+官印!Y65*属性价值参考!C$12</f>
        <v>41670</v>
      </c>
      <c r="AA65" s="8">
        <f t="shared" si="0"/>
        <v>6945000</v>
      </c>
      <c r="AB65" s="8">
        <f t="shared" si="1"/>
        <v>69450</v>
      </c>
      <c r="AC65" s="8">
        <f>ROUND($AA$105/材料产出!$K$31*SUM(材料产出!$K$22:$K$24)/100,0)*100</f>
        <v>10353400</v>
      </c>
      <c r="AD65" s="8">
        <f>ROUND($AB$105/材料产出!$Q$31*SUM(材料产出!$P$22:$P$24)/10,0)*10</f>
        <v>103530</v>
      </c>
    </row>
    <row r="66" spans="1:30" ht="16.5" x14ac:dyDescent="0.3">
      <c r="A66" s="35" t="s">
        <v>29</v>
      </c>
      <c r="B66" s="35" t="s">
        <v>132</v>
      </c>
      <c r="C66" s="41" t="s">
        <v>134</v>
      </c>
      <c r="D66" s="35">
        <v>2</v>
      </c>
      <c r="E66" s="35"/>
      <c r="F66" s="35" t="s">
        <v>105</v>
      </c>
      <c r="G66" s="35"/>
      <c r="H66" s="61" t="str">
        <f t="shared" si="2"/>
        <v>3#1#3050|3#3#152|3#4#305|3#5#152|3#6#305|3#7#152|3#6#305|3#8#305|3#9#76|3#10#152|3#11#76|3#12#152</v>
      </c>
      <c r="I66" s="43" t="str">
        <f t="shared" si="4"/>
        <v>元宝10353400/声望103530</v>
      </c>
      <c r="J66" s="35"/>
      <c r="K66" s="22">
        <v>61</v>
      </c>
      <c r="L66" s="22">
        <v>7</v>
      </c>
      <c r="M66" s="22">
        <f>材料产出!C$22</f>
        <v>4.5999999999999996</v>
      </c>
      <c r="N66" s="97">
        <f t="shared" si="8"/>
        <v>3050</v>
      </c>
      <c r="O66" s="97"/>
      <c r="P66" s="97">
        <f t="shared" si="9"/>
        <v>152</v>
      </c>
      <c r="Q66" s="97">
        <f t="shared" si="10"/>
        <v>305</v>
      </c>
      <c r="R66" s="97">
        <f t="shared" si="11"/>
        <v>152</v>
      </c>
      <c r="S66" s="97">
        <f t="shared" si="12"/>
        <v>305</v>
      </c>
      <c r="T66" s="97">
        <f t="shared" si="13"/>
        <v>152</v>
      </c>
      <c r="U66" s="97">
        <f t="shared" si="14"/>
        <v>305</v>
      </c>
      <c r="V66" s="97">
        <f t="shared" si="15"/>
        <v>76</v>
      </c>
      <c r="W66" s="97">
        <f t="shared" si="16"/>
        <v>152</v>
      </c>
      <c r="X66" s="97">
        <f t="shared" si="17"/>
        <v>76</v>
      </c>
      <c r="Y66" s="97">
        <f t="shared" si="18"/>
        <v>152</v>
      </c>
      <c r="Z66" s="8">
        <f>N66*属性价值参考!C$5+官印!P66*属性价值参考!C$7+官印!Q66*属性价值参考!C$8+官印!V66*属性价值参考!C$9+官印!W66*属性价值参考!C$10+官印!X66*属性价值参考!C$11+官印!Y66*属性价值参考!C$12</f>
        <v>42315.6</v>
      </c>
      <c r="AA66" s="8">
        <f t="shared" ref="AA66:AA104" si="19">Z66/0.6*100</f>
        <v>7052600</v>
      </c>
      <c r="AB66" s="8">
        <f t="shared" ref="AB66:AB104" si="20">Z66/0.6</f>
        <v>70526</v>
      </c>
      <c r="AC66" s="8">
        <f>ROUND($AA$105/材料产出!$K$31*SUM(材料产出!$K$22:$K$24)/100,0)*100</f>
        <v>10353400</v>
      </c>
      <c r="AD66" s="8">
        <f>ROUND($AB$105/材料产出!$Q$31*SUM(材料产出!$P$22:$P$24)/10,0)*10</f>
        <v>103530</v>
      </c>
    </row>
    <row r="67" spans="1:30" ht="16.5" x14ac:dyDescent="0.3">
      <c r="A67" s="35" t="s">
        <v>29</v>
      </c>
      <c r="B67" s="35" t="s">
        <v>132</v>
      </c>
      <c r="C67" s="41" t="s">
        <v>134</v>
      </c>
      <c r="D67" s="35">
        <v>3</v>
      </c>
      <c r="E67" s="35"/>
      <c r="F67" s="35" t="s">
        <v>105</v>
      </c>
      <c r="G67" s="35"/>
      <c r="H67" s="61" t="str">
        <f t="shared" ref="H67:H104" si="21">"3#1#"&amp;N67&amp;"|"&amp;"3#3#"&amp;P67&amp;"|"&amp;"3#4#"&amp;Q67&amp;"|"&amp;"3#5#"&amp;R67&amp;"|"&amp;"3#6#"&amp;S67&amp;"|"&amp;"3#7#"&amp;T67&amp;"|"&amp;"3#6#"&amp;S67&amp;"|"&amp;"3#8#"&amp;U67&amp;"|"&amp;"3#9#"&amp;V67&amp;"|"&amp;"3#10#"&amp;W67&amp;"|"&amp;"3#11#"&amp;X67&amp;"|"&amp;"3#12#"&amp;Y67</f>
        <v>3#1#3100|3#3#155|3#4#310|3#5#155|3#6#310|3#7#155|3#6#310|3#8#310|3#9#77|3#10#155|3#11#77|3#12#155</v>
      </c>
      <c r="I67" s="43" t="str">
        <f t="shared" si="4"/>
        <v>元宝10353400/声望103530</v>
      </c>
      <c r="J67" s="35"/>
      <c r="K67" s="22">
        <v>62</v>
      </c>
      <c r="L67" s="22">
        <v>7</v>
      </c>
      <c r="M67" s="22">
        <f>材料产出!C$22</f>
        <v>4.5999999999999996</v>
      </c>
      <c r="N67" s="97">
        <f t="shared" si="8"/>
        <v>3100</v>
      </c>
      <c r="O67" s="97"/>
      <c r="P67" s="97">
        <f t="shared" si="9"/>
        <v>155</v>
      </c>
      <c r="Q67" s="97">
        <f t="shared" si="10"/>
        <v>310</v>
      </c>
      <c r="R67" s="97">
        <f t="shared" si="11"/>
        <v>155</v>
      </c>
      <c r="S67" s="97">
        <f t="shared" si="12"/>
        <v>310</v>
      </c>
      <c r="T67" s="97">
        <f t="shared" si="13"/>
        <v>155</v>
      </c>
      <c r="U67" s="97">
        <f t="shared" si="14"/>
        <v>310</v>
      </c>
      <c r="V67" s="97">
        <f t="shared" si="15"/>
        <v>77</v>
      </c>
      <c r="W67" s="97">
        <f t="shared" si="16"/>
        <v>155</v>
      </c>
      <c r="X67" s="97">
        <f t="shared" si="17"/>
        <v>77</v>
      </c>
      <c r="Y67" s="97">
        <f t="shared" si="18"/>
        <v>155</v>
      </c>
      <c r="Z67" s="8">
        <f>N67*属性价值参考!C$5+官印!P67*属性价值参考!C$7+官印!Q67*属性价值参考!C$8+官印!V67*属性价值参考!C$9+官印!W67*属性价值参考!C$10+官印!X67*属性价值参考!C$11+官印!Y67*属性价值参考!C$12</f>
        <v>43045.200000000004</v>
      </c>
      <c r="AA67" s="8">
        <f t="shared" si="19"/>
        <v>7174200.0000000019</v>
      </c>
      <c r="AB67" s="8">
        <f t="shared" si="20"/>
        <v>71742.000000000015</v>
      </c>
      <c r="AC67" s="8">
        <f>ROUND($AA$105/材料产出!$K$31*SUM(材料产出!$K$22:$K$24)/100,0)*100</f>
        <v>10353400</v>
      </c>
      <c r="AD67" s="8">
        <f>ROUND($AB$105/材料产出!$Q$31*SUM(材料产出!$P$22:$P$24)/10,0)*10</f>
        <v>103530</v>
      </c>
    </row>
    <row r="68" spans="1:30" ht="16.5" x14ac:dyDescent="0.3">
      <c r="A68" s="35" t="s">
        <v>29</v>
      </c>
      <c r="B68" s="35" t="s">
        <v>132</v>
      </c>
      <c r="C68" s="41" t="s">
        <v>134</v>
      </c>
      <c r="D68" s="35">
        <v>4</v>
      </c>
      <c r="E68" s="35"/>
      <c r="F68" s="35" t="s">
        <v>105</v>
      </c>
      <c r="G68" s="35"/>
      <c r="H68" s="61" t="str">
        <f t="shared" si="21"/>
        <v>3#1#3150|3#3#157|3#4#315|3#5#157|3#6#315|3#7#157|3#6#315|3#8#315|3#9#78|3#10#157|3#11#78|3#12#157</v>
      </c>
      <c r="I68" s="43" t="str">
        <f t="shared" ref="I68:I103" si="22">"元宝"&amp;AC68&amp;"/声望"&amp;AD68</f>
        <v>元宝10353400/声望103530</v>
      </c>
      <c r="J68" s="35"/>
      <c r="K68" s="22">
        <v>63</v>
      </c>
      <c r="L68" s="22">
        <v>7</v>
      </c>
      <c r="M68" s="22">
        <f>材料产出!C$22</f>
        <v>4.5999999999999996</v>
      </c>
      <c r="N68" s="97">
        <f t="shared" si="8"/>
        <v>3150</v>
      </c>
      <c r="O68" s="97"/>
      <c r="P68" s="97">
        <f t="shared" si="9"/>
        <v>157</v>
      </c>
      <c r="Q68" s="97">
        <f t="shared" si="10"/>
        <v>315</v>
      </c>
      <c r="R68" s="97">
        <f t="shared" si="11"/>
        <v>157</v>
      </c>
      <c r="S68" s="97">
        <f t="shared" si="12"/>
        <v>315</v>
      </c>
      <c r="T68" s="97">
        <f t="shared" si="13"/>
        <v>157</v>
      </c>
      <c r="U68" s="97">
        <f t="shared" si="14"/>
        <v>315</v>
      </c>
      <c r="V68" s="97">
        <f t="shared" si="15"/>
        <v>78</v>
      </c>
      <c r="W68" s="97">
        <f t="shared" si="16"/>
        <v>157</v>
      </c>
      <c r="X68" s="97">
        <f t="shared" si="17"/>
        <v>78</v>
      </c>
      <c r="Y68" s="97">
        <f t="shared" si="18"/>
        <v>157</v>
      </c>
      <c r="Z68" s="8">
        <f>N68*属性价值参考!C$5+官印!P68*属性价值参考!C$7+官印!Q68*属性价值参考!C$8+官印!V68*属性价值参考!C$9+官印!W68*属性价值参考!C$10+官印!X68*属性价值参考!C$11+官印!Y68*属性价值参考!C$12</f>
        <v>43690.799999999996</v>
      </c>
      <c r="AA68" s="8">
        <f t="shared" si="19"/>
        <v>7281800</v>
      </c>
      <c r="AB68" s="8">
        <f t="shared" si="20"/>
        <v>72818</v>
      </c>
      <c r="AC68" s="8">
        <f>ROUND($AA$105/材料产出!$K$31*SUM(材料产出!$K$22:$K$24)/100,0)*100</f>
        <v>10353400</v>
      </c>
      <c r="AD68" s="8">
        <f>ROUND($AB$105/材料产出!$Q$31*SUM(材料产出!$P$22:$P$24)/10,0)*10</f>
        <v>103530</v>
      </c>
    </row>
    <row r="69" spans="1:30" ht="16.5" x14ac:dyDescent="0.3">
      <c r="A69" s="35" t="s">
        <v>29</v>
      </c>
      <c r="B69" s="35" t="s">
        <v>132</v>
      </c>
      <c r="C69" s="41" t="s">
        <v>134</v>
      </c>
      <c r="D69" s="35">
        <v>5</v>
      </c>
      <c r="E69" s="35"/>
      <c r="F69" s="35" t="s">
        <v>105</v>
      </c>
      <c r="G69" s="35"/>
      <c r="H69" s="61" t="str">
        <f t="shared" si="21"/>
        <v>3#1#3200|3#3#160|3#4#320|3#5#160|3#6#320|3#7#160|3#6#320|3#8#320|3#9#80|3#10#160|3#11#80|3#12#160</v>
      </c>
      <c r="I69" s="43" t="str">
        <f t="shared" si="22"/>
        <v>元宝10353400/声望103530</v>
      </c>
      <c r="J69" s="35"/>
      <c r="K69" s="22">
        <v>64</v>
      </c>
      <c r="L69" s="22">
        <v>7</v>
      </c>
      <c r="M69" s="22">
        <f>材料产出!C$22</f>
        <v>4.5999999999999996</v>
      </c>
      <c r="N69" s="97">
        <f t="shared" si="8"/>
        <v>3200</v>
      </c>
      <c r="O69" s="97"/>
      <c r="P69" s="97">
        <f t="shared" si="9"/>
        <v>160</v>
      </c>
      <c r="Q69" s="97">
        <f t="shared" si="10"/>
        <v>320</v>
      </c>
      <c r="R69" s="97">
        <f t="shared" si="11"/>
        <v>160</v>
      </c>
      <c r="S69" s="97">
        <f t="shared" si="12"/>
        <v>320</v>
      </c>
      <c r="T69" s="97">
        <f t="shared" si="13"/>
        <v>160</v>
      </c>
      <c r="U69" s="97">
        <f t="shared" si="14"/>
        <v>320</v>
      </c>
      <c r="V69" s="97">
        <f t="shared" si="15"/>
        <v>80</v>
      </c>
      <c r="W69" s="97">
        <f t="shared" si="16"/>
        <v>160</v>
      </c>
      <c r="X69" s="97">
        <f t="shared" si="17"/>
        <v>80</v>
      </c>
      <c r="Y69" s="97">
        <f t="shared" si="18"/>
        <v>160</v>
      </c>
      <c r="Z69" s="8">
        <f>N69*属性价值参考!C$5+官印!P69*属性价值参考!C$7+官印!Q69*属性价值参考!C$8+官印!V69*属性价值参考!C$9+官印!W69*属性价值参考!C$10+官印!X69*属性价值参考!C$11+官印!Y69*属性价值参考!C$12</f>
        <v>44448</v>
      </c>
      <c r="AA69" s="8">
        <f t="shared" si="19"/>
        <v>7408000</v>
      </c>
      <c r="AB69" s="8">
        <f t="shared" si="20"/>
        <v>74080</v>
      </c>
      <c r="AC69" s="8">
        <f>ROUND($AA$105/材料产出!$K$31*SUM(材料产出!$K$22:$K$24)/100,0)*100</f>
        <v>10353400</v>
      </c>
      <c r="AD69" s="8">
        <f>ROUND($AB$105/材料产出!$Q$31*SUM(材料产出!$P$22:$P$24)/10,0)*10</f>
        <v>103530</v>
      </c>
    </row>
    <row r="70" spans="1:30" ht="16.5" x14ac:dyDescent="0.3">
      <c r="A70" s="35" t="s">
        <v>29</v>
      </c>
      <c r="B70" s="35" t="s">
        <v>132</v>
      </c>
      <c r="C70" s="41" t="s">
        <v>134</v>
      </c>
      <c r="D70" s="35">
        <v>6</v>
      </c>
      <c r="E70" s="35"/>
      <c r="F70" s="35" t="s">
        <v>105</v>
      </c>
      <c r="G70" s="35"/>
      <c r="H70" s="61" t="str">
        <f t="shared" si="21"/>
        <v>3#1#3250|3#3#162|3#4#325|3#5#162|3#6#325|3#7#162|3#6#325|3#8#325|3#9#81|3#10#162|3#11#81|3#12#162</v>
      </c>
      <c r="I70" s="43" t="str">
        <f t="shared" si="22"/>
        <v>元宝10353400/声望103530</v>
      </c>
      <c r="J70" s="35"/>
      <c r="K70" s="22">
        <v>65</v>
      </c>
      <c r="L70" s="22">
        <v>7</v>
      </c>
      <c r="M70" s="22">
        <f>材料产出!C$22</f>
        <v>4.5999999999999996</v>
      </c>
      <c r="N70" s="97">
        <f t="shared" si="8"/>
        <v>3250</v>
      </c>
      <c r="O70" s="97"/>
      <c r="P70" s="97">
        <f t="shared" si="9"/>
        <v>162</v>
      </c>
      <c r="Q70" s="97">
        <f t="shared" si="10"/>
        <v>325</v>
      </c>
      <c r="R70" s="97">
        <f t="shared" si="11"/>
        <v>162</v>
      </c>
      <c r="S70" s="97">
        <f t="shared" si="12"/>
        <v>325</v>
      </c>
      <c r="T70" s="97">
        <f t="shared" si="13"/>
        <v>162</v>
      </c>
      <c r="U70" s="97">
        <f t="shared" si="14"/>
        <v>325</v>
      </c>
      <c r="V70" s="97">
        <f t="shared" si="15"/>
        <v>81</v>
      </c>
      <c r="W70" s="97">
        <f t="shared" si="16"/>
        <v>162</v>
      </c>
      <c r="X70" s="97">
        <f t="shared" si="17"/>
        <v>81</v>
      </c>
      <c r="Y70" s="97">
        <f t="shared" si="18"/>
        <v>162</v>
      </c>
      <c r="Z70" s="8">
        <f>N70*属性价值参考!C$5+官印!P70*属性价值参考!C$7+官印!Q70*属性价值参考!C$8+官印!V70*属性价值参考!C$9+官印!W70*属性价值参考!C$10+官印!X70*属性价值参考!C$11+官印!Y70*属性价值参考!C$12</f>
        <v>45093.599999999999</v>
      </c>
      <c r="AA70" s="8">
        <f t="shared" si="19"/>
        <v>7515600</v>
      </c>
      <c r="AB70" s="8">
        <f t="shared" si="20"/>
        <v>75156</v>
      </c>
      <c r="AC70" s="8">
        <f>ROUND($AA$105/材料产出!$K$31*SUM(材料产出!$K$22:$K$24)/100,0)*100</f>
        <v>10353400</v>
      </c>
      <c r="AD70" s="8">
        <f>ROUND($AB$105/材料产出!$Q$31*SUM(材料产出!$P$22:$P$24)/10,0)*10</f>
        <v>103530</v>
      </c>
    </row>
    <row r="71" spans="1:30" ht="16.5" x14ac:dyDescent="0.3">
      <c r="A71" s="35" t="s">
        <v>29</v>
      </c>
      <c r="B71" s="35" t="s">
        <v>132</v>
      </c>
      <c r="C71" s="41" t="s">
        <v>134</v>
      </c>
      <c r="D71" s="35">
        <v>7</v>
      </c>
      <c r="E71" s="35"/>
      <c r="F71" s="35" t="s">
        <v>105</v>
      </c>
      <c r="G71" s="35"/>
      <c r="H71" s="61" t="str">
        <f t="shared" si="21"/>
        <v>3#1#3300|3#3#165|3#4#330|3#5#165|3#6#330|3#7#165|3#6#330|3#8#330|3#9#82|3#10#165|3#11#82|3#12#165</v>
      </c>
      <c r="I71" s="43" t="str">
        <f t="shared" si="22"/>
        <v>元宝10353400/声望103530</v>
      </c>
      <c r="J71" s="35"/>
      <c r="K71" s="22">
        <v>66</v>
      </c>
      <c r="L71" s="22">
        <v>7</v>
      </c>
      <c r="M71" s="22">
        <f>材料产出!C$22</f>
        <v>4.5999999999999996</v>
      </c>
      <c r="N71" s="97">
        <f t="shared" ref="N71:N101" si="23">INT(K71/100*N$105)</f>
        <v>3300</v>
      </c>
      <c r="O71" s="97"/>
      <c r="P71" s="97">
        <f t="shared" ref="P71:P101" si="24">INT(0.5*Q71)</f>
        <v>165</v>
      </c>
      <c r="Q71" s="97">
        <f t="shared" ref="Q71:Q101" si="25">INT(K71/100*Q$105)</f>
        <v>330</v>
      </c>
      <c r="R71" s="97">
        <f t="shared" ref="R71:R101" si="26">INT(0.5*S71)</f>
        <v>165</v>
      </c>
      <c r="S71" s="97">
        <f t="shared" ref="S71:S101" si="27">INT(K71/100*S$105)</f>
        <v>330</v>
      </c>
      <c r="T71" s="97">
        <f t="shared" ref="T71:T101" si="28">INT(0.5*U71)</f>
        <v>165</v>
      </c>
      <c r="U71" s="97">
        <f t="shared" ref="U71:U101" si="29">INT(K71/100*U$105)</f>
        <v>330</v>
      </c>
      <c r="V71" s="97">
        <f t="shared" ref="V71:V101" si="30">INT(0.5*W71)</f>
        <v>82</v>
      </c>
      <c r="W71" s="97">
        <f t="shared" ref="W71:W101" si="31">INT(K71/100*W$105)</f>
        <v>165</v>
      </c>
      <c r="X71" s="97">
        <f t="shared" ref="X71:X101" si="32">INT(0.5*Y71)</f>
        <v>82</v>
      </c>
      <c r="Y71" s="97">
        <f t="shared" ref="Y71:Y101" si="33">INT(K71/100*Y$105)</f>
        <v>165</v>
      </c>
      <c r="Z71" s="8">
        <f>N71*属性价值参考!C$5+官印!P71*属性价值参考!C$7+官印!Q71*属性价值参考!C$8+官印!V71*属性价值参考!C$9+官印!W71*属性价值参考!C$10+官印!X71*属性价值参考!C$11+官印!Y71*属性价值参考!C$12</f>
        <v>45823.200000000004</v>
      </c>
      <c r="AA71" s="8">
        <f t="shared" si="19"/>
        <v>7637200.0000000019</v>
      </c>
      <c r="AB71" s="8">
        <f t="shared" si="20"/>
        <v>76372.000000000015</v>
      </c>
      <c r="AC71" s="8">
        <f>ROUND($AA$105/材料产出!$K$31*SUM(材料产出!$K$22:$K$24)/100,0)*100</f>
        <v>10353400</v>
      </c>
      <c r="AD71" s="8">
        <f>ROUND($AB$105/材料产出!$Q$31*SUM(材料产出!$P$22:$P$24)/10,0)*10</f>
        <v>103530</v>
      </c>
    </row>
    <row r="72" spans="1:30" ht="16.5" x14ac:dyDescent="0.3">
      <c r="A72" s="35" t="s">
        <v>29</v>
      </c>
      <c r="B72" s="35" t="s">
        <v>132</v>
      </c>
      <c r="C72" s="41" t="s">
        <v>134</v>
      </c>
      <c r="D72" s="35">
        <v>8</v>
      </c>
      <c r="E72" s="35"/>
      <c r="F72" s="35" t="s">
        <v>105</v>
      </c>
      <c r="G72" s="35"/>
      <c r="H72" s="61" t="str">
        <f t="shared" si="21"/>
        <v>3#1#3350|3#3#167|3#4#335|3#5#167|3#6#335|3#7#167|3#6#335|3#8#335|3#9#83|3#10#167|3#11#83|3#12#167</v>
      </c>
      <c r="I72" s="43" t="str">
        <f t="shared" si="22"/>
        <v>元宝10353400/声望103530</v>
      </c>
      <c r="J72" s="35"/>
      <c r="K72" s="22">
        <v>67</v>
      </c>
      <c r="L72" s="22">
        <v>7</v>
      </c>
      <c r="M72" s="22">
        <f>材料产出!C$22</f>
        <v>4.5999999999999996</v>
      </c>
      <c r="N72" s="97">
        <f t="shared" si="23"/>
        <v>3350</v>
      </c>
      <c r="O72" s="97"/>
      <c r="P72" s="97">
        <f t="shared" si="24"/>
        <v>167</v>
      </c>
      <c r="Q72" s="97">
        <f t="shared" si="25"/>
        <v>335</v>
      </c>
      <c r="R72" s="97">
        <f t="shared" si="26"/>
        <v>167</v>
      </c>
      <c r="S72" s="97">
        <f t="shared" si="27"/>
        <v>335</v>
      </c>
      <c r="T72" s="97">
        <f t="shared" si="28"/>
        <v>167</v>
      </c>
      <c r="U72" s="97">
        <f t="shared" si="29"/>
        <v>335</v>
      </c>
      <c r="V72" s="97">
        <f t="shared" si="30"/>
        <v>83</v>
      </c>
      <c r="W72" s="97">
        <f t="shared" si="31"/>
        <v>167</v>
      </c>
      <c r="X72" s="97">
        <f t="shared" si="32"/>
        <v>83</v>
      </c>
      <c r="Y72" s="97">
        <f t="shared" si="33"/>
        <v>167</v>
      </c>
      <c r="Z72" s="8">
        <f>N72*属性价值参考!C$5+官印!P72*属性价值参考!C$7+官印!Q72*属性价值参考!C$8+官印!V72*属性价值参考!C$9+官印!W72*属性价值参考!C$10+官印!X72*属性价值参考!C$11+官印!Y72*属性价值参考!C$12</f>
        <v>46468.799999999996</v>
      </c>
      <c r="AA72" s="8">
        <f t="shared" si="19"/>
        <v>7744800</v>
      </c>
      <c r="AB72" s="8">
        <f t="shared" si="20"/>
        <v>77448</v>
      </c>
      <c r="AC72" s="8">
        <f>ROUND($AA$105/材料产出!$K$31*SUM(材料产出!$K$22:$K$24)/100,0)*100</f>
        <v>10353400</v>
      </c>
      <c r="AD72" s="8">
        <f>ROUND($AB$105/材料产出!$Q$31*SUM(材料产出!$P$22:$P$24)/10,0)*10</f>
        <v>103530</v>
      </c>
    </row>
    <row r="73" spans="1:30" ht="16.5" x14ac:dyDescent="0.3">
      <c r="A73" s="35" t="s">
        <v>29</v>
      </c>
      <c r="B73" s="35" t="s">
        <v>132</v>
      </c>
      <c r="C73" s="41" t="s">
        <v>134</v>
      </c>
      <c r="D73" s="35">
        <v>9</v>
      </c>
      <c r="E73" s="35"/>
      <c r="F73" s="35" t="s">
        <v>105</v>
      </c>
      <c r="G73" s="35"/>
      <c r="H73" s="61" t="str">
        <f t="shared" si="21"/>
        <v>3#1#3400|3#3#170|3#4#340|3#5#170|3#6#340|3#7#170|3#6#340|3#8#340|3#9#85|3#10#170|3#11#85|3#12#170</v>
      </c>
      <c r="I73" s="43" t="str">
        <f t="shared" si="22"/>
        <v>元宝10353400/声望103530</v>
      </c>
      <c r="J73" s="35"/>
      <c r="K73" s="22">
        <v>68</v>
      </c>
      <c r="L73" s="22">
        <v>7</v>
      </c>
      <c r="M73" s="22">
        <f>材料产出!C$22</f>
        <v>4.5999999999999996</v>
      </c>
      <c r="N73" s="97">
        <f t="shared" si="23"/>
        <v>3400</v>
      </c>
      <c r="O73" s="97"/>
      <c r="P73" s="97">
        <f t="shared" si="24"/>
        <v>170</v>
      </c>
      <c r="Q73" s="97">
        <f t="shared" si="25"/>
        <v>340</v>
      </c>
      <c r="R73" s="97">
        <f t="shared" si="26"/>
        <v>170</v>
      </c>
      <c r="S73" s="97">
        <f t="shared" si="27"/>
        <v>340</v>
      </c>
      <c r="T73" s="97">
        <f t="shared" si="28"/>
        <v>170</v>
      </c>
      <c r="U73" s="97">
        <f t="shared" si="29"/>
        <v>340</v>
      </c>
      <c r="V73" s="97">
        <f t="shared" si="30"/>
        <v>85</v>
      </c>
      <c r="W73" s="97">
        <f t="shared" si="31"/>
        <v>170</v>
      </c>
      <c r="X73" s="97">
        <f t="shared" si="32"/>
        <v>85</v>
      </c>
      <c r="Y73" s="97">
        <f t="shared" si="33"/>
        <v>170</v>
      </c>
      <c r="Z73" s="8">
        <f>N73*属性价值参考!C$5+官印!P73*属性价值参考!C$7+官印!Q73*属性价值参考!C$8+官印!V73*属性价值参考!C$9+官印!W73*属性价值参考!C$10+官印!X73*属性价值参考!C$11+官印!Y73*属性价值参考!C$12</f>
        <v>47226</v>
      </c>
      <c r="AA73" s="8">
        <f t="shared" si="19"/>
        <v>7871000</v>
      </c>
      <c r="AB73" s="8">
        <f t="shared" si="20"/>
        <v>78710</v>
      </c>
      <c r="AC73" s="8">
        <f>ROUND($AA$105/材料产出!$K$31*SUM(材料产出!$K$22:$K$24)/100,0)*100</f>
        <v>10353400</v>
      </c>
      <c r="AD73" s="8">
        <f>ROUND($AB$105/材料产出!$Q$31*SUM(材料产出!$P$22:$P$24)/10,0)*10</f>
        <v>103530</v>
      </c>
    </row>
    <row r="74" spans="1:30" ht="16.5" x14ac:dyDescent="0.3">
      <c r="A74" s="44" t="s">
        <v>29</v>
      </c>
      <c r="B74" s="44" t="s">
        <v>132</v>
      </c>
      <c r="C74" s="45" t="s">
        <v>135</v>
      </c>
      <c r="D74" s="44">
        <v>0</v>
      </c>
      <c r="E74" s="44"/>
      <c r="F74" s="44" t="s">
        <v>105</v>
      </c>
      <c r="G74" s="44"/>
      <c r="H74" s="60" t="str">
        <f t="shared" si="21"/>
        <v>3#1#3450|3#3#172|3#4#345|3#5#172|3#6#345|3#7#172|3#6#345|3#8#345|3#9#86|3#10#172|3#11#86|3#12#172</v>
      </c>
      <c r="I74" s="46"/>
      <c r="J74" s="44"/>
      <c r="K74" s="22">
        <v>69</v>
      </c>
      <c r="L74" s="22"/>
      <c r="M74" s="22"/>
      <c r="N74" s="97">
        <f t="shared" si="23"/>
        <v>3450</v>
      </c>
      <c r="O74" s="97"/>
      <c r="P74" s="97">
        <f t="shared" si="24"/>
        <v>172</v>
      </c>
      <c r="Q74" s="97">
        <f t="shared" si="25"/>
        <v>345</v>
      </c>
      <c r="R74" s="97">
        <f t="shared" si="26"/>
        <v>172</v>
      </c>
      <c r="S74" s="97">
        <f t="shared" si="27"/>
        <v>345</v>
      </c>
      <c r="T74" s="97">
        <f t="shared" si="28"/>
        <v>172</v>
      </c>
      <c r="U74" s="97">
        <f t="shared" si="29"/>
        <v>345</v>
      </c>
      <c r="V74" s="97">
        <f t="shared" si="30"/>
        <v>86</v>
      </c>
      <c r="W74" s="97">
        <f t="shared" si="31"/>
        <v>172</v>
      </c>
      <c r="X74" s="97">
        <f t="shared" si="32"/>
        <v>86</v>
      </c>
      <c r="Y74" s="97">
        <f t="shared" si="33"/>
        <v>172</v>
      </c>
      <c r="Z74" s="8">
        <f>N74*属性价值参考!C$5+官印!P74*属性价值参考!C$7+官印!Q74*属性价值参考!C$8+官印!V74*属性价值参考!C$9+官印!W74*属性价值参考!C$10+官印!X74*属性价值参考!C$11+官印!Y74*属性价值参考!C$12</f>
        <v>47871.6</v>
      </c>
      <c r="AA74" s="8">
        <f t="shared" si="19"/>
        <v>7978600</v>
      </c>
      <c r="AB74" s="8">
        <f t="shared" si="20"/>
        <v>79786</v>
      </c>
      <c r="AC74" s="8"/>
      <c r="AD74" s="8"/>
    </row>
    <row r="75" spans="1:30" ht="16.5" x14ac:dyDescent="0.3">
      <c r="A75" s="44" t="s">
        <v>29</v>
      </c>
      <c r="B75" s="44" t="s">
        <v>132</v>
      </c>
      <c r="C75" s="45" t="s">
        <v>136</v>
      </c>
      <c r="D75" s="44">
        <v>1</v>
      </c>
      <c r="E75" s="44"/>
      <c r="F75" s="44" t="s">
        <v>106</v>
      </c>
      <c r="G75" s="44"/>
      <c r="H75" s="60" t="str">
        <f t="shared" si="21"/>
        <v>3#1#3500|3#3#175|3#4#350|3#5#175|3#6#350|3#7#175|3#6#350|3#8#350|3#9#87|3#10#175|3#11#87|3#12#175</v>
      </c>
      <c r="I75" s="46" t="str">
        <f t="shared" si="22"/>
        <v>元宝12043700/声望120440</v>
      </c>
      <c r="J75" s="44"/>
      <c r="K75" s="22">
        <v>70</v>
      </c>
      <c r="L75" s="22">
        <v>8</v>
      </c>
      <c r="M75" s="22">
        <f>材料产出!C$25</f>
        <v>5.5</v>
      </c>
      <c r="N75" s="97">
        <f t="shared" si="23"/>
        <v>3500</v>
      </c>
      <c r="O75" s="97"/>
      <c r="P75" s="97">
        <f t="shared" si="24"/>
        <v>175</v>
      </c>
      <c r="Q75" s="97">
        <f t="shared" si="25"/>
        <v>350</v>
      </c>
      <c r="R75" s="97">
        <f t="shared" si="26"/>
        <v>175</v>
      </c>
      <c r="S75" s="97">
        <f t="shared" si="27"/>
        <v>350</v>
      </c>
      <c r="T75" s="97">
        <f t="shared" si="28"/>
        <v>175</v>
      </c>
      <c r="U75" s="97">
        <f t="shared" si="29"/>
        <v>350</v>
      </c>
      <c r="V75" s="97">
        <f t="shared" si="30"/>
        <v>87</v>
      </c>
      <c r="W75" s="97">
        <f t="shared" si="31"/>
        <v>175</v>
      </c>
      <c r="X75" s="97">
        <f t="shared" si="32"/>
        <v>87</v>
      </c>
      <c r="Y75" s="97">
        <f t="shared" si="33"/>
        <v>175</v>
      </c>
      <c r="Z75" s="8">
        <f>N75*属性价值参考!C$5+官印!P75*属性价值参考!C$7+官印!Q75*属性价值参考!C$8+官印!V75*属性价值参考!C$9+官印!W75*属性价值参考!C$10+官印!X75*属性价值参考!C$11+官印!Y75*属性价值参考!C$12</f>
        <v>48601.200000000004</v>
      </c>
      <c r="AA75" s="8">
        <f t="shared" si="19"/>
        <v>8100200.0000000019</v>
      </c>
      <c r="AB75" s="8">
        <f t="shared" si="20"/>
        <v>81002.000000000015</v>
      </c>
      <c r="AC75" s="8">
        <f>ROUND($AA$105/材料产出!$K$31*SUM(材料产出!$K$25:$K$26)/100,0)*100</f>
        <v>12043700</v>
      </c>
      <c r="AD75" s="8">
        <f>ROUND($AB$105/材料产出!$Q$31*SUM(材料产出!$P$25:$P$26)/10,0)*10</f>
        <v>120440</v>
      </c>
    </row>
    <row r="76" spans="1:30" ht="16.5" x14ac:dyDescent="0.3">
      <c r="A76" s="44" t="s">
        <v>29</v>
      </c>
      <c r="B76" s="44" t="s">
        <v>132</v>
      </c>
      <c r="C76" s="45" t="s">
        <v>136</v>
      </c>
      <c r="D76" s="44">
        <v>2</v>
      </c>
      <c r="E76" s="44"/>
      <c r="F76" s="44" t="s">
        <v>106</v>
      </c>
      <c r="G76" s="44"/>
      <c r="H76" s="60" t="str">
        <f t="shared" si="21"/>
        <v>3#1#3550|3#3#177|3#4#355|3#5#177|3#6#355|3#7#177|3#6#355|3#8#355|3#9#88|3#10#177|3#11#88|3#12#177</v>
      </c>
      <c r="I76" s="46" t="str">
        <f t="shared" si="22"/>
        <v>元宝12043700/声望120440</v>
      </c>
      <c r="J76" s="44"/>
      <c r="K76" s="22">
        <v>71</v>
      </c>
      <c r="L76" s="22">
        <v>8</v>
      </c>
      <c r="M76" s="22">
        <f>材料产出!C$25</f>
        <v>5.5</v>
      </c>
      <c r="N76" s="97">
        <f t="shared" si="23"/>
        <v>3550</v>
      </c>
      <c r="O76" s="97"/>
      <c r="P76" s="97">
        <f t="shared" si="24"/>
        <v>177</v>
      </c>
      <c r="Q76" s="97">
        <f t="shared" si="25"/>
        <v>355</v>
      </c>
      <c r="R76" s="97">
        <f t="shared" si="26"/>
        <v>177</v>
      </c>
      <c r="S76" s="97">
        <f t="shared" si="27"/>
        <v>355</v>
      </c>
      <c r="T76" s="97">
        <f t="shared" si="28"/>
        <v>177</v>
      </c>
      <c r="U76" s="97">
        <f t="shared" si="29"/>
        <v>355</v>
      </c>
      <c r="V76" s="97">
        <f t="shared" si="30"/>
        <v>88</v>
      </c>
      <c r="W76" s="97">
        <f t="shared" si="31"/>
        <v>177</v>
      </c>
      <c r="X76" s="97">
        <f t="shared" si="32"/>
        <v>88</v>
      </c>
      <c r="Y76" s="97">
        <f t="shared" si="33"/>
        <v>177</v>
      </c>
      <c r="Z76" s="8">
        <f>N76*属性价值参考!C$5+官印!P76*属性价值参考!C$7+官印!Q76*属性价值参考!C$8+官印!V76*属性价值参考!C$9+官印!W76*属性价值参考!C$10+官印!X76*属性价值参考!C$11+官印!Y76*属性价值参考!C$12</f>
        <v>49246.799999999996</v>
      </c>
      <c r="AA76" s="8">
        <f t="shared" si="19"/>
        <v>8207800</v>
      </c>
      <c r="AB76" s="8">
        <f t="shared" si="20"/>
        <v>82078</v>
      </c>
      <c r="AC76" s="8">
        <f>ROUND($AA$105/材料产出!$K$31*SUM(材料产出!$K$25:$K$26)/100,0)*100</f>
        <v>12043700</v>
      </c>
      <c r="AD76" s="8">
        <f>ROUND($AB$105/材料产出!$Q$31*SUM(材料产出!$P$25:$P$26)/10,0)*10</f>
        <v>120440</v>
      </c>
    </row>
    <row r="77" spans="1:30" ht="16.5" x14ac:dyDescent="0.3">
      <c r="A77" s="44" t="s">
        <v>29</v>
      </c>
      <c r="B77" s="44" t="s">
        <v>132</v>
      </c>
      <c r="C77" s="45" t="s">
        <v>136</v>
      </c>
      <c r="D77" s="44">
        <v>3</v>
      </c>
      <c r="E77" s="44"/>
      <c r="F77" s="44" t="s">
        <v>106</v>
      </c>
      <c r="G77" s="44"/>
      <c r="H77" s="60" t="str">
        <f t="shared" si="21"/>
        <v>3#1#3600|3#3#180|3#4#360|3#5#180|3#6#360|3#7#180|3#6#360|3#8#360|3#9#90|3#10#180|3#11#90|3#12#180</v>
      </c>
      <c r="I77" s="46" t="str">
        <f t="shared" si="22"/>
        <v>元宝12043700/声望120440</v>
      </c>
      <c r="J77" s="44"/>
      <c r="K77" s="22">
        <v>72</v>
      </c>
      <c r="L77" s="22">
        <v>8</v>
      </c>
      <c r="M77" s="22">
        <f>材料产出!C$25</f>
        <v>5.5</v>
      </c>
      <c r="N77" s="97">
        <f t="shared" si="23"/>
        <v>3600</v>
      </c>
      <c r="O77" s="97"/>
      <c r="P77" s="97">
        <f t="shared" si="24"/>
        <v>180</v>
      </c>
      <c r="Q77" s="97">
        <f t="shared" si="25"/>
        <v>360</v>
      </c>
      <c r="R77" s="97">
        <f t="shared" si="26"/>
        <v>180</v>
      </c>
      <c r="S77" s="97">
        <f t="shared" si="27"/>
        <v>360</v>
      </c>
      <c r="T77" s="97">
        <f t="shared" si="28"/>
        <v>180</v>
      </c>
      <c r="U77" s="97">
        <f t="shared" si="29"/>
        <v>360</v>
      </c>
      <c r="V77" s="97">
        <f t="shared" si="30"/>
        <v>90</v>
      </c>
      <c r="W77" s="97">
        <f t="shared" si="31"/>
        <v>180</v>
      </c>
      <c r="X77" s="97">
        <f t="shared" si="32"/>
        <v>90</v>
      </c>
      <c r="Y77" s="97">
        <f t="shared" si="33"/>
        <v>180</v>
      </c>
      <c r="Z77" s="8">
        <f>N77*属性价值参考!C$5+官印!P77*属性价值参考!C$7+官印!Q77*属性价值参考!C$8+官印!V77*属性价值参考!C$9+官印!W77*属性价值参考!C$10+官印!X77*属性价值参考!C$11+官印!Y77*属性价值参考!C$12</f>
        <v>50004</v>
      </c>
      <c r="AA77" s="8">
        <f t="shared" si="19"/>
        <v>8334000</v>
      </c>
      <c r="AB77" s="8">
        <f t="shared" si="20"/>
        <v>83340</v>
      </c>
      <c r="AC77" s="8">
        <f>ROUND($AA$105/材料产出!$K$31*SUM(材料产出!$K$25:$K$26)/100,0)*100</f>
        <v>12043700</v>
      </c>
      <c r="AD77" s="8">
        <f>ROUND($AB$105/材料产出!$Q$31*SUM(材料产出!$P$25:$P$26)/10,0)*10</f>
        <v>120440</v>
      </c>
    </row>
    <row r="78" spans="1:30" ht="16.5" x14ac:dyDescent="0.3">
      <c r="A78" s="44" t="s">
        <v>29</v>
      </c>
      <c r="B78" s="44" t="s">
        <v>132</v>
      </c>
      <c r="C78" s="45" t="s">
        <v>136</v>
      </c>
      <c r="D78" s="44">
        <v>4</v>
      </c>
      <c r="E78" s="44"/>
      <c r="F78" s="44" t="s">
        <v>106</v>
      </c>
      <c r="G78" s="44"/>
      <c r="H78" s="60" t="str">
        <f t="shared" si="21"/>
        <v>3#1#3650|3#3#182|3#4#365|3#5#182|3#6#365|3#7#182|3#6#365|3#8#365|3#9#91|3#10#182|3#11#91|3#12#182</v>
      </c>
      <c r="I78" s="46" t="str">
        <f t="shared" si="22"/>
        <v>元宝12043700/声望120440</v>
      </c>
      <c r="J78" s="44"/>
      <c r="K78" s="22">
        <v>73</v>
      </c>
      <c r="L78" s="22">
        <v>8</v>
      </c>
      <c r="M78" s="22">
        <f>材料产出!C$25</f>
        <v>5.5</v>
      </c>
      <c r="N78" s="97">
        <f t="shared" si="23"/>
        <v>3650</v>
      </c>
      <c r="O78" s="97"/>
      <c r="P78" s="97">
        <f t="shared" si="24"/>
        <v>182</v>
      </c>
      <c r="Q78" s="97">
        <f t="shared" si="25"/>
        <v>365</v>
      </c>
      <c r="R78" s="97">
        <f t="shared" si="26"/>
        <v>182</v>
      </c>
      <c r="S78" s="97">
        <f t="shared" si="27"/>
        <v>365</v>
      </c>
      <c r="T78" s="97">
        <f t="shared" si="28"/>
        <v>182</v>
      </c>
      <c r="U78" s="97">
        <f t="shared" si="29"/>
        <v>365</v>
      </c>
      <c r="V78" s="97">
        <f t="shared" si="30"/>
        <v>91</v>
      </c>
      <c r="W78" s="97">
        <f t="shared" si="31"/>
        <v>182</v>
      </c>
      <c r="X78" s="97">
        <f t="shared" si="32"/>
        <v>91</v>
      </c>
      <c r="Y78" s="97">
        <f t="shared" si="33"/>
        <v>182</v>
      </c>
      <c r="Z78" s="8">
        <f>N78*属性价值参考!C$5+官印!P78*属性价值参考!C$7+官印!Q78*属性价值参考!C$8+官印!V78*属性价值参考!C$9+官印!W78*属性价值参考!C$10+官印!X78*属性价值参考!C$11+官印!Y78*属性价值参考!C$12</f>
        <v>50649.599999999999</v>
      </c>
      <c r="AA78" s="8">
        <f t="shared" si="19"/>
        <v>8441600</v>
      </c>
      <c r="AB78" s="8">
        <f t="shared" si="20"/>
        <v>84416</v>
      </c>
      <c r="AC78" s="8">
        <f>ROUND($AA$105/材料产出!$K$31*SUM(材料产出!$K$25:$K$26)/100,0)*100</f>
        <v>12043700</v>
      </c>
      <c r="AD78" s="8">
        <f>ROUND($AB$105/材料产出!$Q$31*SUM(材料产出!$P$25:$P$26)/10,0)*10</f>
        <v>120440</v>
      </c>
    </row>
    <row r="79" spans="1:30" ht="16.5" x14ac:dyDescent="0.3">
      <c r="A79" s="44" t="s">
        <v>29</v>
      </c>
      <c r="B79" s="44" t="s">
        <v>132</v>
      </c>
      <c r="C79" s="45" t="s">
        <v>136</v>
      </c>
      <c r="D79" s="44">
        <v>5</v>
      </c>
      <c r="E79" s="44"/>
      <c r="F79" s="44" t="s">
        <v>106</v>
      </c>
      <c r="G79" s="44"/>
      <c r="H79" s="60" t="str">
        <f t="shared" si="21"/>
        <v>3#1#3700|3#3#185|3#4#370|3#5#185|3#6#370|3#7#185|3#6#370|3#8#370|3#9#92|3#10#185|3#11#92|3#12#185</v>
      </c>
      <c r="I79" s="46" t="str">
        <f t="shared" si="22"/>
        <v>元宝12043700/声望120440</v>
      </c>
      <c r="J79" s="44"/>
      <c r="K79" s="22">
        <v>74</v>
      </c>
      <c r="L79" s="22">
        <v>8</v>
      </c>
      <c r="M79" s="22">
        <f>材料产出!C$25</f>
        <v>5.5</v>
      </c>
      <c r="N79" s="97">
        <f t="shared" si="23"/>
        <v>3700</v>
      </c>
      <c r="O79" s="97"/>
      <c r="P79" s="97">
        <f t="shared" si="24"/>
        <v>185</v>
      </c>
      <c r="Q79" s="97">
        <f t="shared" si="25"/>
        <v>370</v>
      </c>
      <c r="R79" s="97">
        <f t="shared" si="26"/>
        <v>185</v>
      </c>
      <c r="S79" s="97">
        <f t="shared" si="27"/>
        <v>370</v>
      </c>
      <c r="T79" s="97">
        <f t="shared" si="28"/>
        <v>185</v>
      </c>
      <c r="U79" s="97">
        <f t="shared" si="29"/>
        <v>370</v>
      </c>
      <c r="V79" s="97">
        <f t="shared" si="30"/>
        <v>92</v>
      </c>
      <c r="W79" s="97">
        <f t="shared" si="31"/>
        <v>185</v>
      </c>
      <c r="X79" s="97">
        <f t="shared" si="32"/>
        <v>92</v>
      </c>
      <c r="Y79" s="97">
        <f t="shared" si="33"/>
        <v>185</v>
      </c>
      <c r="Z79" s="8">
        <f>N79*属性价值参考!C$5+官印!P79*属性价值参考!C$7+官印!Q79*属性价值参考!C$8+官印!V79*属性价值参考!C$9+官印!W79*属性价值参考!C$10+官印!X79*属性价值参考!C$11+官印!Y79*属性价值参考!C$12</f>
        <v>51379.200000000004</v>
      </c>
      <c r="AA79" s="8">
        <f t="shared" si="19"/>
        <v>8563200.0000000019</v>
      </c>
      <c r="AB79" s="8">
        <f t="shared" si="20"/>
        <v>85632.000000000015</v>
      </c>
      <c r="AC79" s="8">
        <f>ROUND($AA$105/材料产出!$K$31*SUM(材料产出!$K$25:$K$26)/100,0)*100</f>
        <v>12043700</v>
      </c>
      <c r="AD79" s="8">
        <f>ROUND($AB$105/材料产出!$Q$31*SUM(材料产出!$P$25:$P$26)/10,0)*10</f>
        <v>120440</v>
      </c>
    </row>
    <row r="80" spans="1:30" ht="16.5" x14ac:dyDescent="0.3">
      <c r="A80" s="44" t="s">
        <v>29</v>
      </c>
      <c r="B80" s="44" t="s">
        <v>132</v>
      </c>
      <c r="C80" s="45" t="s">
        <v>137</v>
      </c>
      <c r="D80" s="44">
        <v>6</v>
      </c>
      <c r="E80" s="44"/>
      <c r="F80" s="44" t="s">
        <v>106</v>
      </c>
      <c r="G80" s="44"/>
      <c r="H80" s="60" t="str">
        <f t="shared" si="21"/>
        <v>3#1#3750|3#3#187|3#4#375|3#5#187|3#6#375|3#7#187|3#6#375|3#8#375|3#9#93|3#10#187|3#11#93|3#12#187</v>
      </c>
      <c r="I80" s="46" t="str">
        <f t="shared" si="22"/>
        <v>元宝12043700/声望120440</v>
      </c>
      <c r="J80" s="44"/>
      <c r="K80" s="22">
        <v>75</v>
      </c>
      <c r="L80" s="22">
        <v>8</v>
      </c>
      <c r="M80" s="22">
        <f>材料产出!C$25</f>
        <v>5.5</v>
      </c>
      <c r="N80" s="97">
        <f t="shared" si="23"/>
        <v>3750</v>
      </c>
      <c r="O80" s="97"/>
      <c r="P80" s="97">
        <f t="shared" si="24"/>
        <v>187</v>
      </c>
      <c r="Q80" s="97">
        <f t="shared" si="25"/>
        <v>375</v>
      </c>
      <c r="R80" s="97">
        <f t="shared" si="26"/>
        <v>187</v>
      </c>
      <c r="S80" s="97">
        <f t="shared" si="27"/>
        <v>375</v>
      </c>
      <c r="T80" s="97">
        <f t="shared" si="28"/>
        <v>187</v>
      </c>
      <c r="U80" s="97">
        <f t="shared" si="29"/>
        <v>375</v>
      </c>
      <c r="V80" s="97">
        <f t="shared" si="30"/>
        <v>93</v>
      </c>
      <c r="W80" s="97">
        <f t="shared" si="31"/>
        <v>187</v>
      </c>
      <c r="X80" s="97">
        <f t="shared" si="32"/>
        <v>93</v>
      </c>
      <c r="Y80" s="97">
        <f t="shared" si="33"/>
        <v>187</v>
      </c>
      <c r="Z80" s="8">
        <f>N80*属性价值参考!C$5+官印!P80*属性价值参考!C$7+官印!Q80*属性价值参考!C$8+官印!V80*属性价值参考!C$9+官印!W80*属性价值参考!C$10+官印!X80*属性价值参考!C$11+官印!Y80*属性价值参考!C$12</f>
        <v>52024.799999999996</v>
      </c>
      <c r="AA80" s="8">
        <f t="shared" si="19"/>
        <v>8670800</v>
      </c>
      <c r="AB80" s="8">
        <f t="shared" si="20"/>
        <v>86708</v>
      </c>
      <c r="AC80" s="8">
        <f>ROUND($AA$105/材料产出!$K$31*SUM(材料产出!$K$25:$K$26)/100,0)*100</f>
        <v>12043700</v>
      </c>
      <c r="AD80" s="8">
        <f>ROUND($AB$105/材料产出!$Q$31*SUM(材料产出!$P$25:$P$26)/10,0)*10</f>
        <v>120440</v>
      </c>
    </row>
    <row r="81" spans="1:30" ht="16.5" x14ac:dyDescent="0.3">
      <c r="A81" s="44" t="s">
        <v>29</v>
      </c>
      <c r="B81" s="44" t="s">
        <v>132</v>
      </c>
      <c r="C81" s="45" t="s">
        <v>136</v>
      </c>
      <c r="D81" s="44">
        <v>7</v>
      </c>
      <c r="E81" s="44"/>
      <c r="F81" s="44" t="s">
        <v>106</v>
      </c>
      <c r="G81" s="44"/>
      <c r="H81" s="60" t="str">
        <f t="shared" si="21"/>
        <v>3#1#3800|3#3#190|3#4#380|3#5#190|3#6#380|3#7#190|3#6#380|3#8#380|3#9#95|3#10#190|3#11#95|3#12#190</v>
      </c>
      <c r="I81" s="46" t="str">
        <f t="shared" si="22"/>
        <v>元宝12043700/声望120440</v>
      </c>
      <c r="J81" s="44"/>
      <c r="K81" s="22">
        <v>76</v>
      </c>
      <c r="L81" s="22">
        <v>8</v>
      </c>
      <c r="M81" s="22">
        <f>材料产出!C$25</f>
        <v>5.5</v>
      </c>
      <c r="N81" s="97">
        <f t="shared" si="23"/>
        <v>3800</v>
      </c>
      <c r="O81" s="97"/>
      <c r="P81" s="97">
        <f t="shared" si="24"/>
        <v>190</v>
      </c>
      <c r="Q81" s="97">
        <f t="shared" si="25"/>
        <v>380</v>
      </c>
      <c r="R81" s="97">
        <f t="shared" si="26"/>
        <v>190</v>
      </c>
      <c r="S81" s="97">
        <f t="shared" si="27"/>
        <v>380</v>
      </c>
      <c r="T81" s="97">
        <f t="shared" si="28"/>
        <v>190</v>
      </c>
      <c r="U81" s="97">
        <f t="shared" si="29"/>
        <v>380</v>
      </c>
      <c r="V81" s="97">
        <f t="shared" si="30"/>
        <v>95</v>
      </c>
      <c r="W81" s="97">
        <f t="shared" si="31"/>
        <v>190</v>
      </c>
      <c r="X81" s="97">
        <f t="shared" si="32"/>
        <v>95</v>
      </c>
      <c r="Y81" s="97">
        <f t="shared" si="33"/>
        <v>190</v>
      </c>
      <c r="Z81" s="8">
        <f>N81*属性价值参考!C$5+官印!P81*属性价值参考!C$7+官印!Q81*属性价值参考!C$8+官印!V81*属性价值参考!C$9+官印!W81*属性价值参考!C$10+官印!X81*属性价值参考!C$11+官印!Y81*属性价值参考!C$12</f>
        <v>52782</v>
      </c>
      <c r="AA81" s="8">
        <f t="shared" si="19"/>
        <v>8797000</v>
      </c>
      <c r="AB81" s="8">
        <f t="shared" si="20"/>
        <v>87970</v>
      </c>
      <c r="AC81" s="8">
        <f>ROUND($AA$105/材料产出!$K$31*SUM(材料产出!$K$25:$K$26)/100,0)*100</f>
        <v>12043700</v>
      </c>
      <c r="AD81" s="8">
        <f>ROUND($AB$105/材料产出!$Q$31*SUM(材料产出!$P$25:$P$26)/10,0)*10</f>
        <v>120440</v>
      </c>
    </row>
    <row r="82" spans="1:30" ht="16.5" x14ac:dyDescent="0.3">
      <c r="A82" s="44" t="s">
        <v>29</v>
      </c>
      <c r="B82" s="44" t="s">
        <v>132</v>
      </c>
      <c r="C82" s="45" t="s">
        <v>136</v>
      </c>
      <c r="D82" s="44">
        <v>8</v>
      </c>
      <c r="E82" s="44"/>
      <c r="F82" s="44" t="s">
        <v>106</v>
      </c>
      <c r="G82" s="44"/>
      <c r="H82" s="60" t="str">
        <f t="shared" si="21"/>
        <v>3#1#3850|3#3#192|3#4#385|3#5#192|3#6#385|3#7#192|3#6#385|3#8#385|3#9#96|3#10#192|3#11#96|3#12#192</v>
      </c>
      <c r="I82" s="46" t="str">
        <f t="shared" si="22"/>
        <v>元宝12043700/声望120440</v>
      </c>
      <c r="J82" s="44"/>
      <c r="K82" s="22">
        <v>77</v>
      </c>
      <c r="L82" s="22">
        <v>8</v>
      </c>
      <c r="M82" s="22">
        <f>材料产出!C$25</f>
        <v>5.5</v>
      </c>
      <c r="N82" s="97">
        <f t="shared" si="23"/>
        <v>3850</v>
      </c>
      <c r="O82" s="97"/>
      <c r="P82" s="97">
        <f t="shared" si="24"/>
        <v>192</v>
      </c>
      <c r="Q82" s="97">
        <f t="shared" si="25"/>
        <v>385</v>
      </c>
      <c r="R82" s="97">
        <f t="shared" si="26"/>
        <v>192</v>
      </c>
      <c r="S82" s="97">
        <f t="shared" si="27"/>
        <v>385</v>
      </c>
      <c r="T82" s="97">
        <f t="shared" si="28"/>
        <v>192</v>
      </c>
      <c r="U82" s="97">
        <f t="shared" si="29"/>
        <v>385</v>
      </c>
      <c r="V82" s="97">
        <f t="shared" si="30"/>
        <v>96</v>
      </c>
      <c r="W82" s="97">
        <f t="shared" si="31"/>
        <v>192</v>
      </c>
      <c r="X82" s="97">
        <f t="shared" si="32"/>
        <v>96</v>
      </c>
      <c r="Y82" s="97">
        <f t="shared" si="33"/>
        <v>192</v>
      </c>
      <c r="Z82" s="8">
        <f>N82*属性价值参考!C$5+官印!P82*属性价值参考!C$7+官印!Q82*属性价值参考!C$8+官印!V82*属性价值参考!C$9+官印!W82*属性价值参考!C$10+官印!X82*属性价值参考!C$11+官印!Y82*属性价值参考!C$12</f>
        <v>53427.600000000006</v>
      </c>
      <c r="AA82" s="8">
        <f t="shared" si="19"/>
        <v>8904600.0000000019</v>
      </c>
      <c r="AB82" s="8">
        <f t="shared" si="20"/>
        <v>89046.000000000015</v>
      </c>
      <c r="AC82" s="8">
        <f>ROUND($AA$105/材料产出!$K$31*SUM(材料产出!$K$25:$K$26)/100,0)*100</f>
        <v>12043700</v>
      </c>
      <c r="AD82" s="8">
        <f>ROUND($AB$105/材料产出!$Q$31*SUM(材料产出!$P$25:$P$26)/10,0)*10</f>
        <v>120440</v>
      </c>
    </row>
    <row r="83" spans="1:30" ht="16.5" x14ac:dyDescent="0.3">
      <c r="A83" s="44" t="s">
        <v>29</v>
      </c>
      <c r="B83" s="44" t="s">
        <v>132</v>
      </c>
      <c r="C83" s="45" t="s">
        <v>136</v>
      </c>
      <c r="D83" s="44">
        <v>9</v>
      </c>
      <c r="E83" s="44"/>
      <c r="F83" s="44" t="s">
        <v>106</v>
      </c>
      <c r="G83" s="44"/>
      <c r="H83" s="60" t="str">
        <f t="shared" si="21"/>
        <v>3#1#3900|3#3#195|3#4#390|3#5#195|3#6#390|3#7#195|3#6#390|3#8#390|3#9#97|3#10#195|3#11#97|3#12#195</v>
      </c>
      <c r="I83" s="46" t="str">
        <f t="shared" si="22"/>
        <v>元宝12043700/声望120440</v>
      </c>
      <c r="J83" s="44"/>
      <c r="K83" s="22">
        <v>78</v>
      </c>
      <c r="L83" s="22">
        <v>8</v>
      </c>
      <c r="M83" s="22">
        <f>材料产出!C$25</f>
        <v>5.5</v>
      </c>
      <c r="N83" s="97">
        <f t="shared" si="23"/>
        <v>3900</v>
      </c>
      <c r="O83" s="97"/>
      <c r="P83" s="97">
        <f t="shared" si="24"/>
        <v>195</v>
      </c>
      <c r="Q83" s="97">
        <f t="shared" si="25"/>
        <v>390</v>
      </c>
      <c r="R83" s="97">
        <f t="shared" si="26"/>
        <v>195</v>
      </c>
      <c r="S83" s="97">
        <f t="shared" si="27"/>
        <v>390</v>
      </c>
      <c r="T83" s="97">
        <f t="shared" si="28"/>
        <v>195</v>
      </c>
      <c r="U83" s="97">
        <f t="shared" si="29"/>
        <v>390</v>
      </c>
      <c r="V83" s="97">
        <f t="shared" si="30"/>
        <v>97</v>
      </c>
      <c r="W83" s="97">
        <f t="shared" si="31"/>
        <v>195</v>
      </c>
      <c r="X83" s="97">
        <f t="shared" si="32"/>
        <v>97</v>
      </c>
      <c r="Y83" s="97">
        <f t="shared" si="33"/>
        <v>195</v>
      </c>
      <c r="Z83" s="8">
        <f>N83*属性价值参考!C$5+官印!P83*属性价值参考!C$7+官印!Q83*属性价值参考!C$8+官印!V83*属性价值参考!C$9+官印!W83*属性价值参考!C$10+官印!X83*属性价值参考!C$11+官印!Y83*属性价值参考!C$12</f>
        <v>54157.200000000004</v>
      </c>
      <c r="AA83" s="8">
        <f t="shared" si="19"/>
        <v>9026200.0000000019</v>
      </c>
      <c r="AB83" s="8">
        <f t="shared" si="20"/>
        <v>90262.000000000015</v>
      </c>
      <c r="AC83" s="8">
        <f>ROUND($AA$105/材料产出!$K$31*SUM(材料产出!$K$25:$K$26)/100,0)*100</f>
        <v>12043700</v>
      </c>
      <c r="AD83" s="8">
        <f>ROUND($AB$105/材料产出!$Q$31*SUM(材料产出!$P$25:$P$26)/10,0)*10</f>
        <v>120440</v>
      </c>
    </row>
    <row r="84" spans="1:30" ht="16.5" x14ac:dyDescent="0.3">
      <c r="A84" s="47" t="s">
        <v>29</v>
      </c>
      <c r="B84" s="47" t="s">
        <v>132</v>
      </c>
      <c r="C84" s="48" t="s">
        <v>138</v>
      </c>
      <c r="D84" s="47">
        <v>0</v>
      </c>
      <c r="E84" s="47"/>
      <c r="F84" s="47" t="s">
        <v>106</v>
      </c>
      <c r="G84" s="47"/>
      <c r="H84" s="59" t="str">
        <f t="shared" si="21"/>
        <v>3#1#3950|3#3#197|3#4#395|3#5#197|3#6#395|3#7#197|3#6#395|3#8#395|3#9#98|3#10#197|3#11#98|3#12#197</v>
      </c>
      <c r="I84" s="49"/>
      <c r="J84" s="47"/>
      <c r="K84" s="22">
        <v>79</v>
      </c>
      <c r="L84" s="22"/>
      <c r="M84" s="22"/>
      <c r="N84" s="97">
        <f t="shared" si="23"/>
        <v>3950</v>
      </c>
      <c r="O84" s="97"/>
      <c r="P84" s="97">
        <f t="shared" si="24"/>
        <v>197</v>
      </c>
      <c r="Q84" s="97">
        <f t="shared" si="25"/>
        <v>395</v>
      </c>
      <c r="R84" s="97">
        <f t="shared" si="26"/>
        <v>197</v>
      </c>
      <c r="S84" s="97">
        <f t="shared" si="27"/>
        <v>395</v>
      </c>
      <c r="T84" s="97">
        <f t="shared" si="28"/>
        <v>197</v>
      </c>
      <c r="U84" s="97">
        <f t="shared" si="29"/>
        <v>395</v>
      </c>
      <c r="V84" s="97">
        <f t="shared" si="30"/>
        <v>98</v>
      </c>
      <c r="W84" s="97">
        <f t="shared" si="31"/>
        <v>197</v>
      </c>
      <c r="X84" s="97">
        <f t="shared" si="32"/>
        <v>98</v>
      </c>
      <c r="Y84" s="97">
        <f t="shared" si="33"/>
        <v>197</v>
      </c>
      <c r="Z84" s="8">
        <f>N84*属性价值参考!C$5+官印!P84*属性价值参考!C$7+官印!Q84*属性价值参考!C$8+官印!V84*属性价值参考!C$9+官印!W84*属性价值参考!C$10+官印!X84*属性价值参考!C$11+官印!Y84*属性价值参考!C$12</f>
        <v>54802.8</v>
      </c>
      <c r="AA84" s="8">
        <f t="shared" si="19"/>
        <v>9133800.0000000019</v>
      </c>
      <c r="AB84" s="8">
        <f t="shared" si="20"/>
        <v>91338.000000000015</v>
      </c>
      <c r="AC84" s="8"/>
      <c r="AD84" s="8"/>
    </row>
    <row r="85" spans="1:30" ht="16.5" x14ac:dyDescent="0.3">
      <c r="A85" s="47" t="s">
        <v>29</v>
      </c>
      <c r="B85" s="47" t="s">
        <v>132</v>
      </c>
      <c r="C85" s="48" t="s">
        <v>139</v>
      </c>
      <c r="D85" s="47">
        <v>1</v>
      </c>
      <c r="E85" s="47"/>
      <c r="F85" s="47" t="s">
        <v>107</v>
      </c>
      <c r="G85" s="47"/>
      <c r="H85" s="59" t="str">
        <f t="shared" si="21"/>
        <v>3#1#4000|3#3#200|3#4#400|3#5#200|3#6#400|3#7#200|3#6#400|3#8#400|3#9#100|3#10#200|3#11#100|3#12#200</v>
      </c>
      <c r="I85" s="49" t="str">
        <f t="shared" si="22"/>
        <v>元宝17607800/声望176080</v>
      </c>
      <c r="J85" s="47"/>
      <c r="K85" s="22">
        <v>80</v>
      </c>
      <c r="L85" s="22">
        <v>9</v>
      </c>
      <c r="M85" s="22">
        <f>材料产出!C$28</f>
        <v>6.4</v>
      </c>
      <c r="N85" s="97">
        <f t="shared" si="23"/>
        <v>4000</v>
      </c>
      <c r="O85" s="97"/>
      <c r="P85" s="97">
        <f t="shared" si="24"/>
        <v>200</v>
      </c>
      <c r="Q85" s="97">
        <f t="shared" si="25"/>
        <v>400</v>
      </c>
      <c r="R85" s="97">
        <f t="shared" si="26"/>
        <v>200</v>
      </c>
      <c r="S85" s="97">
        <f t="shared" si="27"/>
        <v>400</v>
      </c>
      <c r="T85" s="97">
        <f t="shared" si="28"/>
        <v>200</v>
      </c>
      <c r="U85" s="97">
        <f t="shared" si="29"/>
        <v>400</v>
      </c>
      <c r="V85" s="97">
        <f t="shared" si="30"/>
        <v>100</v>
      </c>
      <c r="W85" s="97">
        <f t="shared" si="31"/>
        <v>200</v>
      </c>
      <c r="X85" s="97">
        <f t="shared" si="32"/>
        <v>100</v>
      </c>
      <c r="Y85" s="97">
        <f t="shared" si="33"/>
        <v>200</v>
      </c>
      <c r="Z85" s="8">
        <f>N85*属性价值参考!C$5+官印!P85*属性价值参考!C$7+官印!Q85*属性价值参考!C$8+官印!V85*属性价值参考!C$9+官印!W85*属性价值参考!C$10+官印!X85*属性价值参考!C$11+官印!Y85*属性价值参考!C$12</f>
        <v>55560</v>
      </c>
      <c r="AA85" s="8">
        <f t="shared" si="19"/>
        <v>9260000</v>
      </c>
      <c r="AB85" s="8">
        <f t="shared" si="20"/>
        <v>92600</v>
      </c>
      <c r="AC85" s="8">
        <f>ROUND($AA$105/材料产出!$K$31*SUM(材料产出!$K$27:$K$28)/100,0)*100</f>
        <v>17607800</v>
      </c>
      <c r="AD85" s="8">
        <f>ROUND($AB$105/材料产出!$Q$31*SUM(材料产出!$P$27:$P$28)/10,0)*10</f>
        <v>176080</v>
      </c>
    </row>
    <row r="86" spans="1:30" ht="16.5" x14ac:dyDescent="0.3">
      <c r="A86" s="47" t="s">
        <v>29</v>
      </c>
      <c r="B86" s="47" t="s">
        <v>132</v>
      </c>
      <c r="C86" s="48" t="s">
        <v>139</v>
      </c>
      <c r="D86" s="47">
        <v>2</v>
      </c>
      <c r="E86" s="47"/>
      <c r="F86" s="47" t="s">
        <v>107</v>
      </c>
      <c r="G86" s="47"/>
      <c r="H86" s="59" t="str">
        <f t="shared" si="21"/>
        <v>3#1#4050|3#3#202|3#4#405|3#5#202|3#6#405|3#7#202|3#6#405|3#8#405|3#9#101|3#10#202|3#11#101|3#12#202</v>
      </c>
      <c r="I86" s="49" t="str">
        <f t="shared" si="22"/>
        <v>元宝17607800/声望176080</v>
      </c>
      <c r="J86" s="47"/>
      <c r="K86" s="22">
        <v>81</v>
      </c>
      <c r="L86" s="22">
        <v>9</v>
      </c>
      <c r="M86" s="22">
        <f>材料产出!C$28</f>
        <v>6.4</v>
      </c>
      <c r="N86" s="97">
        <f t="shared" si="23"/>
        <v>4050</v>
      </c>
      <c r="O86" s="97"/>
      <c r="P86" s="97">
        <f t="shared" si="24"/>
        <v>202</v>
      </c>
      <c r="Q86" s="97">
        <f t="shared" si="25"/>
        <v>405</v>
      </c>
      <c r="R86" s="97">
        <f t="shared" si="26"/>
        <v>202</v>
      </c>
      <c r="S86" s="97">
        <f t="shared" si="27"/>
        <v>405</v>
      </c>
      <c r="T86" s="97">
        <f t="shared" si="28"/>
        <v>202</v>
      </c>
      <c r="U86" s="97">
        <f t="shared" si="29"/>
        <v>405</v>
      </c>
      <c r="V86" s="97">
        <f t="shared" si="30"/>
        <v>101</v>
      </c>
      <c r="W86" s="97">
        <f t="shared" si="31"/>
        <v>202</v>
      </c>
      <c r="X86" s="97">
        <f t="shared" si="32"/>
        <v>101</v>
      </c>
      <c r="Y86" s="97">
        <f t="shared" si="33"/>
        <v>202</v>
      </c>
      <c r="Z86" s="8">
        <f>N86*属性价值参考!C$5+官印!P86*属性价值参考!C$7+官印!Q86*属性价值参考!C$8+官印!V86*属性价值参考!C$9+官印!W86*属性价值参考!C$10+官印!X86*属性价值参考!C$11+官印!Y86*属性价值参考!C$12</f>
        <v>56205.600000000006</v>
      </c>
      <c r="AA86" s="8">
        <f t="shared" si="19"/>
        <v>9367600.0000000019</v>
      </c>
      <c r="AB86" s="8">
        <f t="shared" si="20"/>
        <v>93676.000000000015</v>
      </c>
      <c r="AC86" s="8">
        <f>ROUND($AA$105/材料产出!$K$31*SUM(材料产出!$K$27:$K$28)/100,0)*100</f>
        <v>17607800</v>
      </c>
      <c r="AD86" s="8">
        <f>ROUND($AB$105/材料产出!$Q$31*SUM(材料产出!$P$27:$P$28)/10,0)*10</f>
        <v>176080</v>
      </c>
    </row>
    <row r="87" spans="1:30" ht="16.5" x14ac:dyDescent="0.3">
      <c r="A87" s="47" t="s">
        <v>29</v>
      </c>
      <c r="B87" s="47" t="s">
        <v>132</v>
      </c>
      <c r="C87" s="48" t="s">
        <v>139</v>
      </c>
      <c r="D87" s="47">
        <v>3</v>
      </c>
      <c r="E87" s="47"/>
      <c r="F87" s="47" t="s">
        <v>107</v>
      </c>
      <c r="G87" s="47"/>
      <c r="H87" s="59" t="str">
        <f t="shared" si="21"/>
        <v>3#1#4100|3#3#205|3#4#410|3#5#205|3#6#410|3#7#205|3#6#410|3#8#410|3#9#102|3#10#205|3#11#102|3#12#205</v>
      </c>
      <c r="I87" s="49" t="str">
        <f t="shared" si="22"/>
        <v>元宝17607800/声望176080</v>
      </c>
      <c r="J87" s="47"/>
      <c r="K87" s="22">
        <v>82</v>
      </c>
      <c r="L87" s="22">
        <v>9</v>
      </c>
      <c r="M87" s="22">
        <f>材料产出!C$28</f>
        <v>6.4</v>
      </c>
      <c r="N87" s="97">
        <f t="shared" si="23"/>
        <v>4100</v>
      </c>
      <c r="O87" s="97"/>
      <c r="P87" s="97">
        <f t="shared" si="24"/>
        <v>205</v>
      </c>
      <c r="Q87" s="97">
        <f t="shared" si="25"/>
        <v>410</v>
      </c>
      <c r="R87" s="97">
        <f t="shared" si="26"/>
        <v>205</v>
      </c>
      <c r="S87" s="97">
        <f t="shared" si="27"/>
        <v>410</v>
      </c>
      <c r="T87" s="97">
        <f t="shared" si="28"/>
        <v>205</v>
      </c>
      <c r="U87" s="97">
        <f t="shared" si="29"/>
        <v>410</v>
      </c>
      <c r="V87" s="97">
        <f t="shared" si="30"/>
        <v>102</v>
      </c>
      <c r="W87" s="97">
        <f t="shared" si="31"/>
        <v>205</v>
      </c>
      <c r="X87" s="97">
        <f t="shared" si="32"/>
        <v>102</v>
      </c>
      <c r="Y87" s="97">
        <f t="shared" si="33"/>
        <v>205</v>
      </c>
      <c r="Z87" s="8">
        <f>N87*属性价值参考!C$5+官印!P87*属性价值参考!C$7+官印!Q87*属性价值参考!C$8+官印!V87*属性价值参考!C$9+官印!W87*属性价值参考!C$10+官印!X87*属性价值参考!C$11+官印!Y87*属性价值参考!C$12</f>
        <v>56935.200000000004</v>
      </c>
      <c r="AA87" s="8">
        <f t="shared" si="19"/>
        <v>9489200.0000000019</v>
      </c>
      <c r="AB87" s="8">
        <f t="shared" si="20"/>
        <v>94892.000000000015</v>
      </c>
      <c r="AC87" s="8">
        <f>ROUND($AA$105/材料产出!$K$31*SUM(材料产出!$K$27:$K$28)/100,0)*100</f>
        <v>17607800</v>
      </c>
      <c r="AD87" s="8">
        <f>ROUND($AB$105/材料产出!$Q$31*SUM(材料产出!$P$27:$P$28)/10,0)*10</f>
        <v>176080</v>
      </c>
    </row>
    <row r="88" spans="1:30" ht="16.5" x14ac:dyDescent="0.3">
      <c r="A88" s="47" t="s">
        <v>29</v>
      </c>
      <c r="B88" s="47" t="s">
        <v>132</v>
      </c>
      <c r="C88" s="48" t="s">
        <v>139</v>
      </c>
      <c r="D88" s="47">
        <v>4</v>
      </c>
      <c r="E88" s="47"/>
      <c r="F88" s="47" t="s">
        <v>107</v>
      </c>
      <c r="G88" s="47"/>
      <c r="H88" s="59" t="str">
        <f t="shared" si="21"/>
        <v>3#1#4150|3#3#207|3#4#415|3#5#207|3#6#415|3#7#207|3#6#415|3#8#415|3#9#103|3#10#207|3#11#103|3#12#207</v>
      </c>
      <c r="I88" s="49" t="str">
        <f t="shared" si="22"/>
        <v>元宝17607800/声望176080</v>
      </c>
      <c r="J88" s="47"/>
      <c r="K88" s="22">
        <v>83</v>
      </c>
      <c r="L88" s="22">
        <v>9</v>
      </c>
      <c r="M88" s="22">
        <f>材料产出!C$28</f>
        <v>6.4</v>
      </c>
      <c r="N88" s="97">
        <f t="shared" si="23"/>
        <v>4150</v>
      </c>
      <c r="O88" s="97"/>
      <c r="P88" s="97">
        <f t="shared" si="24"/>
        <v>207</v>
      </c>
      <c r="Q88" s="97">
        <f t="shared" si="25"/>
        <v>415</v>
      </c>
      <c r="R88" s="97">
        <f t="shared" si="26"/>
        <v>207</v>
      </c>
      <c r="S88" s="97">
        <f t="shared" si="27"/>
        <v>415</v>
      </c>
      <c r="T88" s="97">
        <f t="shared" si="28"/>
        <v>207</v>
      </c>
      <c r="U88" s="97">
        <f t="shared" si="29"/>
        <v>415</v>
      </c>
      <c r="V88" s="97">
        <f t="shared" si="30"/>
        <v>103</v>
      </c>
      <c r="W88" s="97">
        <f t="shared" si="31"/>
        <v>207</v>
      </c>
      <c r="X88" s="97">
        <f t="shared" si="32"/>
        <v>103</v>
      </c>
      <c r="Y88" s="97">
        <f t="shared" si="33"/>
        <v>207</v>
      </c>
      <c r="Z88" s="8">
        <f>N88*属性价值参考!C$5+官印!P88*属性价值参考!C$7+官印!Q88*属性价值参考!C$8+官印!V88*属性价值参考!C$9+官印!W88*属性价值参考!C$10+官印!X88*属性价值参考!C$11+官印!Y88*属性价值参考!C$12</f>
        <v>57580.800000000003</v>
      </c>
      <c r="AA88" s="8">
        <f t="shared" si="19"/>
        <v>9596800.0000000019</v>
      </c>
      <c r="AB88" s="8">
        <f t="shared" si="20"/>
        <v>95968.000000000015</v>
      </c>
      <c r="AC88" s="8">
        <f>ROUND($AA$105/材料产出!$K$31*SUM(材料产出!$K$27:$K$28)/100,0)*100</f>
        <v>17607800</v>
      </c>
      <c r="AD88" s="8">
        <f>ROUND($AB$105/材料产出!$Q$31*SUM(材料产出!$P$27:$P$28)/10,0)*10</f>
        <v>176080</v>
      </c>
    </row>
    <row r="89" spans="1:30" ht="16.5" x14ac:dyDescent="0.3">
      <c r="A89" s="47" t="s">
        <v>29</v>
      </c>
      <c r="B89" s="47" t="s">
        <v>132</v>
      </c>
      <c r="C89" s="48" t="s">
        <v>139</v>
      </c>
      <c r="D89" s="47">
        <v>5</v>
      </c>
      <c r="E89" s="47"/>
      <c r="F89" s="47" t="s">
        <v>107</v>
      </c>
      <c r="G89" s="47"/>
      <c r="H89" s="59" t="str">
        <f t="shared" si="21"/>
        <v>3#1#4200|3#3#210|3#4#420|3#5#210|3#6#420|3#7#210|3#6#420|3#8#420|3#9#105|3#10#210|3#11#105|3#12#210</v>
      </c>
      <c r="I89" s="49" t="str">
        <f t="shared" si="22"/>
        <v>元宝17607800/声望176080</v>
      </c>
      <c r="J89" s="47"/>
      <c r="K89" s="22">
        <v>84</v>
      </c>
      <c r="L89" s="22">
        <v>9</v>
      </c>
      <c r="M89" s="22">
        <f>材料产出!C$28</f>
        <v>6.4</v>
      </c>
      <c r="N89" s="97">
        <f t="shared" si="23"/>
        <v>4200</v>
      </c>
      <c r="O89" s="97"/>
      <c r="P89" s="97">
        <f t="shared" si="24"/>
        <v>210</v>
      </c>
      <c r="Q89" s="97">
        <f t="shared" si="25"/>
        <v>420</v>
      </c>
      <c r="R89" s="97">
        <f t="shared" si="26"/>
        <v>210</v>
      </c>
      <c r="S89" s="97">
        <f t="shared" si="27"/>
        <v>420</v>
      </c>
      <c r="T89" s="97">
        <f t="shared" si="28"/>
        <v>210</v>
      </c>
      <c r="U89" s="97">
        <f t="shared" si="29"/>
        <v>420</v>
      </c>
      <c r="V89" s="97">
        <f t="shared" si="30"/>
        <v>105</v>
      </c>
      <c r="W89" s="97">
        <f t="shared" si="31"/>
        <v>210</v>
      </c>
      <c r="X89" s="97">
        <f t="shared" si="32"/>
        <v>105</v>
      </c>
      <c r="Y89" s="97">
        <f t="shared" si="33"/>
        <v>210</v>
      </c>
      <c r="Z89" s="8">
        <f>N89*属性价值参考!C$5+官印!P89*属性价值参考!C$7+官印!Q89*属性价值参考!C$8+官印!V89*属性价值参考!C$9+官印!W89*属性价值参考!C$10+官印!X89*属性价值参考!C$11+官印!Y89*属性价值参考!C$12</f>
        <v>58338</v>
      </c>
      <c r="AA89" s="8">
        <f t="shared" si="19"/>
        <v>9723000</v>
      </c>
      <c r="AB89" s="8">
        <f t="shared" si="20"/>
        <v>97230</v>
      </c>
      <c r="AC89" s="8">
        <f>ROUND($AA$105/材料产出!$K$31*SUM(材料产出!$K$27:$K$28)/100,0)*100</f>
        <v>17607800</v>
      </c>
      <c r="AD89" s="8">
        <f>ROUND($AB$105/材料产出!$Q$31*SUM(材料产出!$P$27:$P$28)/10,0)*10</f>
        <v>176080</v>
      </c>
    </row>
    <row r="90" spans="1:30" ht="16.5" x14ac:dyDescent="0.3">
      <c r="A90" s="47" t="s">
        <v>29</v>
      </c>
      <c r="B90" s="47" t="s">
        <v>132</v>
      </c>
      <c r="C90" s="48" t="s">
        <v>139</v>
      </c>
      <c r="D90" s="47">
        <v>6</v>
      </c>
      <c r="E90" s="47"/>
      <c r="F90" s="47" t="s">
        <v>107</v>
      </c>
      <c r="G90" s="47"/>
      <c r="H90" s="59" t="str">
        <f t="shared" si="21"/>
        <v>3#1#4250|3#3#212|3#4#425|3#5#212|3#6#425|3#7#212|3#6#425|3#8#425|3#9#106|3#10#212|3#11#106|3#12#212</v>
      </c>
      <c r="I90" s="49" t="str">
        <f t="shared" si="22"/>
        <v>元宝17607800/声望176080</v>
      </c>
      <c r="J90" s="47"/>
      <c r="K90" s="22">
        <v>85</v>
      </c>
      <c r="L90" s="22">
        <v>9</v>
      </c>
      <c r="M90" s="22">
        <f>材料产出!C$28</f>
        <v>6.4</v>
      </c>
      <c r="N90" s="97">
        <f t="shared" si="23"/>
        <v>4250</v>
      </c>
      <c r="O90" s="97"/>
      <c r="P90" s="97">
        <f t="shared" si="24"/>
        <v>212</v>
      </c>
      <c r="Q90" s="97">
        <f t="shared" si="25"/>
        <v>425</v>
      </c>
      <c r="R90" s="97">
        <f t="shared" si="26"/>
        <v>212</v>
      </c>
      <c r="S90" s="97">
        <f t="shared" si="27"/>
        <v>425</v>
      </c>
      <c r="T90" s="97">
        <f t="shared" si="28"/>
        <v>212</v>
      </c>
      <c r="U90" s="97">
        <f t="shared" si="29"/>
        <v>425</v>
      </c>
      <c r="V90" s="97">
        <f t="shared" si="30"/>
        <v>106</v>
      </c>
      <c r="W90" s="97">
        <f t="shared" si="31"/>
        <v>212</v>
      </c>
      <c r="X90" s="97">
        <f t="shared" si="32"/>
        <v>106</v>
      </c>
      <c r="Y90" s="97">
        <f t="shared" si="33"/>
        <v>212</v>
      </c>
      <c r="Z90" s="8">
        <f>N90*属性价值参考!C$5+官印!P90*属性价值参考!C$7+官印!Q90*属性价值参考!C$8+官印!V90*属性价值参考!C$9+官印!W90*属性价值参考!C$10+官印!X90*属性价值参考!C$11+官印!Y90*属性价值参考!C$12</f>
        <v>58983.600000000006</v>
      </c>
      <c r="AA90" s="8">
        <f t="shared" si="19"/>
        <v>9830600.0000000019</v>
      </c>
      <c r="AB90" s="8">
        <f t="shared" si="20"/>
        <v>98306.000000000015</v>
      </c>
      <c r="AC90" s="8">
        <f>ROUND($AA$105/材料产出!$K$31*SUM(材料产出!$K$27:$K$28)/100,0)*100</f>
        <v>17607800</v>
      </c>
      <c r="AD90" s="8">
        <f>ROUND($AB$105/材料产出!$Q$31*SUM(材料产出!$P$27:$P$28)/10,0)*10</f>
        <v>176080</v>
      </c>
    </row>
    <row r="91" spans="1:30" ht="16.5" x14ac:dyDescent="0.3">
      <c r="A91" s="47" t="s">
        <v>29</v>
      </c>
      <c r="B91" s="47" t="s">
        <v>132</v>
      </c>
      <c r="C91" s="48" t="s">
        <v>139</v>
      </c>
      <c r="D91" s="47">
        <v>7</v>
      </c>
      <c r="E91" s="47"/>
      <c r="F91" s="47" t="s">
        <v>107</v>
      </c>
      <c r="G91" s="47"/>
      <c r="H91" s="59" t="str">
        <f t="shared" si="21"/>
        <v>3#1#4300|3#3#215|3#4#430|3#5#215|3#6#430|3#7#215|3#6#430|3#8#430|3#9#107|3#10#215|3#11#107|3#12#215</v>
      </c>
      <c r="I91" s="49" t="str">
        <f t="shared" si="22"/>
        <v>元宝17607800/声望176080</v>
      </c>
      <c r="J91" s="47"/>
      <c r="K91" s="22">
        <v>86</v>
      </c>
      <c r="L91" s="22">
        <v>9</v>
      </c>
      <c r="M91" s="22">
        <f>材料产出!C$28</f>
        <v>6.4</v>
      </c>
      <c r="N91" s="97">
        <f t="shared" si="23"/>
        <v>4300</v>
      </c>
      <c r="O91" s="97"/>
      <c r="P91" s="97">
        <f t="shared" si="24"/>
        <v>215</v>
      </c>
      <c r="Q91" s="97">
        <f t="shared" si="25"/>
        <v>430</v>
      </c>
      <c r="R91" s="97">
        <f t="shared" si="26"/>
        <v>215</v>
      </c>
      <c r="S91" s="97">
        <f t="shared" si="27"/>
        <v>430</v>
      </c>
      <c r="T91" s="97">
        <f t="shared" si="28"/>
        <v>215</v>
      </c>
      <c r="U91" s="97">
        <f t="shared" si="29"/>
        <v>430</v>
      </c>
      <c r="V91" s="97">
        <f t="shared" si="30"/>
        <v>107</v>
      </c>
      <c r="W91" s="97">
        <f t="shared" si="31"/>
        <v>215</v>
      </c>
      <c r="X91" s="97">
        <f t="shared" si="32"/>
        <v>107</v>
      </c>
      <c r="Y91" s="97">
        <f t="shared" si="33"/>
        <v>215</v>
      </c>
      <c r="Z91" s="8">
        <f>N91*属性价值参考!C$5+官印!P91*属性价值参考!C$7+官印!Q91*属性价值参考!C$8+官印!V91*属性价值参考!C$9+官印!W91*属性价值参考!C$10+官印!X91*属性价值参考!C$11+官印!Y91*属性价值参考!C$12</f>
        <v>59713.200000000004</v>
      </c>
      <c r="AA91" s="8">
        <f t="shared" si="19"/>
        <v>9952200.0000000019</v>
      </c>
      <c r="AB91" s="8">
        <f t="shared" si="20"/>
        <v>99522.000000000015</v>
      </c>
      <c r="AC91" s="8">
        <f>ROUND($AA$105/材料产出!$K$31*SUM(材料产出!$K$27:$K$28)/100,0)*100</f>
        <v>17607800</v>
      </c>
      <c r="AD91" s="8">
        <f>ROUND($AB$105/材料产出!$Q$31*SUM(材料产出!$P$27:$P$28)/10,0)*10</f>
        <v>176080</v>
      </c>
    </row>
    <row r="92" spans="1:30" ht="16.5" x14ac:dyDescent="0.3">
      <c r="A92" s="47" t="s">
        <v>29</v>
      </c>
      <c r="B92" s="47" t="s">
        <v>132</v>
      </c>
      <c r="C92" s="48" t="s">
        <v>139</v>
      </c>
      <c r="D92" s="47">
        <v>8</v>
      </c>
      <c r="E92" s="47"/>
      <c r="F92" s="47" t="s">
        <v>107</v>
      </c>
      <c r="G92" s="47"/>
      <c r="H92" s="59" t="str">
        <f t="shared" si="21"/>
        <v>3#1#4350|3#3#217|3#4#435|3#5#217|3#6#435|3#7#217|3#6#435|3#8#435|3#9#108|3#10#217|3#11#108|3#12#217</v>
      </c>
      <c r="I92" s="49" t="str">
        <f t="shared" si="22"/>
        <v>元宝17607800/声望176080</v>
      </c>
      <c r="J92" s="47"/>
      <c r="K92" s="22">
        <v>87</v>
      </c>
      <c r="L92" s="22">
        <v>9</v>
      </c>
      <c r="M92" s="22">
        <f>材料产出!C$28</f>
        <v>6.4</v>
      </c>
      <c r="N92" s="97">
        <f t="shared" si="23"/>
        <v>4350</v>
      </c>
      <c r="O92" s="97"/>
      <c r="P92" s="97">
        <f t="shared" si="24"/>
        <v>217</v>
      </c>
      <c r="Q92" s="97">
        <f t="shared" si="25"/>
        <v>435</v>
      </c>
      <c r="R92" s="97">
        <f t="shared" si="26"/>
        <v>217</v>
      </c>
      <c r="S92" s="97">
        <f t="shared" si="27"/>
        <v>435</v>
      </c>
      <c r="T92" s="97">
        <f t="shared" si="28"/>
        <v>217</v>
      </c>
      <c r="U92" s="97">
        <f t="shared" si="29"/>
        <v>435</v>
      </c>
      <c r="V92" s="97">
        <f t="shared" si="30"/>
        <v>108</v>
      </c>
      <c r="W92" s="97">
        <f t="shared" si="31"/>
        <v>217</v>
      </c>
      <c r="X92" s="97">
        <f t="shared" si="32"/>
        <v>108</v>
      </c>
      <c r="Y92" s="97">
        <f t="shared" si="33"/>
        <v>217</v>
      </c>
      <c r="Z92" s="8">
        <f>N92*属性价值参考!C$5+官印!P92*属性价值参考!C$7+官印!Q92*属性价值参考!C$8+官印!V92*属性价值参考!C$9+官印!W92*属性价值参考!C$10+官印!X92*属性价值参考!C$11+官印!Y92*属性价值参考!C$12</f>
        <v>60358.8</v>
      </c>
      <c r="AA92" s="8">
        <f t="shared" si="19"/>
        <v>10059800.000000002</v>
      </c>
      <c r="AB92" s="8">
        <f t="shared" si="20"/>
        <v>100598.00000000001</v>
      </c>
      <c r="AC92" s="8">
        <f>ROUND($AA$105/材料产出!$K$31*SUM(材料产出!$K$27:$K$28)/100,0)*100</f>
        <v>17607800</v>
      </c>
      <c r="AD92" s="8">
        <f>ROUND($AB$105/材料产出!$Q$31*SUM(材料产出!$P$27:$P$28)/10,0)*10</f>
        <v>176080</v>
      </c>
    </row>
    <row r="93" spans="1:30" ht="16.5" x14ac:dyDescent="0.3">
      <c r="A93" s="47" t="s">
        <v>29</v>
      </c>
      <c r="B93" s="47" t="s">
        <v>132</v>
      </c>
      <c r="C93" s="48" t="s">
        <v>139</v>
      </c>
      <c r="D93" s="47">
        <v>9</v>
      </c>
      <c r="E93" s="47"/>
      <c r="F93" s="47" t="s">
        <v>107</v>
      </c>
      <c r="G93" s="47"/>
      <c r="H93" s="59" t="str">
        <f t="shared" si="21"/>
        <v>3#1#4400|3#3#220|3#4#440|3#5#220|3#6#440|3#7#220|3#6#440|3#8#440|3#9#110|3#10#220|3#11#110|3#12#220</v>
      </c>
      <c r="I93" s="49" t="str">
        <f t="shared" si="22"/>
        <v>元宝17607800/声望176080</v>
      </c>
      <c r="J93" s="47"/>
      <c r="K93" s="22">
        <v>88</v>
      </c>
      <c r="L93" s="22">
        <v>9</v>
      </c>
      <c r="M93" s="22">
        <f>材料产出!C$28</f>
        <v>6.4</v>
      </c>
      <c r="N93" s="97">
        <f t="shared" si="23"/>
        <v>4400</v>
      </c>
      <c r="O93" s="97"/>
      <c r="P93" s="97">
        <f t="shared" si="24"/>
        <v>220</v>
      </c>
      <c r="Q93" s="97">
        <f t="shared" si="25"/>
        <v>440</v>
      </c>
      <c r="R93" s="97">
        <f t="shared" si="26"/>
        <v>220</v>
      </c>
      <c r="S93" s="97">
        <f t="shared" si="27"/>
        <v>440</v>
      </c>
      <c r="T93" s="97">
        <f t="shared" si="28"/>
        <v>220</v>
      </c>
      <c r="U93" s="97">
        <f t="shared" si="29"/>
        <v>440</v>
      </c>
      <c r="V93" s="97">
        <f t="shared" si="30"/>
        <v>110</v>
      </c>
      <c r="W93" s="97">
        <f t="shared" si="31"/>
        <v>220</v>
      </c>
      <c r="X93" s="97">
        <f t="shared" si="32"/>
        <v>110</v>
      </c>
      <c r="Y93" s="97">
        <f t="shared" si="33"/>
        <v>220</v>
      </c>
      <c r="Z93" s="8">
        <f>N93*属性价值参考!C$5+官印!P93*属性价值参考!C$7+官印!Q93*属性价值参考!C$8+官印!V93*属性价值参考!C$9+官印!W93*属性价值参考!C$10+官印!X93*属性价值参考!C$11+官印!Y93*属性价值参考!C$12</f>
        <v>61116</v>
      </c>
      <c r="AA93" s="8">
        <f t="shared" si="19"/>
        <v>10186000</v>
      </c>
      <c r="AB93" s="8">
        <f t="shared" si="20"/>
        <v>101860</v>
      </c>
      <c r="AC93" s="8">
        <f>ROUND($AA$105/材料产出!$K$31*SUM(材料产出!$K$27:$K$28)/100,0)*100</f>
        <v>17607800</v>
      </c>
      <c r="AD93" s="8">
        <f>ROUND($AB$105/材料产出!$Q$31*SUM(材料产出!$P$27:$P$28)/10,0)*10</f>
        <v>176080</v>
      </c>
    </row>
    <row r="94" spans="1:30" ht="16.5" x14ac:dyDescent="0.3">
      <c r="A94" s="50" t="s">
        <v>29</v>
      </c>
      <c r="B94" s="50" t="s">
        <v>132</v>
      </c>
      <c r="C94" s="51" t="s">
        <v>140</v>
      </c>
      <c r="D94" s="50">
        <v>0</v>
      </c>
      <c r="E94" s="50"/>
      <c r="F94" s="50" t="s">
        <v>107</v>
      </c>
      <c r="G94" s="50"/>
      <c r="H94" s="58" t="str">
        <f t="shared" si="21"/>
        <v>3#1#4450|3#3#222|3#4#445|3#5#222|3#6#445|3#7#222|3#6#445|3#8#445|3#9#111|3#10#222|3#11#111|3#12#222</v>
      </c>
      <c r="I94" s="52"/>
      <c r="J94" s="50"/>
      <c r="K94" s="22">
        <v>89</v>
      </c>
      <c r="L94" s="22"/>
      <c r="M94" s="22"/>
      <c r="N94" s="97">
        <f t="shared" si="23"/>
        <v>4450</v>
      </c>
      <c r="O94" s="97"/>
      <c r="P94" s="97">
        <f t="shared" si="24"/>
        <v>222</v>
      </c>
      <c r="Q94" s="97">
        <f t="shared" si="25"/>
        <v>445</v>
      </c>
      <c r="R94" s="97">
        <f t="shared" si="26"/>
        <v>222</v>
      </c>
      <c r="S94" s="97">
        <f t="shared" si="27"/>
        <v>445</v>
      </c>
      <c r="T94" s="97">
        <f t="shared" si="28"/>
        <v>222</v>
      </c>
      <c r="U94" s="97">
        <f t="shared" si="29"/>
        <v>445</v>
      </c>
      <c r="V94" s="97">
        <f t="shared" si="30"/>
        <v>111</v>
      </c>
      <c r="W94" s="97">
        <f t="shared" si="31"/>
        <v>222</v>
      </c>
      <c r="X94" s="97">
        <f t="shared" si="32"/>
        <v>111</v>
      </c>
      <c r="Y94" s="97">
        <f t="shared" si="33"/>
        <v>222</v>
      </c>
      <c r="Z94" s="8">
        <f>N94*属性价值参考!C$5+官印!P94*属性价值参考!C$7+官印!Q94*属性价值参考!C$8+官印!V94*属性价值参考!C$9+官印!W94*属性价值参考!C$10+官印!X94*属性价值参考!C$11+官印!Y94*属性价值参考!C$12</f>
        <v>61761.600000000006</v>
      </c>
      <c r="AA94" s="8">
        <f t="shared" si="19"/>
        <v>10293600.000000002</v>
      </c>
      <c r="AB94" s="8">
        <f t="shared" si="20"/>
        <v>102936.00000000001</v>
      </c>
      <c r="AC94" s="8"/>
      <c r="AD94" s="8"/>
    </row>
    <row r="95" spans="1:30" ht="16.5" x14ac:dyDescent="0.3">
      <c r="A95" s="50" t="s">
        <v>29</v>
      </c>
      <c r="B95" s="50" t="s">
        <v>132</v>
      </c>
      <c r="C95" s="51" t="s">
        <v>140</v>
      </c>
      <c r="D95" s="50">
        <v>1</v>
      </c>
      <c r="E95" s="50"/>
      <c r="F95" s="50" t="s">
        <v>108</v>
      </c>
      <c r="G95" s="50"/>
      <c r="H95" s="58" t="str">
        <f t="shared" si="21"/>
        <v>3#1#4500|3#3#225|3#4#450|3#5#225|3#6#450|3#7#225|3#6#450|3#8#450|3#9#112|3#10#225|3#11#112|3#12#225</v>
      </c>
      <c r="I95" s="52" t="str">
        <f t="shared" si="22"/>
        <v>元宝19298100/声望192980</v>
      </c>
      <c r="J95" s="50"/>
      <c r="K95" s="22">
        <v>90</v>
      </c>
      <c r="L95" s="22">
        <v>10</v>
      </c>
      <c r="M95" s="22">
        <f>材料产出!C$30</f>
        <v>7</v>
      </c>
      <c r="N95" s="97">
        <f t="shared" si="23"/>
        <v>4500</v>
      </c>
      <c r="O95" s="97"/>
      <c r="P95" s="97">
        <f t="shared" si="24"/>
        <v>225</v>
      </c>
      <c r="Q95" s="97">
        <f t="shared" si="25"/>
        <v>450</v>
      </c>
      <c r="R95" s="97">
        <f t="shared" si="26"/>
        <v>225</v>
      </c>
      <c r="S95" s="97">
        <f t="shared" si="27"/>
        <v>450</v>
      </c>
      <c r="T95" s="97">
        <f t="shared" si="28"/>
        <v>225</v>
      </c>
      <c r="U95" s="97">
        <f t="shared" si="29"/>
        <v>450</v>
      </c>
      <c r="V95" s="97">
        <f t="shared" si="30"/>
        <v>112</v>
      </c>
      <c r="W95" s="97">
        <f t="shared" si="31"/>
        <v>225</v>
      </c>
      <c r="X95" s="97">
        <f t="shared" si="32"/>
        <v>112</v>
      </c>
      <c r="Y95" s="97">
        <f t="shared" si="33"/>
        <v>225</v>
      </c>
      <c r="Z95" s="8">
        <f>N95*属性价值参考!C$5+官印!P95*属性价值参考!C$7+官印!Q95*属性价值参考!C$8+官印!V95*属性价值参考!C$9+官印!W95*属性价值参考!C$10+官印!X95*属性价值参考!C$11+官印!Y95*属性价值参考!C$12</f>
        <v>62491.200000000004</v>
      </c>
      <c r="AA95" s="8">
        <f t="shared" si="19"/>
        <v>10415200.000000002</v>
      </c>
      <c r="AB95" s="8">
        <f t="shared" si="20"/>
        <v>104152.00000000001</v>
      </c>
      <c r="AC95" s="8">
        <f>ROUND($AA$105/材料产出!$K$31*SUM(材料产出!$K$29:$K$30)/100,0)*100</f>
        <v>19298100</v>
      </c>
      <c r="AD95" s="8">
        <f>ROUND($AB$105/材料产出!$Q$31*SUM(材料产出!$P$29:$P$30)/10,0)*10</f>
        <v>192980</v>
      </c>
    </row>
    <row r="96" spans="1:30" ht="16.5" x14ac:dyDescent="0.3">
      <c r="A96" s="50" t="s">
        <v>29</v>
      </c>
      <c r="B96" s="50" t="s">
        <v>132</v>
      </c>
      <c r="C96" s="51" t="s">
        <v>140</v>
      </c>
      <c r="D96" s="50">
        <v>2</v>
      </c>
      <c r="E96" s="50"/>
      <c r="F96" s="50" t="s">
        <v>108</v>
      </c>
      <c r="G96" s="50"/>
      <c r="H96" s="58" t="str">
        <f t="shared" si="21"/>
        <v>3#1#4550|3#3#227|3#4#455|3#5#227|3#6#455|3#7#227|3#6#455|3#8#455|3#9#113|3#10#227|3#11#113|3#12#227</v>
      </c>
      <c r="I96" s="52" t="str">
        <f t="shared" si="22"/>
        <v>元宝19298100/声望192980</v>
      </c>
      <c r="J96" s="50"/>
      <c r="K96" s="22">
        <v>91</v>
      </c>
      <c r="L96" s="22">
        <v>10</v>
      </c>
      <c r="M96" s="22">
        <f>材料产出!C$30</f>
        <v>7</v>
      </c>
      <c r="N96" s="97">
        <f t="shared" si="23"/>
        <v>4550</v>
      </c>
      <c r="O96" s="97"/>
      <c r="P96" s="97">
        <f t="shared" si="24"/>
        <v>227</v>
      </c>
      <c r="Q96" s="97">
        <f t="shared" si="25"/>
        <v>455</v>
      </c>
      <c r="R96" s="97">
        <f t="shared" si="26"/>
        <v>227</v>
      </c>
      <c r="S96" s="97">
        <f t="shared" si="27"/>
        <v>455</v>
      </c>
      <c r="T96" s="97">
        <f t="shared" si="28"/>
        <v>227</v>
      </c>
      <c r="U96" s="97">
        <f t="shared" si="29"/>
        <v>455</v>
      </c>
      <c r="V96" s="97">
        <f t="shared" si="30"/>
        <v>113</v>
      </c>
      <c r="W96" s="97">
        <f t="shared" si="31"/>
        <v>227</v>
      </c>
      <c r="X96" s="97">
        <f t="shared" si="32"/>
        <v>113</v>
      </c>
      <c r="Y96" s="97">
        <f t="shared" si="33"/>
        <v>227</v>
      </c>
      <c r="Z96" s="8">
        <f>N96*属性价值参考!C$5+官印!P96*属性价值参考!C$7+官印!Q96*属性价值参考!C$8+官印!V96*属性价值参考!C$9+官印!W96*属性价值参考!C$10+官印!X96*属性价值参考!C$11+官印!Y96*属性价值参考!C$12</f>
        <v>63136.800000000003</v>
      </c>
      <c r="AA96" s="8">
        <f t="shared" si="19"/>
        <v>10522800.000000002</v>
      </c>
      <c r="AB96" s="8">
        <f t="shared" si="20"/>
        <v>105228.00000000001</v>
      </c>
      <c r="AC96" s="8">
        <f>ROUND($AA$105/材料产出!$K$31*SUM(材料产出!$K$29:$K$30)/100,0)*100</f>
        <v>19298100</v>
      </c>
      <c r="AD96" s="8">
        <f>ROUND($AB$105/材料产出!$Q$31*SUM(材料产出!$P$29:$P$30)/10,0)*10</f>
        <v>192980</v>
      </c>
    </row>
    <row r="97" spans="1:30" ht="16.5" x14ac:dyDescent="0.3">
      <c r="A97" s="50" t="s">
        <v>29</v>
      </c>
      <c r="B97" s="50" t="s">
        <v>132</v>
      </c>
      <c r="C97" s="51" t="s">
        <v>140</v>
      </c>
      <c r="D97" s="50">
        <v>3</v>
      </c>
      <c r="E97" s="50"/>
      <c r="F97" s="50" t="s">
        <v>108</v>
      </c>
      <c r="G97" s="50"/>
      <c r="H97" s="58" t="str">
        <f t="shared" si="21"/>
        <v>3#1#4600|3#3#230|3#4#460|3#5#230|3#6#460|3#7#230|3#6#460|3#8#460|3#9#115|3#10#230|3#11#115|3#12#230</v>
      </c>
      <c r="I97" s="52" t="str">
        <f t="shared" si="22"/>
        <v>元宝19298100/声望192980</v>
      </c>
      <c r="J97" s="50"/>
      <c r="K97" s="22">
        <v>92</v>
      </c>
      <c r="L97" s="22">
        <v>10</v>
      </c>
      <c r="M97" s="22">
        <f>材料产出!C$30</f>
        <v>7</v>
      </c>
      <c r="N97" s="97">
        <f t="shared" si="23"/>
        <v>4600</v>
      </c>
      <c r="O97" s="97"/>
      <c r="P97" s="97">
        <f t="shared" si="24"/>
        <v>230</v>
      </c>
      <c r="Q97" s="97">
        <f t="shared" si="25"/>
        <v>460</v>
      </c>
      <c r="R97" s="97">
        <f t="shared" si="26"/>
        <v>230</v>
      </c>
      <c r="S97" s="97">
        <f t="shared" si="27"/>
        <v>460</v>
      </c>
      <c r="T97" s="97">
        <f t="shared" si="28"/>
        <v>230</v>
      </c>
      <c r="U97" s="97">
        <f t="shared" si="29"/>
        <v>460</v>
      </c>
      <c r="V97" s="97">
        <f t="shared" si="30"/>
        <v>115</v>
      </c>
      <c r="W97" s="97">
        <f t="shared" si="31"/>
        <v>230</v>
      </c>
      <c r="X97" s="97">
        <f t="shared" si="32"/>
        <v>115</v>
      </c>
      <c r="Y97" s="97">
        <f t="shared" si="33"/>
        <v>230</v>
      </c>
      <c r="Z97" s="8">
        <f>N97*属性价值参考!C$5+官印!P97*属性价值参考!C$7+官印!Q97*属性价值参考!C$8+官印!V97*属性价值参考!C$9+官印!W97*属性价值参考!C$10+官印!X97*属性价值参考!C$11+官印!Y97*属性价值参考!C$12</f>
        <v>63894</v>
      </c>
      <c r="AA97" s="8">
        <f t="shared" si="19"/>
        <v>10649000</v>
      </c>
      <c r="AB97" s="8">
        <f t="shared" si="20"/>
        <v>106490</v>
      </c>
      <c r="AC97" s="8">
        <f>ROUND($AA$105/材料产出!$K$31*SUM(材料产出!$K$29:$K$30)/100,0)*100</f>
        <v>19298100</v>
      </c>
      <c r="AD97" s="8">
        <f>ROUND($AB$105/材料产出!$Q$31*SUM(材料产出!$P$29:$P$30)/10,0)*10</f>
        <v>192980</v>
      </c>
    </row>
    <row r="98" spans="1:30" ht="16.5" x14ac:dyDescent="0.3">
      <c r="A98" s="50" t="s">
        <v>29</v>
      </c>
      <c r="B98" s="50" t="s">
        <v>132</v>
      </c>
      <c r="C98" s="51" t="s">
        <v>140</v>
      </c>
      <c r="D98" s="50">
        <v>4</v>
      </c>
      <c r="E98" s="50"/>
      <c r="F98" s="50" t="s">
        <v>108</v>
      </c>
      <c r="G98" s="50"/>
      <c r="H98" s="58" t="str">
        <f t="shared" si="21"/>
        <v>3#1#4650|3#3#232|3#4#465|3#5#232|3#6#465|3#7#232|3#6#465|3#8#465|3#9#116|3#10#232|3#11#116|3#12#232</v>
      </c>
      <c r="I98" s="52" t="str">
        <f t="shared" si="22"/>
        <v>元宝19298100/声望192980</v>
      </c>
      <c r="J98" s="50"/>
      <c r="K98" s="22">
        <v>93</v>
      </c>
      <c r="L98" s="22">
        <v>10</v>
      </c>
      <c r="M98" s="22">
        <f>材料产出!C$30</f>
        <v>7</v>
      </c>
      <c r="N98" s="97">
        <f t="shared" si="23"/>
        <v>4650</v>
      </c>
      <c r="O98" s="97"/>
      <c r="P98" s="97">
        <f t="shared" si="24"/>
        <v>232</v>
      </c>
      <c r="Q98" s="97">
        <f t="shared" si="25"/>
        <v>465</v>
      </c>
      <c r="R98" s="97">
        <f t="shared" si="26"/>
        <v>232</v>
      </c>
      <c r="S98" s="97">
        <f t="shared" si="27"/>
        <v>465</v>
      </c>
      <c r="T98" s="97">
        <f t="shared" si="28"/>
        <v>232</v>
      </c>
      <c r="U98" s="97">
        <f t="shared" si="29"/>
        <v>465</v>
      </c>
      <c r="V98" s="97">
        <f t="shared" si="30"/>
        <v>116</v>
      </c>
      <c r="W98" s="97">
        <f t="shared" si="31"/>
        <v>232</v>
      </c>
      <c r="X98" s="97">
        <f t="shared" si="32"/>
        <v>116</v>
      </c>
      <c r="Y98" s="97">
        <f t="shared" si="33"/>
        <v>232</v>
      </c>
      <c r="Z98" s="8">
        <f>N98*属性价值参考!C$5+官印!P98*属性价值参考!C$7+官印!Q98*属性价值参考!C$8+官印!V98*属性价值参考!C$9+官印!W98*属性价值参考!C$10+官印!X98*属性价值参考!C$11+官印!Y98*属性价值参考!C$12</f>
        <v>64539.600000000006</v>
      </c>
      <c r="AA98" s="8">
        <f t="shared" si="19"/>
        <v>10756600.000000002</v>
      </c>
      <c r="AB98" s="8">
        <f t="shared" si="20"/>
        <v>107566.00000000001</v>
      </c>
      <c r="AC98" s="8">
        <f>ROUND($AA$105/材料产出!$K$31*SUM(材料产出!$K$29:$K$30)/100,0)*100</f>
        <v>19298100</v>
      </c>
      <c r="AD98" s="8">
        <f>ROUND($AB$105/材料产出!$Q$31*SUM(材料产出!$P$29:$P$30)/10,0)*10</f>
        <v>192980</v>
      </c>
    </row>
    <row r="99" spans="1:30" ht="16.5" x14ac:dyDescent="0.3">
      <c r="A99" s="50" t="s">
        <v>29</v>
      </c>
      <c r="B99" s="50" t="s">
        <v>132</v>
      </c>
      <c r="C99" s="51" t="s">
        <v>140</v>
      </c>
      <c r="D99" s="50">
        <v>5</v>
      </c>
      <c r="E99" s="50"/>
      <c r="F99" s="50" t="s">
        <v>108</v>
      </c>
      <c r="G99" s="50"/>
      <c r="H99" s="58" t="str">
        <f t="shared" si="21"/>
        <v>3#1#4700|3#3#235|3#4#470|3#5#235|3#6#470|3#7#235|3#6#470|3#8#470|3#9#117|3#10#235|3#11#117|3#12#235</v>
      </c>
      <c r="I99" s="52" t="str">
        <f t="shared" si="22"/>
        <v>元宝19298100/声望192980</v>
      </c>
      <c r="J99" s="50"/>
      <c r="K99" s="22">
        <v>94</v>
      </c>
      <c r="L99" s="22">
        <v>10</v>
      </c>
      <c r="M99" s="22">
        <f>材料产出!C$30</f>
        <v>7</v>
      </c>
      <c r="N99" s="97">
        <f t="shared" si="23"/>
        <v>4700</v>
      </c>
      <c r="O99" s="97"/>
      <c r="P99" s="97">
        <f t="shared" si="24"/>
        <v>235</v>
      </c>
      <c r="Q99" s="97">
        <f t="shared" si="25"/>
        <v>470</v>
      </c>
      <c r="R99" s="97">
        <f t="shared" si="26"/>
        <v>235</v>
      </c>
      <c r="S99" s="97">
        <f t="shared" si="27"/>
        <v>470</v>
      </c>
      <c r="T99" s="97">
        <f t="shared" si="28"/>
        <v>235</v>
      </c>
      <c r="U99" s="97">
        <f t="shared" si="29"/>
        <v>470</v>
      </c>
      <c r="V99" s="97">
        <f t="shared" si="30"/>
        <v>117</v>
      </c>
      <c r="W99" s="97">
        <f t="shared" si="31"/>
        <v>235</v>
      </c>
      <c r="X99" s="97">
        <f t="shared" si="32"/>
        <v>117</v>
      </c>
      <c r="Y99" s="97">
        <f t="shared" si="33"/>
        <v>235</v>
      </c>
      <c r="Z99" s="8">
        <f>N99*属性价值参考!C$5+官印!P99*属性价值参考!C$7+官印!Q99*属性价值参考!C$8+官印!V99*属性价值参考!C$9+官印!W99*属性价值参考!C$10+官印!X99*属性价值参考!C$11+官印!Y99*属性价值参考!C$12</f>
        <v>65269.200000000004</v>
      </c>
      <c r="AA99" s="8">
        <f t="shared" si="19"/>
        <v>10878200.000000002</v>
      </c>
      <c r="AB99" s="8">
        <f t="shared" si="20"/>
        <v>108782.00000000001</v>
      </c>
      <c r="AC99" s="8">
        <f>ROUND($AA$105/材料产出!$K$31*SUM(材料产出!$K$29:$K$30)/100,0)*100</f>
        <v>19298100</v>
      </c>
      <c r="AD99" s="8">
        <f>ROUND($AB$105/材料产出!$Q$31*SUM(材料产出!$P$29:$P$30)/10,0)*10</f>
        <v>192980</v>
      </c>
    </row>
    <row r="100" spans="1:30" ht="16.5" x14ac:dyDescent="0.3">
      <c r="A100" s="50" t="s">
        <v>29</v>
      </c>
      <c r="B100" s="50" t="s">
        <v>132</v>
      </c>
      <c r="C100" s="51" t="s">
        <v>140</v>
      </c>
      <c r="D100" s="50">
        <v>6</v>
      </c>
      <c r="E100" s="50"/>
      <c r="F100" s="50" t="s">
        <v>108</v>
      </c>
      <c r="G100" s="50"/>
      <c r="H100" s="58" t="str">
        <f t="shared" si="21"/>
        <v>3#1#4750|3#3#237|3#4#475|3#5#237|3#6#475|3#7#237|3#6#475|3#8#475|3#9#118|3#10#237|3#11#118|3#12#237</v>
      </c>
      <c r="I100" s="52" t="str">
        <f t="shared" si="22"/>
        <v>元宝19298100/声望192980</v>
      </c>
      <c r="J100" s="50"/>
      <c r="K100" s="22">
        <v>95</v>
      </c>
      <c r="L100" s="22">
        <v>10</v>
      </c>
      <c r="M100" s="22">
        <f>材料产出!C$30</f>
        <v>7</v>
      </c>
      <c r="N100" s="97">
        <f t="shared" si="23"/>
        <v>4750</v>
      </c>
      <c r="O100" s="97"/>
      <c r="P100" s="97">
        <f t="shared" si="24"/>
        <v>237</v>
      </c>
      <c r="Q100" s="97">
        <f t="shared" si="25"/>
        <v>475</v>
      </c>
      <c r="R100" s="97">
        <f t="shared" si="26"/>
        <v>237</v>
      </c>
      <c r="S100" s="97">
        <f t="shared" si="27"/>
        <v>475</v>
      </c>
      <c r="T100" s="97">
        <f t="shared" si="28"/>
        <v>237</v>
      </c>
      <c r="U100" s="97">
        <f t="shared" si="29"/>
        <v>475</v>
      </c>
      <c r="V100" s="97">
        <f t="shared" si="30"/>
        <v>118</v>
      </c>
      <c r="W100" s="97">
        <f t="shared" si="31"/>
        <v>237</v>
      </c>
      <c r="X100" s="97">
        <f t="shared" si="32"/>
        <v>118</v>
      </c>
      <c r="Y100" s="97">
        <f t="shared" si="33"/>
        <v>237</v>
      </c>
      <c r="Z100" s="8">
        <f>N100*属性价值参考!C$5+官印!P100*属性价值参考!C$7+官印!Q100*属性价值参考!C$8+官印!V100*属性价值参考!C$9+官印!W100*属性价值参考!C$10+官印!X100*属性价值参考!C$11+官印!Y100*属性价值参考!C$12</f>
        <v>65914.8</v>
      </c>
      <c r="AA100" s="8">
        <f t="shared" si="19"/>
        <v>10985800.000000002</v>
      </c>
      <c r="AB100" s="8">
        <f t="shared" si="20"/>
        <v>109858.00000000001</v>
      </c>
      <c r="AC100" s="8">
        <f>ROUND($AA$105/材料产出!$K$31*SUM(材料产出!$K$29:$K$30)/100,0)*100</f>
        <v>19298100</v>
      </c>
      <c r="AD100" s="8">
        <f>ROUND($AB$105/材料产出!$Q$31*SUM(材料产出!$P$29:$P$30)/10,0)*10</f>
        <v>192980</v>
      </c>
    </row>
    <row r="101" spans="1:30" ht="16.5" x14ac:dyDescent="0.3">
      <c r="A101" s="50" t="s">
        <v>29</v>
      </c>
      <c r="B101" s="50" t="s">
        <v>132</v>
      </c>
      <c r="C101" s="51" t="s">
        <v>140</v>
      </c>
      <c r="D101" s="50">
        <v>7</v>
      </c>
      <c r="E101" s="50"/>
      <c r="F101" s="50" t="s">
        <v>108</v>
      </c>
      <c r="G101" s="50"/>
      <c r="H101" s="58" t="str">
        <f t="shared" si="21"/>
        <v>3#1#4800|3#3#240|3#4#480|3#5#240|3#6#480|3#7#240|3#6#480|3#8#480|3#9#120|3#10#240|3#11#120|3#12#240</v>
      </c>
      <c r="I101" s="52" t="str">
        <f t="shared" si="22"/>
        <v>元宝19298100/声望192980</v>
      </c>
      <c r="J101" s="50"/>
      <c r="K101" s="22">
        <v>96</v>
      </c>
      <c r="L101" s="22">
        <v>10</v>
      </c>
      <c r="M101" s="22">
        <f>材料产出!C$30</f>
        <v>7</v>
      </c>
      <c r="N101" s="97">
        <f t="shared" si="23"/>
        <v>4800</v>
      </c>
      <c r="O101" s="97"/>
      <c r="P101" s="97">
        <f t="shared" si="24"/>
        <v>240</v>
      </c>
      <c r="Q101" s="97">
        <f t="shared" si="25"/>
        <v>480</v>
      </c>
      <c r="R101" s="97">
        <f t="shared" si="26"/>
        <v>240</v>
      </c>
      <c r="S101" s="97">
        <f t="shared" si="27"/>
        <v>480</v>
      </c>
      <c r="T101" s="97">
        <f t="shared" si="28"/>
        <v>240</v>
      </c>
      <c r="U101" s="97">
        <f t="shared" si="29"/>
        <v>480</v>
      </c>
      <c r="V101" s="97">
        <f t="shared" si="30"/>
        <v>120</v>
      </c>
      <c r="W101" s="97">
        <f t="shared" si="31"/>
        <v>240</v>
      </c>
      <c r="X101" s="97">
        <f t="shared" si="32"/>
        <v>120</v>
      </c>
      <c r="Y101" s="97">
        <f t="shared" si="33"/>
        <v>240</v>
      </c>
      <c r="Z101" s="8">
        <f>N101*属性价值参考!C$5+官印!P101*属性价值参考!C$7+官印!Q101*属性价值参考!C$8+官印!V101*属性价值参考!C$9+官印!W101*属性价值参考!C$10+官印!X101*属性价值参考!C$11+官印!Y101*属性价值参考!C$12</f>
        <v>66672</v>
      </c>
      <c r="AA101" s="8">
        <f t="shared" si="19"/>
        <v>11112000</v>
      </c>
      <c r="AB101" s="8">
        <f t="shared" si="20"/>
        <v>111120</v>
      </c>
      <c r="AC101" s="8">
        <f>ROUND($AA$105/材料产出!$K$31*SUM(材料产出!$K$29:$K$30)/100,0)*100</f>
        <v>19298100</v>
      </c>
      <c r="AD101" s="8">
        <f>ROUND($AB$105/材料产出!$Q$31*SUM(材料产出!$P$29:$P$30)/10,0)*10</f>
        <v>192980</v>
      </c>
    </row>
    <row r="102" spans="1:30" ht="16.5" x14ac:dyDescent="0.3">
      <c r="A102" s="50" t="s">
        <v>29</v>
      </c>
      <c r="B102" s="50" t="s">
        <v>132</v>
      </c>
      <c r="C102" s="51" t="s">
        <v>140</v>
      </c>
      <c r="D102" s="50">
        <v>8</v>
      </c>
      <c r="E102" s="50"/>
      <c r="F102" s="50" t="s">
        <v>108</v>
      </c>
      <c r="G102" s="50"/>
      <c r="H102" s="58" t="str">
        <f t="shared" si="21"/>
        <v>3#1#4850|3#3#242|3#4#485|3#5#242|3#6#485|3#7#242|3#6#485|3#8#485|3#9#121|3#10#242|3#11#121|3#12#242</v>
      </c>
      <c r="I102" s="52" t="str">
        <f t="shared" si="22"/>
        <v>元宝19298100/声望192980</v>
      </c>
      <c r="J102" s="50"/>
      <c r="K102" s="22">
        <v>97</v>
      </c>
      <c r="L102" s="22">
        <v>10</v>
      </c>
      <c r="M102" s="22">
        <f>材料产出!C$30</f>
        <v>7</v>
      </c>
      <c r="N102" s="97">
        <f>INT(K102/100*N$105)</f>
        <v>4850</v>
      </c>
      <c r="O102" s="97"/>
      <c r="P102" s="97">
        <f>INT(0.5*Q102)</f>
        <v>242</v>
      </c>
      <c r="Q102" s="97">
        <f>INT(K102/100*Q$105)</f>
        <v>485</v>
      </c>
      <c r="R102" s="97">
        <f>INT(0.5*S102)</f>
        <v>242</v>
      </c>
      <c r="S102" s="97">
        <f>INT(K102/100*S$105)</f>
        <v>485</v>
      </c>
      <c r="T102" s="97">
        <f>INT(0.5*U102)</f>
        <v>242</v>
      </c>
      <c r="U102" s="97">
        <f>INT(K102/100*U$105)</f>
        <v>485</v>
      </c>
      <c r="V102" s="97">
        <f>INT(0.5*W102)</f>
        <v>121</v>
      </c>
      <c r="W102" s="97">
        <f>INT(K102/100*W$105)</f>
        <v>242</v>
      </c>
      <c r="X102" s="97">
        <f>INT(0.5*Y102)</f>
        <v>121</v>
      </c>
      <c r="Y102" s="97">
        <f>INT(K102/100*Y$105)</f>
        <v>242</v>
      </c>
      <c r="Z102" s="8">
        <f>N102*属性价值参考!C$5+官印!P102*属性价值参考!C$7+官印!Q102*属性价值参考!C$8+官印!V102*属性价值参考!C$9+官印!W102*属性价值参考!C$10+官印!X102*属性价值参考!C$11+官印!Y102*属性价值参考!C$12</f>
        <v>67317.600000000006</v>
      </c>
      <c r="AA102" s="8">
        <f t="shared" si="19"/>
        <v>11219600.000000002</v>
      </c>
      <c r="AB102" s="8">
        <f t="shared" si="20"/>
        <v>112196.00000000001</v>
      </c>
      <c r="AC102" s="8">
        <f>ROUND($AA$105/材料产出!$K$31*SUM(材料产出!$K$29:$K$30)/100,0)*100</f>
        <v>19298100</v>
      </c>
      <c r="AD102" s="8">
        <f>ROUND($AB$105/材料产出!$Q$31*SUM(材料产出!$P$29:$P$30)/10,0)*10</f>
        <v>192980</v>
      </c>
    </row>
    <row r="103" spans="1:30" ht="16.5" x14ac:dyDescent="0.3">
      <c r="A103" s="50" t="s">
        <v>29</v>
      </c>
      <c r="B103" s="50" t="s">
        <v>132</v>
      </c>
      <c r="C103" s="51" t="s">
        <v>140</v>
      </c>
      <c r="D103" s="50">
        <v>9</v>
      </c>
      <c r="E103" s="50"/>
      <c r="F103" s="50" t="s">
        <v>108</v>
      </c>
      <c r="G103" s="50"/>
      <c r="H103" s="58" t="str">
        <f t="shared" si="21"/>
        <v>3#1#4900|3#3#245|3#4#490|3#5#245|3#6#490|3#7#245|3#6#490|3#8#490|3#9#122|3#10#245|3#11#122|3#12#245</v>
      </c>
      <c r="I103" s="52" t="str">
        <f t="shared" si="22"/>
        <v>元宝19298100/声望192980</v>
      </c>
      <c r="J103" s="50"/>
      <c r="K103" s="22">
        <v>98</v>
      </c>
      <c r="L103" s="22">
        <v>10</v>
      </c>
      <c r="M103" s="22">
        <f>材料产出!C$30</f>
        <v>7</v>
      </c>
      <c r="N103" s="97">
        <f>INT(K103/100*N$105)</f>
        <v>4900</v>
      </c>
      <c r="O103" s="97"/>
      <c r="P103" s="97">
        <f>INT(0.5*Q103)</f>
        <v>245</v>
      </c>
      <c r="Q103" s="97">
        <f>INT(K103/100*Q$105)</f>
        <v>490</v>
      </c>
      <c r="R103" s="97">
        <f>INT(0.5*S103)</f>
        <v>245</v>
      </c>
      <c r="S103" s="97">
        <f>INT(K103/100*S$105)</f>
        <v>490</v>
      </c>
      <c r="T103" s="97">
        <f>INT(0.5*U103)</f>
        <v>245</v>
      </c>
      <c r="U103" s="97">
        <f>INT(K103/100*U$105)</f>
        <v>490</v>
      </c>
      <c r="V103" s="97">
        <f>INT(0.5*W103)</f>
        <v>122</v>
      </c>
      <c r="W103" s="97">
        <f>INT(K103/100*W$105)</f>
        <v>245</v>
      </c>
      <c r="X103" s="97">
        <f>INT(0.5*Y103)</f>
        <v>122</v>
      </c>
      <c r="Y103" s="97">
        <f>INT(K103/100*Y$105)</f>
        <v>245</v>
      </c>
      <c r="Z103" s="8">
        <f>N103*属性价值参考!C$5+官印!P103*属性价值参考!C$7+官印!Q103*属性价值参考!C$8+官印!V103*属性价值参考!C$9+官印!W103*属性价值参考!C$10+官印!X103*属性价值参考!C$11+官印!Y103*属性价值参考!C$12</f>
        <v>68047.200000000012</v>
      </c>
      <c r="AA103" s="8">
        <f t="shared" si="19"/>
        <v>11341200.000000004</v>
      </c>
      <c r="AB103" s="8">
        <f t="shared" si="20"/>
        <v>113412.00000000003</v>
      </c>
      <c r="AC103" s="8">
        <f>ROUND($AA$105/材料产出!$K$31*SUM(材料产出!$K$29:$K$30)/100,0)*100</f>
        <v>19298100</v>
      </c>
      <c r="AD103" s="8">
        <f>ROUND($AB$105/材料产出!$Q$31*SUM(材料产出!$P$29:$P$30)/10,0)*10</f>
        <v>192980</v>
      </c>
    </row>
    <row r="104" spans="1:30" ht="16.5" x14ac:dyDescent="0.3">
      <c r="A104" s="57" t="s">
        <v>29</v>
      </c>
      <c r="B104" s="57" t="s">
        <v>132</v>
      </c>
      <c r="C104" s="57" t="s">
        <v>141</v>
      </c>
      <c r="D104" s="57">
        <v>0</v>
      </c>
      <c r="E104" s="57"/>
      <c r="F104" s="57" t="s">
        <v>102</v>
      </c>
      <c r="G104" s="57"/>
      <c r="H104" s="57" t="str">
        <f t="shared" si="21"/>
        <v>3#1#4950|3#3#247|3#4#495|3#5#247|3#6#495|3#7#247|3#6#495|3#8#495|3#9#123|3#10#247|3#11#123|3#12#247</v>
      </c>
      <c r="I104" s="55"/>
      <c r="J104" s="53"/>
      <c r="K104" s="22">
        <v>99</v>
      </c>
      <c r="L104" s="22"/>
      <c r="M104" s="22"/>
      <c r="N104" s="97">
        <f>INT(K104/100*N$105)</f>
        <v>4950</v>
      </c>
      <c r="O104" s="97"/>
      <c r="P104" s="97">
        <f>INT(0.5*Q104)</f>
        <v>247</v>
      </c>
      <c r="Q104" s="97">
        <f>INT(K104/100*Q$105)</f>
        <v>495</v>
      </c>
      <c r="R104" s="97">
        <f>INT(0.5*S104)</f>
        <v>247</v>
      </c>
      <c r="S104" s="97">
        <f>INT(K104/100*S$105)</f>
        <v>495</v>
      </c>
      <c r="T104" s="97">
        <f>INT(0.5*U104)</f>
        <v>247</v>
      </c>
      <c r="U104" s="97">
        <f>INT(K104/100*U$105)</f>
        <v>495</v>
      </c>
      <c r="V104" s="97">
        <f>INT(0.5*W104)</f>
        <v>123</v>
      </c>
      <c r="W104" s="97">
        <f>INT(K104/100*W$105)</f>
        <v>247</v>
      </c>
      <c r="X104" s="97">
        <f>INT(0.5*Y104)</f>
        <v>123</v>
      </c>
      <c r="Y104" s="97">
        <f>INT(K104/100*Y$105)</f>
        <v>247</v>
      </c>
      <c r="Z104" s="8">
        <f>N104*属性价值参考!C$5+官印!P104*属性价值参考!C$7+官印!Q104*属性价值参考!C$8+官印!V104*属性价值参考!C$9+官印!W104*属性价值参考!C$10+官印!X104*属性价值参考!C$11+官印!Y104*属性价值参考!C$12</f>
        <v>68692.800000000003</v>
      </c>
      <c r="AA104" s="8">
        <f t="shared" si="19"/>
        <v>11448800.000000002</v>
      </c>
      <c r="AB104" s="8">
        <f t="shared" si="20"/>
        <v>114488.00000000001</v>
      </c>
      <c r="AC104" s="8"/>
      <c r="AD104" s="8"/>
    </row>
    <row r="105" spans="1:30" ht="16.5" x14ac:dyDescent="0.3">
      <c r="A105" s="57" t="s">
        <v>29</v>
      </c>
      <c r="B105" s="57" t="s">
        <v>132</v>
      </c>
      <c r="C105" s="57" t="s">
        <v>140</v>
      </c>
      <c r="D105" s="57">
        <v>10</v>
      </c>
      <c r="E105" s="57"/>
      <c r="F105" s="57" t="s">
        <v>108</v>
      </c>
      <c r="G105" s="57"/>
      <c r="H105" s="57" t="str">
        <f>"3#1#"&amp;N105&amp;"|"&amp;"3#3#"&amp;P105&amp;"|"&amp;"3#4#"&amp;Q105&amp;"|"&amp;"3#5#"&amp;R105&amp;"|"&amp;"3#6#"&amp;S105&amp;"|"&amp;"3#7#"&amp;T105&amp;"|"&amp;"3#6#"&amp;S105&amp;"|"&amp;"3#8#"&amp;U105&amp;"|"&amp;"3#9#"&amp;V105&amp;"|"&amp;"3#10#"&amp;W105&amp;"|"&amp;"3#11#"&amp;X105&amp;"|"&amp;"3#12#"&amp;Y105</f>
        <v>3#1#5000|3#3#250|3#4#500|3#5#250|3#6#500|3#7#250|3#6#500|3#8#500|3#9#125|3#10#250|3#11#125|3#12#250</v>
      </c>
      <c r="I105" s="55"/>
      <c r="J105" s="53"/>
      <c r="K105" s="22">
        <v>100</v>
      </c>
      <c r="L105" s="22"/>
      <c r="M105" s="22"/>
      <c r="N105" s="97">
        <f>养成属性分配!P31</f>
        <v>5000</v>
      </c>
      <c r="O105" s="97"/>
      <c r="P105" s="97">
        <f>0.5*Q105</f>
        <v>250</v>
      </c>
      <c r="Q105" s="97">
        <f>养成属性分配!Q31</f>
        <v>500</v>
      </c>
      <c r="R105" s="97">
        <f>0.5*S105</f>
        <v>250</v>
      </c>
      <c r="S105" s="97">
        <f>养成属性分配!Q31</f>
        <v>500</v>
      </c>
      <c r="T105" s="97">
        <f>0.5*U105</f>
        <v>250</v>
      </c>
      <c r="U105" s="97">
        <f>养成属性分配!Q31</f>
        <v>500</v>
      </c>
      <c r="V105" s="97">
        <f>0.5*W105</f>
        <v>125</v>
      </c>
      <c r="W105" s="97">
        <f>养成属性分配!R31</f>
        <v>250</v>
      </c>
      <c r="X105" s="97">
        <f>0.5*Y105</f>
        <v>125</v>
      </c>
      <c r="Y105" s="97">
        <f>养成属性分配!R31</f>
        <v>250</v>
      </c>
      <c r="Z105" s="8">
        <f>N105*属性价值参考!C$5+官印!P105*属性价值参考!C$7+官印!Q105*属性价值参考!C$8+官印!V105*属性价值参考!C$9+官印!W105*属性价值参考!C$10+官印!X105*属性价值参考!C$11+官印!Y105*属性价值参考!C$12</f>
        <v>69450</v>
      </c>
      <c r="AA105" s="8">
        <f>Z105/0.6*100</f>
        <v>11575000</v>
      </c>
      <c r="AB105" s="8">
        <f>Z105/0.6</f>
        <v>115750</v>
      </c>
      <c r="AC105" s="8"/>
      <c r="AD105" s="8"/>
    </row>
    <row r="106" spans="1:30" x14ac:dyDescent="0.2">
      <c r="A106" s="2"/>
      <c r="B106" s="2"/>
      <c r="C106" s="2"/>
      <c r="D106" s="2"/>
      <c r="E106" s="2"/>
      <c r="F106" s="2"/>
      <c r="G106" s="2"/>
      <c r="H106" s="2"/>
      <c r="I106" s="3"/>
      <c r="J106" s="2"/>
    </row>
    <row r="107" spans="1:30" x14ac:dyDescent="0.2">
      <c r="A107" s="2"/>
      <c r="B107" s="2"/>
      <c r="C107" s="2"/>
      <c r="D107" s="2"/>
      <c r="E107" s="2"/>
      <c r="F107" s="2"/>
      <c r="G107" s="2"/>
      <c r="H107" s="2"/>
      <c r="I107" s="3"/>
      <c r="J107" s="2"/>
    </row>
    <row r="108" spans="1:30" x14ac:dyDescent="0.2">
      <c r="A108" s="2"/>
      <c r="B108" s="2"/>
      <c r="C108" s="2"/>
      <c r="D108" s="2"/>
      <c r="E108" s="2"/>
      <c r="F108" s="2"/>
      <c r="G108" s="2"/>
      <c r="H108" s="2"/>
      <c r="I108" s="3"/>
      <c r="J108" s="2"/>
    </row>
    <row r="109" spans="1:30" x14ac:dyDescent="0.2">
      <c r="A109" s="2"/>
      <c r="B109" s="2"/>
      <c r="C109" s="2"/>
      <c r="D109" s="2"/>
      <c r="E109" s="2"/>
      <c r="F109" s="2"/>
      <c r="G109" s="2"/>
      <c r="H109" s="2"/>
      <c r="I109" s="3"/>
      <c r="J109" s="2"/>
    </row>
    <row r="110" spans="1:30" x14ac:dyDescent="0.2">
      <c r="A110" s="2"/>
      <c r="B110" s="2"/>
      <c r="C110" s="2"/>
      <c r="D110" s="2"/>
      <c r="E110" s="2"/>
      <c r="F110" s="2"/>
      <c r="G110" s="2"/>
      <c r="H110" s="2"/>
      <c r="I110" s="3"/>
      <c r="J110" s="2"/>
    </row>
    <row r="111" spans="1:30" x14ac:dyDescent="0.2">
      <c r="A111" s="2"/>
      <c r="B111" s="2"/>
      <c r="C111" s="2"/>
      <c r="D111" s="2"/>
      <c r="E111" s="2"/>
      <c r="F111" s="2"/>
      <c r="G111" s="2"/>
      <c r="H111" s="2"/>
      <c r="I111" s="3"/>
      <c r="J111" s="2"/>
    </row>
    <row r="112" spans="1:30" x14ac:dyDescent="0.2">
      <c r="A112" s="2"/>
      <c r="B112" s="2"/>
      <c r="C112" s="2"/>
      <c r="D112" s="2"/>
      <c r="E112" s="2"/>
      <c r="F112" s="2"/>
      <c r="G112" s="2"/>
      <c r="H112" s="2"/>
      <c r="I112" s="3"/>
      <c r="J112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H17"/>
  <sheetViews>
    <sheetView topLeftCell="N1" workbookViewId="0">
      <selection activeCell="AA17" sqref="AA17"/>
    </sheetView>
  </sheetViews>
  <sheetFormatPr defaultRowHeight="14.25" x14ac:dyDescent="0.2"/>
  <cols>
    <col min="1" max="9" width="10.875" customWidth="1"/>
    <col min="10" max="10" width="50.625" customWidth="1"/>
    <col min="11" max="11" width="12.75" customWidth="1"/>
    <col min="12" max="12" width="37.375" customWidth="1"/>
    <col min="13" max="13" width="9.75" bestFit="1" customWidth="1"/>
    <col min="14" max="14" width="9.75" customWidth="1"/>
    <col min="15" max="15" width="9.5" style="94" bestFit="1" customWidth="1"/>
    <col min="16" max="26" width="9" style="94"/>
    <col min="27" max="27" width="11.875" bestFit="1" customWidth="1"/>
    <col min="28" max="28" width="16.375" bestFit="1" customWidth="1"/>
    <col min="29" max="29" width="9.75" bestFit="1" customWidth="1"/>
    <col min="30" max="30" width="14.125" bestFit="1" customWidth="1"/>
    <col min="31" max="31" width="16.375" bestFit="1" customWidth="1"/>
    <col min="32" max="32" width="20.75" bestFit="1" customWidth="1"/>
  </cols>
  <sheetData>
    <row r="1" spans="1:34" s="31" customFormat="1" ht="18" x14ac:dyDescent="0.2">
      <c r="A1" s="21" t="s">
        <v>49</v>
      </c>
      <c r="B1" s="21" t="s">
        <v>50</v>
      </c>
      <c r="C1" s="21" t="s">
        <v>51</v>
      </c>
      <c r="D1" s="21" t="s">
        <v>52</v>
      </c>
      <c r="E1" s="21" t="s">
        <v>53</v>
      </c>
      <c r="F1" s="21" t="s">
        <v>54</v>
      </c>
      <c r="G1" s="21" t="s">
        <v>55</v>
      </c>
      <c r="H1" s="21" t="s">
        <v>56</v>
      </c>
      <c r="I1" s="21" t="s">
        <v>57</v>
      </c>
      <c r="J1" s="21" t="s">
        <v>77</v>
      </c>
      <c r="K1" s="21" t="s">
        <v>61</v>
      </c>
      <c r="L1" s="21" t="s">
        <v>62</v>
      </c>
      <c r="M1" s="63" t="s">
        <v>55</v>
      </c>
      <c r="N1" s="63" t="s">
        <v>3798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3758</v>
      </c>
      <c r="AB1" s="63" t="s">
        <v>3771</v>
      </c>
      <c r="AC1" s="63" t="s">
        <v>3777</v>
      </c>
      <c r="AD1" s="63" t="s">
        <v>3778</v>
      </c>
      <c r="AE1" s="63" t="s">
        <v>3799</v>
      </c>
      <c r="AF1" s="63" t="s">
        <v>3800</v>
      </c>
      <c r="AH1" s="63" t="s">
        <v>3772</v>
      </c>
    </row>
    <row r="2" spans="1:34" ht="16.5" x14ac:dyDescent="0.3">
      <c r="A2" s="22" t="s">
        <v>29</v>
      </c>
      <c r="B2" s="22" t="s">
        <v>29</v>
      </c>
      <c r="C2" s="22" t="s">
        <v>29</v>
      </c>
      <c r="D2" s="22"/>
      <c r="E2" s="22"/>
      <c r="F2" s="23" t="s">
        <v>78</v>
      </c>
      <c r="G2" s="22">
        <v>0</v>
      </c>
      <c r="H2" s="32"/>
      <c r="I2" s="22"/>
      <c r="J2" s="24"/>
      <c r="K2" s="22"/>
      <c r="L2" s="37" t="str">
        <f t="shared" ref="L2:L16" si="0">"火龙凭证"&amp;AF2&amp;"/元宝"&amp;AE2</f>
        <v>火龙凭证2/元宝1500</v>
      </c>
      <c r="M2" s="190">
        <v>1</v>
      </c>
      <c r="N2" s="190">
        <f>材料产出!C6</f>
        <v>0.7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0"/>
      <c r="AB2" s="10"/>
      <c r="AC2" s="10">
        <f t="shared" ref="AC2:AC16" si="1">(AA3+AB3)/16*1000</f>
        <v>148500</v>
      </c>
      <c r="AD2" s="10">
        <f t="shared" ref="AD2:AD16" si="2">(AA3+AB3)/16</f>
        <v>148.5</v>
      </c>
      <c r="AE2" s="10">
        <f>ROUND($AC$16/材料产出!$K$31*材料产出!$K6/100,0)*100</f>
        <v>1500</v>
      </c>
      <c r="AF2" s="10">
        <f>ROUND($AD$16/材料产出!$O$31*材料产出!$O6,0)</f>
        <v>2</v>
      </c>
      <c r="AG2" s="13"/>
      <c r="AH2" s="10"/>
    </row>
    <row r="3" spans="1:34" ht="16.5" x14ac:dyDescent="0.3">
      <c r="A3" s="22" t="s">
        <v>29</v>
      </c>
      <c r="B3" s="22" t="s">
        <v>29</v>
      </c>
      <c r="C3" s="22" t="s">
        <v>29</v>
      </c>
      <c r="D3" s="22"/>
      <c r="E3" s="22"/>
      <c r="F3" s="23" t="s">
        <v>79</v>
      </c>
      <c r="G3" s="22">
        <v>1</v>
      </c>
      <c r="H3" s="32"/>
      <c r="I3" s="22"/>
      <c r="J3" s="38" t="str">
        <f t="shared" ref="J3:J16" si="3">"3#3#"&amp;INT(Q3)&amp;"|"&amp;"3#4#"&amp;INT(R3)&amp;"|"&amp;"3#5#"&amp;INT(S3)&amp;"|"&amp;"3#6#"&amp;INT(T3)&amp;"|"&amp;"3#7#"&amp;INT(U3)&amp;"|"&amp;"3#8#"&amp;INT(V3)</f>
        <v>3#3#16|3#4#33|3#5#16|3#6#33|3#7#16|3#8#33</v>
      </c>
      <c r="K3" s="22" t="s">
        <v>80</v>
      </c>
      <c r="L3" s="37" t="str">
        <f t="shared" si="0"/>
        <v>火龙凭证2/元宝2100</v>
      </c>
      <c r="M3" s="42">
        <v>2</v>
      </c>
      <c r="N3" s="190">
        <f>材料产出!C9</f>
        <v>1</v>
      </c>
      <c r="O3" s="15"/>
      <c r="P3" s="15"/>
      <c r="Q3" s="15">
        <f t="shared" ref="Q3:Q15" si="4">INT(0.5*R3)</f>
        <v>16</v>
      </c>
      <c r="R3" s="15">
        <f t="shared" ref="R3:R15" si="5">INT(M2/M$16*R$17)</f>
        <v>33</v>
      </c>
      <c r="S3" s="15">
        <f t="shared" ref="S3:S15" si="6">INT(0.5*T3)</f>
        <v>16</v>
      </c>
      <c r="T3" s="15">
        <f t="shared" ref="T3:T15" si="7">INT(M2/M$16*T$17)</f>
        <v>33</v>
      </c>
      <c r="U3" s="15">
        <f t="shared" ref="U3:U16" si="8">INT(0.5*V3)</f>
        <v>16</v>
      </c>
      <c r="V3" s="15">
        <f t="shared" ref="V3:V15" si="9">INT(M2/M$16*V$17)</f>
        <v>33</v>
      </c>
      <c r="W3" s="15"/>
      <c r="X3" s="15"/>
      <c r="Y3" s="15"/>
      <c r="Z3" s="15"/>
      <c r="AA3" s="10">
        <f>Q3*属性价值参考!C$7+官职!R3*属性价值参考!C$8</f>
        <v>2116.8000000000002</v>
      </c>
      <c r="AB3" s="10">
        <f>AH3*属性价值参考!C$31</f>
        <v>259.2</v>
      </c>
      <c r="AC3" s="10">
        <f t="shared" si="1"/>
        <v>299700</v>
      </c>
      <c r="AD3" s="10">
        <f t="shared" si="2"/>
        <v>299.7</v>
      </c>
      <c r="AE3" s="10">
        <f>ROUND($AC$16/材料产出!$K$31*材料产出!$K9/100,0)*100</f>
        <v>2100</v>
      </c>
      <c r="AF3" s="10">
        <f>ROUND($AD$16/材料产出!$O$31*材料产出!$O9,0)</f>
        <v>2</v>
      </c>
      <c r="AG3" s="13"/>
      <c r="AH3" s="15">
        <v>1</v>
      </c>
    </row>
    <row r="4" spans="1:34" ht="16.5" x14ac:dyDescent="0.3">
      <c r="A4" s="22" t="s">
        <v>29</v>
      </c>
      <c r="B4" s="22" t="s">
        <v>29</v>
      </c>
      <c r="C4" s="22" t="s">
        <v>29</v>
      </c>
      <c r="D4" s="22"/>
      <c r="E4" s="22"/>
      <c r="F4" s="22" t="s">
        <v>81</v>
      </c>
      <c r="G4" s="22">
        <v>2</v>
      </c>
      <c r="H4" s="22"/>
      <c r="I4" s="22"/>
      <c r="J4" s="38" t="str">
        <f t="shared" si="3"/>
        <v>3#3#33|3#4#66|3#5#33|3#6#66|3#7#33|3#8#66</v>
      </c>
      <c r="K4" s="22" t="s">
        <v>82</v>
      </c>
      <c r="L4" s="37" t="str">
        <f t="shared" si="0"/>
        <v>火龙凭证6/元宝5900</v>
      </c>
      <c r="M4" s="190">
        <v>3</v>
      </c>
      <c r="N4" s="190">
        <f>材料产出!C12</f>
        <v>1.3</v>
      </c>
      <c r="O4" s="15"/>
      <c r="P4" s="15"/>
      <c r="Q4" s="15">
        <f t="shared" si="4"/>
        <v>33</v>
      </c>
      <c r="R4" s="15">
        <f t="shared" si="5"/>
        <v>66</v>
      </c>
      <c r="S4" s="15">
        <f t="shared" si="6"/>
        <v>33</v>
      </c>
      <c r="T4" s="15">
        <f t="shared" si="7"/>
        <v>66</v>
      </c>
      <c r="U4" s="15">
        <f t="shared" si="8"/>
        <v>33</v>
      </c>
      <c r="V4" s="15">
        <f t="shared" si="9"/>
        <v>66</v>
      </c>
      <c r="W4" s="15"/>
      <c r="X4" s="15"/>
      <c r="Y4" s="15"/>
      <c r="Z4" s="15"/>
      <c r="AA4" s="10">
        <f>Q4*属性价值参考!C$7+官职!R4*属性价值参考!C$8</f>
        <v>4276.8</v>
      </c>
      <c r="AB4" s="10">
        <f>AH4*属性价值参考!C$31</f>
        <v>518.4</v>
      </c>
      <c r="AC4" s="10">
        <f t="shared" si="1"/>
        <v>453600</v>
      </c>
      <c r="AD4" s="10">
        <f t="shared" si="2"/>
        <v>453.6</v>
      </c>
      <c r="AE4" s="10">
        <f>ROUND($AC$16/材料产出!$K$31*材料产出!$K12/100,0)*100</f>
        <v>5900</v>
      </c>
      <c r="AF4" s="10">
        <f>ROUND($AD$16/材料产出!$O$31*材料产出!$O12,0)</f>
        <v>6</v>
      </c>
      <c r="AG4" s="13"/>
      <c r="AH4" s="15">
        <v>2</v>
      </c>
    </row>
    <row r="5" spans="1:34" ht="16.5" x14ac:dyDescent="0.3">
      <c r="A5" s="22" t="s">
        <v>29</v>
      </c>
      <c r="B5" s="22" t="s">
        <v>29</v>
      </c>
      <c r="C5" s="22" t="s">
        <v>29</v>
      </c>
      <c r="D5" s="22"/>
      <c r="E5" s="22"/>
      <c r="F5" s="22" t="s">
        <v>83</v>
      </c>
      <c r="G5" s="22">
        <v>3</v>
      </c>
      <c r="H5" s="22"/>
      <c r="I5" s="22"/>
      <c r="J5" s="38" t="str">
        <f t="shared" si="3"/>
        <v>3#3#50|3#4#100|3#5#50|3#6#100|3#7#50|3#8#100</v>
      </c>
      <c r="K5" s="22" t="s">
        <v>84</v>
      </c>
      <c r="L5" s="37" t="str">
        <f t="shared" si="0"/>
        <v>火龙凭证60/元宝60000</v>
      </c>
      <c r="M5" s="42">
        <v>4</v>
      </c>
      <c r="N5" s="190">
        <f>材料产出!C15</f>
        <v>2.1</v>
      </c>
      <c r="O5" s="15"/>
      <c r="P5" s="15"/>
      <c r="Q5" s="15">
        <f t="shared" si="4"/>
        <v>50</v>
      </c>
      <c r="R5" s="15">
        <f t="shared" si="5"/>
        <v>100</v>
      </c>
      <c r="S5" s="15">
        <f t="shared" si="6"/>
        <v>50</v>
      </c>
      <c r="T5" s="15">
        <f t="shared" si="7"/>
        <v>100</v>
      </c>
      <c r="U5" s="15">
        <f t="shared" si="8"/>
        <v>50</v>
      </c>
      <c r="V5" s="15">
        <f t="shared" si="9"/>
        <v>100</v>
      </c>
      <c r="W5" s="15"/>
      <c r="X5" s="15"/>
      <c r="Y5" s="15"/>
      <c r="Z5" s="15"/>
      <c r="AA5" s="10">
        <f>Q5*属性价值参考!C$7+官职!R5*属性价值参考!C$8</f>
        <v>6480</v>
      </c>
      <c r="AB5" s="10">
        <f>AH5*属性价值参考!C$31</f>
        <v>777.59999999999991</v>
      </c>
      <c r="AC5" s="10">
        <f t="shared" si="1"/>
        <v>618300.00000000012</v>
      </c>
      <c r="AD5" s="10">
        <f t="shared" si="2"/>
        <v>618.30000000000007</v>
      </c>
      <c r="AE5" s="10">
        <f>ROUND($AC$16/材料产出!$K$31*材料产出!$K15/100,0)*100</f>
        <v>60000</v>
      </c>
      <c r="AF5" s="10">
        <f>ROUND($AD$16/材料产出!$O$31*材料产出!$O15,0)</f>
        <v>60</v>
      </c>
      <c r="AG5" s="13"/>
      <c r="AH5" s="15">
        <v>3</v>
      </c>
    </row>
    <row r="6" spans="1:34" ht="16.5" x14ac:dyDescent="0.3">
      <c r="A6" s="22" t="s">
        <v>29</v>
      </c>
      <c r="B6" s="22" t="s">
        <v>29</v>
      </c>
      <c r="C6" s="22" t="s">
        <v>29</v>
      </c>
      <c r="D6" s="22"/>
      <c r="E6" s="22"/>
      <c r="F6" s="22" t="s">
        <v>85</v>
      </c>
      <c r="G6" s="22">
        <v>4</v>
      </c>
      <c r="H6" s="22"/>
      <c r="I6" s="22"/>
      <c r="J6" s="38" t="str">
        <f t="shared" si="3"/>
        <v>3#3#66|3#4#133|3#5#66|3#6#133|3#7#66|3#8#133</v>
      </c>
      <c r="K6" s="22" t="s">
        <v>86</v>
      </c>
      <c r="L6" s="37" t="str">
        <f t="shared" si="0"/>
        <v>火龙凭证86/元宝85800</v>
      </c>
      <c r="M6" s="190">
        <v>5</v>
      </c>
      <c r="N6" s="190">
        <f>材料产出!C17</f>
        <v>3</v>
      </c>
      <c r="O6" s="15"/>
      <c r="P6" s="15"/>
      <c r="Q6" s="15">
        <f t="shared" si="4"/>
        <v>66</v>
      </c>
      <c r="R6" s="15">
        <f t="shared" si="5"/>
        <v>133</v>
      </c>
      <c r="S6" s="15">
        <f t="shared" si="6"/>
        <v>66</v>
      </c>
      <c r="T6" s="15">
        <f t="shared" si="7"/>
        <v>133</v>
      </c>
      <c r="U6" s="15">
        <f t="shared" si="8"/>
        <v>66</v>
      </c>
      <c r="V6" s="15">
        <f t="shared" si="9"/>
        <v>133</v>
      </c>
      <c r="W6" s="15"/>
      <c r="X6" s="15"/>
      <c r="Y6" s="15"/>
      <c r="Z6" s="15"/>
      <c r="AA6" s="10">
        <f>Q6*属性价值参考!C$7+官职!R6*属性价值参考!C$8</f>
        <v>8596.8000000000011</v>
      </c>
      <c r="AB6" s="10">
        <f>AH6*属性价值参考!C$31</f>
        <v>1296</v>
      </c>
      <c r="AC6" s="10">
        <f t="shared" si="1"/>
        <v>785700</v>
      </c>
      <c r="AD6" s="10">
        <f t="shared" si="2"/>
        <v>785.7</v>
      </c>
      <c r="AE6" s="10">
        <f>ROUND($AC$16/材料产出!$K$31*材料产出!$K17/100,0)*100</f>
        <v>85800</v>
      </c>
      <c r="AF6" s="10">
        <f>ROUND($AD$16/材料产出!$O$31*材料产出!$O17,0)</f>
        <v>86</v>
      </c>
      <c r="AG6" s="13"/>
      <c r="AH6" s="15">
        <v>5</v>
      </c>
    </row>
    <row r="7" spans="1:34" ht="16.5" x14ac:dyDescent="0.3">
      <c r="A7" s="22" t="s">
        <v>29</v>
      </c>
      <c r="B7" s="22" t="s">
        <v>29</v>
      </c>
      <c r="C7" s="22" t="s">
        <v>29</v>
      </c>
      <c r="D7" s="22"/>
      <c r="E7" s="22"/>
      <c r="F7" s="22" t="s">
        <v>88</v>
      </c>
      <c r="G7" s="22">
        <v>5</v>
      </c>
      <c r="H7" s="22"/>
      <c r="I7" s="22"/>
      <c r="J7" s="38" t="str">
        <f t="shared" si="3"/>
        <v>3#3#83|3#4#166|3#5#83|3#6#166|3#7#83|3#8#166</v>
      </c>
      <c r="K7" s="22" t="s">
        <v>89</v>
      </c>
      <c r="L7" s="37" t="str">
        <f t="shared" si="0"/>
        <v>火龙凭证106/元宝105800</v>
      </c>
      <c r="M7" s="42">
        <v>6</v>
      </c>
      <c r="N7" s="190">
        <f>材料产出!C19</f>
        <v>3.7</v>
      </c>
      <c r="O7" s="15"/>
      <c r="P7" s="15"/>
      <c r="Q7" s="15">
        <f t="shared" si="4"/>
        <v>83</v>
      </c>
      <c r="R7" s="15">
        <f t="shared" si="5"/>
        <v>166</v>
      </c>
      <c r="S7" s="15">
        <f t="shared" si="6"/>
        <v>83</v>
      </c>
      <c r="T7" s="15">
        <f t="shared" si="7"/>
        <v>166</v>
      </c>
      <c r="U7" s="15">
        <f t="shared" si="8"/>
        <v>83</v>
      </c>
      <c r="V7" s="15">
        <f t="shared" si="9"/>
        <v>166</v>
      </c>
      <c r="W7" s="15"/>
      <c r="X7" s="15"/>
      <c r="Y7" s="15"/>
      <c r="Z7" s="15"/>
      <c r="AA7" s="10">
        <f>Q7*属性价值参考!C$7+官职!R7*属性价值参考!C$8</f>
        <v>10756.800000000001</v>
      </c>
      <c r="AB7" s="10">
        <f>AH7*属性价值参考!C$31</f>
        <v>1814.3999999999999</v>
      </c>
      <c r="AC7" s="10">
        <f t="shared" si="1"/>
        <v>955800</v>
      </c>
      <c r="AD7" s="10">
        <f t="shared" si="2"/>
        <v>955.8</v>
      </c>
      <c r="AE7" s="10">
        <f>ROUND($AC$16/材料产出!$K$31*材料产出!$K19/100,0)*100</f>
        <v>105800</v>
      </c>
      <c r="AF7" s="10">
        <f>ROUND($AD$16/材料产出!$O$31*材料产出!$O19,0)</f>
        <v>106</v>
      </c>
      <c r="AG7" s="13"/>
      <c r="AH7" s="15">
        <v>7</v>
      </c>
    </row>
    <row r="8" spans="1:34" ht="16.5" x14ac:dyDescent="0.3">
      <c r="A8" s="22" t="s">
        <v>29</v>
      </c>
      <c r="B8" s="22" t="s">
        <v>29</v>
      </c>
      <c r="C8" s="22" t="s">
        <v>29</v>
      </c>
      <c r="D8" s="22"/>
      <c r="E8" s="22"/>
      <c r="F8" s="22" t="s">
        <v>91</v>
      </c>
      <c r="G8" s="22">
        <v>6</v>
      </c>
      <c r="H8" s="22"/>
      <c r="I8" s="22"/>
      <c r="J8" s="38" t="str">
        <f t="shared" si="3"/>
        <v>3#3#100|3#4#200|3#5#100|3#6#200|3#7#100|3#8#200</v>
      </c>
      <c r="K8" s="22" t="s">
        <v>92</v>
      </c>
      <c r="L8" s="37" t="str">
        <f t="shared" si="0"/>
        <v>火龙凭证615/元宝614600</v>
      </c>
      <c r="M8" s="190">
        <v>7</v>
      </c>
      <c r="N8" s="190">
        <f>材料产出!C21</f>
        <v>4.3</v>
      </c>
      <c r="O8" s="15"/>
      <c r="P8" s="15"/>
      <c r="Q8" s="15">
        <f t="shared" si="4"/>
        <v>100</v>
      </c>
      <c r="R8" s="15">
        <f t="shared" si="5"/>
        <v>200</v>
      </c>
      <c r="S8" s="15">
        <f t="shared" si="6"/>
        <v>100</v>
      </c>
      <c r="T8" s="15">
        <f t="shared" si="7"/>
        <v>200</v>
      </c>
      <c r="U8" s="15">
        <f t="shared" si="8"/>
        <v>100</v>
      </c>
      <c r="V8" s="15">
        <f t="shared" si="9"/>
        <v>200</v>
      </c>
      <c r="W8" s="15"/>
      <c r="X8" s="15"/>
      <c r="Y8" s="15"/>
      <c r="Z8" s="15"/>
      <c r="AA8" s="10">
        <f>Q8*属性价值参考!C$7+官职!R8*属性价值参考!C$8</f>
        <v>12960</v>
      </c>
      <c r="AB8" s="10">
        <f>AH8*属性价值参考!C$31</f>
        <v>2332.7999999999997</v>
      </c>
      <c r="AC8" s="10">
        <f t="shared" si="1"/>
        <v>1120500</v>
      </c>
      <c r="AD8" s="10">
        <f t="shared" si="2"/>
        <v>1120.5</v>
      </c>
      <c r="AE8" s="10">
        <f>ROUND($AC$16/材料产出!$K$31*材料产出!$K21/100,0)*100</f>
        <v>614600</v>
      </c>
      <c r="AF8" s="10">
        <f>ROUND($AD$16/材料产出!$O$31*材料产出!$O21,0)</f>
        <v>615</v>
      </c>
      <c r="AG8" s="13"/>
      <c r="AH8" s="15">
        <v>9</v>
      </c>
    </row>
    <row r="9" spans="1:34" ht="16.5" x14ac:dyDescent="0.3">
      <c r="A9" s="22" t="s">
        <v>29</v>
      </c>
      <c r="B9" s="22" t="s">
        <v>29</v>
      </c>
      <c r="C9" s="22" t="s">
        <v>29</v>
      </c>
      <c r="D9" s="22"/>
      <c r="E9" s="22"/>
      <c r="F9" s="22" t="s">
        <v>94</v>
      </c>
      <c r="G9" s="22">
        <v>7</v>
      </c>
      <c r="H9" s="22"/>
      <c r="I9" s="22"/>
      <c r="J9" s="38" t="str">
        <f t="shared" si="3"/>
        <v>3#3#116|3#4#233|3#5#116|3#6#233|3#7#116|3#8#233</v>
      </c>
      <c r="K9" s="22" t="s">
        <v>95</v>
      </c>
      <c r="L9" s="37" t="str">
        <f t="shared" si="0"/>
        <v>火龙凭证657/元宝657500</v>
      </c>
      <c r="M9" s="42">
        <v>8</v>
      </c>
      <c r="N9" s="190">
        <f>材料产出!C22</f>
        <v>4.5999999999999996</v>
      </c>
      <c r="O9" s="15"/>
      <c r="P9" s="15"/>
      <c r="Q9" s="15">
        <f t="shared" si="4"/>
        <v>116</v>
      </c>
      <c r="R9" s="15">
        <f t="shared" si="5"/>
        <v>233</v>
      </c>
      <c r="S9" s="15">
        <f t="shared" si="6"/>
        <v>116</v>
      </c>
      <c r="T9" s="15">
        <f t="shared" si="7"/>
        <v>233</v>
      </c>
      <c r="U9" s="15">
        <f t="shared" si="8"/>
        <v>116</v>
      </c>
      <c r="V9" s="15">
        <f t="shared" si="9"/>
        <v>233</v>
      </c>
      <c r="W9" s="15"/>
      <c r="X9" s="15"/>
      <c r="Y9" s="15"/>
      <c r="Z9" s="15"/>
      <c r="AA9" s="10">
        <f>Q9*属性价值参考!C$7+官职!R9*属性价值参考!C$8</f>
        <v>15076.800000000001</v>
      </c>
      <c r="AB9" s="10">
        <f>AH9*属性价值参考!C$31</f>
        <v>2851.2</v>
      </c>
      <c r="AC9" s="10">
        <f t="shared" si="1"/>
        <v>1287900</v>
      </c>
      <c r="AD9" s="10">
        <f t="shared" si="2"/>
        <v>1287.9000000000001</v>
      </c>
      <c r="AE9" s="10">
        <f>ROUND($AC$16/材料产出!$K$31*材料产出!$K22/100,0)*100</f>
        <v>657500</v>
      </c>
      <c r="AF9" s="10">
        <f>ROUND($AD$16/材料产出!$O$31*材料产出!$O22,0)</f>
        <v>657</v>
      </c>
      <c r="AG9" s="13"/>
      <c r="AH9" s="15">
        <v>11</v>
      </c>
    </row>
    <row r="10" spans="1:34" ht="16.5" x14ac:dyDescent="0.3">
      <c r="A10" s="22" t="s">
        <v>29</v>
      </c>
      <c r="B10" s="22" t="s">
        <v>29</v>
      </c>
      <c r="C10" s="22" t="s">
        <v>29</v>
      </c>
      <c r="D10" s="22"/>
      <c r="E10" s="22"/>
      <c r="F10" s="22" t="s">
        <v>96</v>
      </c>
      <c r="G10" s="22">
        <v>8</v>
      </c>
      <c r="H10" s="22"/>
      <c r="I10" s="22"/>
      <c r="J10" s="38" t="str">
        <f t="shared" si="3"/>
        <v>3#3#133|3#4#266|3#5#133|3#6#266|3#7#133|3#8#266</v>
      </c>
      <c r="K10" s="22" t="s">
        <v>97</v>
      </c>
      <c r="L10" s="37" t="str">
        <f t="shared" si="0"/>
        <v>火龙凭证700/元宝700400</v>
      </c>
      <c r="M10" s="190">
        <v>9</v>
      </c>
      <c r="N10" s="190">
        <f>材料产出!C23</f>
        <v>4.9000000000000004</v>
      </c>
      <c r="O10" s="15"/>
      <c r="P10" s="15"/>
      <c r="Q10" s="15">
        <f t="shared" si="4"/>
        <v>133</v>
      </c>
      <c r="R10" s="15">
        <f t="shared" si="5"/>
        <v>266</v>
      </c>
      <c r="S10" s="15">
        <f t="shared" si="6"/>
        <v>133</v>
      </c>
      <c r="T10" s="15">
        <f t="shared" si="7"/>
        <v>266</v>
      </c>
      <c r="U10" s="15">
        <f t="shared" si="8"/>
        <v>133</v>
      </c>
      <c r="V10" s="15">
        <f t="shared" si="9"/>
        <v>266</v>
      </c>
      <c r="W10" s="15"/>
      <c r="X10" s="15"/>
      <c r="Y10" s="15"/>
      <c r="Z10" s="15"/>
      <c r="AA10" s="10">
        <f>Q10*属性价值参考!C$7+官职!R10*属性价值参考!C$8</f>
        <v>17236.800000000003</v>
      </c>
      <c r="AB10" s="10">
        <f>AH10*属性价值参考!C$31</f>
        <v>3369.6</v>
      </c>
      <c r="AC10" s="10">
        <f t="shared" si="1"/>
        <v>1458000</v>
      </c>
      <c r="AD10" s="10">
        <f t="shared" si="2"/>
        <v>1458</v>
      </c>
      <c r="AE10" s="10">
        <f>ROUND($AC$16/材料产出!$K$31*材料产出!$K23/100,0)*100</f>
        <v>700400</v>
      </c>
      <c r="AF10" s="10">
        <f>ROUND($AD$16/材料产出!$O$31*材料产出!$O23,0)</f>
        <v>700</v>
      </c>
      <c r="AG10" s="13"/>
      <c r="AH10" s="15">
        <v>13</v>
      </c>
    </row>
    <row r="11" spans="1:34" ht="16.5" x14ac:dyDescent="0.3">
      <c r="A11" s="22" t="s">
        <v>29</v>
      </c>
      <c r="B11" s="22" t="s">
        <v>29</v>
      </c>
      <c r="C11" s="22" t="s">
        <v>29</v>
      </c>
      <c r="D11" s="22"/>
      <c r="E11" s="22"/>
      <c r="F11" s="22" t="s">
        <v>98</v>
      </c>
      <c r="G11" s="22">
        <v>9</v>
      </c>
      <c r="H11" s="22"/>
      <c r="I11" s="22"/>
      <c r="J11" s="38" t="str">
        <f t="shared" si="3"/>
        <v>3#3#150|3#4#300|3#5#150|3#6#300|3#7#150|3#8#300</v>
      </c>
      <c r="K11" s="22" t="s">
        <v>99</v>
      </c>
      <c r="L11" s="37" t="str">
        <f t="shared" si="0"/>
        <v>火龙凭证743/元宝743200</v>
      </c>
      <c r="M11" s="42">
        <v>10</v>
      </c>
      <c r="N11" s="190">
        <f>材料产出!C24</f>
        <v>5.2</v>
      </c>
      <c r="O11" s="15"/>
      <c r="P11" s="15"/>
      <c r="Q11" s="15">
        <f t="shared" si="4"/>
        <v>150</v>
      </c>
      <c r="R11" s="15">
        <f t="shared" si="5"/>
        <v>300</v>
      </c>
      <c r="S11" s="15">
        <f t="shared" si="6"/>
        <v>150</v>
      </c>
      <c r="T11" s="15">
        <f t="shared" si="7"/>
        <v>300</v>
      </c>
      <c r="U11" s="15">
        <f t="shared" si="8"/>
        <v>150</v>
      </c>
      <c r="V11" s="15">
        <f t="shared" si="9"/>
        <v>300</v>
      </c>
      <c r="W11" s="15"/>
      <c r="X11" s="15"/>
      <c r="Y11" s="15"/>
      <c r="Z11" s="15"/>
      <c r="AA11" s="10">
        <f>Q11*属性价值参考!C$7+官职!R11*属性价值参考!C$8</f>
        <v>19440</v>
      </c>
      <c r="AB11" s="10">
        <f>AH11*属性价值参考!C$31</f>
        <v>3888</v>
      </c>
      <c r="AC11" s="10">
        <f t="shared" si="1"/>
        <v>1622700.0000000002</v>
      </c>
      <c r="AD11" s="10">
        <f t="shared" si="2"/>
        <v>1622.7000000000003</v>
      </c>
      <c r="AE11" s="10">
        <f>ROUND($AC$16/材料产出!$K$31*材料产出!$K24/100,0)*100</f>
        <v>743200</v>
      </c>
      <c r="AF11" s="10">
        <f>ROUND($AD$16/材料产出!$O$31*材料产出!$O24,0)</f>
        <v>743</v>
      </c>
      <c r="AG11" s="13"/>
      <c r="AH11" s="15">
        <v>15</v>
      </c>
    </row>
    <row r="12" spans="1:34" ht="16.5" x14ac:dyDescent="0.3">
      <c r="A12" s="22" t="s">
        <v>29</v>
      </c>
      <c r="B12" s="22" t="s">
        <v>29</v>
      </c>
      <c r="C12" s="22" t="s">
        <v>29</v>
      </c>
      <c r="D12" s="22"/>
      <c r="E12" s="22"/>
      <c r="F12" s="22" t="s">
        <v>100</v>
      </c>
      <c r="G12" s="22">
        <v>10</v>
      </c>
      <c r="H12" s="22"/>
      <c r="I12" s="22"/>
      <c r="J12" s="38" t="str">
        <f t="shared" si="3"/>
        <v>3#3#166|3#4#333|3#5#166|3#6#333|3#7#166|3#8#333</v>
      </c>
      <c r="K12" s="22" t="s">
        <v>101</v>
      </c>
      <c r="L12" s="37" t="str">
        <f t="shared" si="0"/>
        <v>火龙凭证786/元宝786100</v>
      </c>
      <c r="M12" s="190">
        <v>11</v>
      </c>
      <c r="N12" s="190">
        <f>材料产出!C25</f>
        <v>5.5</v>
      </c>
      <c r="O12" s="15"/>
      <c r="P12" s="15"/>
      <c r="Q12" s="15">
        <f t="shared" si="4"/>
        <v>166</v>
      </c>
      <c r="R12" s="15">
        <f t="shared" si="5"/>
        <v>333</v>
      </c>
      <c r="S12" s="15">
        <f t="shared" si="6"/>
        <v>166</v>
      </c>
      <c r="T12" s="15">
        <f t="shared" si="7"/>
        <v>333</v>
      </c>
      <c r="U12" s="15">
        <f t="shared" si="8"/>
        <v>166</v>
      </c>
      <c r="V12" s="15">
        <f t="shared" si="9"/>
        <v>333</v>
      </c>
      <c r="W12" s="15"/>
      <c r="X12" s="15"/>
      <c r="Y12" s="15"/>
      <c r="Z12" s="15"/>
      <c r="AA12" s="10">
        <f>Q12*属性价值参考!C$7+官职!R12*属性价值参考!C$8</f>
        <v>21556.800000000003</v>
      </c>
      <c r="AB12" s="10">
        <f>AH12*属性价值参考!C$31</f>
        <v>4406.3999999999996</v>
      </c>
      <c r="AC12" s="10">
        <f t="shared" si="1"/>
        <v>1806300.0000000002</v>
      </c>
      <c r="AD12" s="10">
        <f t="shared" si="2"/>
        <v>1806.3000000000002</v>
      </c>
      <c r="AE12" s="10">
        <f>ROUND($AC$16/材料产出!$K$31*材料产出!$K25/100,0)*100</f>
        <v>786100</v>
      </c>
      <c r="AF12" s="10">
        <f>ROUND($AD$16/材料产出!$O$31*材料产出!$O25,0)</f>
        <v>786</v>
      </c>
      <c r="AG12" s="13"/>
      <c r="AH12" s="15">
        <v>17</v>
      </c>
    </row>
    <row r="13" spans="1:34" ht="16.5" x14ac:dyDescent="0.3">
      <c r="A13" s="22" t="s">
        <v>29</v>
      </c>
      <c r="B13" s="22" t="s">
        <v>29</v>
      </c>
      <c r="C13" s="22" t="s">
        <v>29</v>
      </c>
      <c r="D13" s="22"/>
      <c r="E13" s="22"/>
      <c r="F13" s="22" t="s">
        <v>102</v>
      </c>
      <c r="G13" s="22">
        <v>11</v>
      </c>
      <c r="H13" s="22"/>
      <c r="I13" s="22"/>
      <c r="J13" s="38" t="str">
        <f t="shared" si="3"/>
        <v>3#3#183|3#4#366|3#5#183|3#6#366|3#7#183|3#8#366</v>
      </c>
      <c r="K13" s="22" t="s">
        <v>103</v>
      </c>
      <c r="L13" s="37" t="str">
        <f t="shared" si="0"/>
        <v>火龙凭证1658/元宝1658000</v>
      </c>
      <c r="M13" s="42">
        <v>12</v>
      </c>
      <c r="N13" s="190">
        <f>材料产出!C26</f>
        <v>5.8</v>
      </c>
      <c r="O13" s="15"/>
      <c r="P13" s="15"/>
      <c r="Q13" s="15">
        <f t="shared" si="4"/>
        <v>183</v>
      </c>
      <c r="R13" s="15">
        <f t="shared" si="5"/>
        <v>366</v>
      </c>
      <c r="S13" s="15">
        <f t="shared" si="6"/>
        <v>183</v>
      </c>
      <c r="T13" s="15">
        <f t="shared" si="7"/>
        <v>366</v>
      </c>
      <c r="U13" s="15">
        <f t="shared" si="8"/>
        <v>183</v>
      </c>
      <c r="V13" s="15">
        <f t="shared" si="9"/>
        <v>366</v>
      </c>
      <c r="W13" s="15"/>
      <c r="X13" s="15"/>
      <c r="Y13" s="15"/>
      <c r="Z13" s="15"/>
      <c r="AA13" s="10">
        <f>Q13*属性价值参考!C$7+官职!R13*属性价值参考!C$8</f>
        <v>23716.800000000003</v>
      </c>
      <c r="AB13" s="10">
        <f>AH13*属性价值参考!C$31</f>
        <v>5184</v>
      </c>
      <c r="AC13" s="10">
        <f t="shared" si="1"/>
        <v>1944000</v>
      </c>
      <c r="AD13" s="10">
        <f t="shared" si="2"/>
        <v>1944</v>
      </c>
      <c r="AE13" s="10">
        <f>ROUND($AC$16/材料产出!$K$31*材料产出!$K26/100,0)*100</f>
        <v>1658000</v>
      </c>
      <c r="AF13" s="10">
        <f>ROUND($AD$16/材料产出!$O$31*材料产出!$O26,0)</f>
        <v>1658</v>
      </c>
      <c r="AG13" s="13"/>
      <c r="AH13" s="15">
        <v>20</v>
      </c>
    </row>
    <row r="14" spans="1:34" ht="16.5" x14ac:dyDescent="0.3">
      <c r="A14" s="22" t="s">
        <v>29</v>
      </c>
      <c r="B14" s="35" t="s">
        <v>29</v>
      </c>
      <c r="C14" s="35" t="s">
        <v>104</v>
      </c>
      <c r="D14" s="35"/>
      <c r="E14" s="35"/>
      <c r="F14" s="35" t="s">
        <v>105</v>
      </c>
      <c r="G14" s="35">
        <v>12</v>
      </c>
      <c r="H14" s="35"/>
      <c r="I14" s="35"/>
      <c r="J14" s="36" t="str">
        <f t="shared" si="3"/>
        <v>3#3#200|3#4#400|3#5#200|3#6#400|3#7#200|3#8#400</v>
      </c>
      <c r="K14" s="35" t="s">
        <v>103</v>
      </c>
      <c r="L14" s="37" t="str">
        <f t="shared" si="0"/>
        <v>火龙凭证1744/元宝1743800</v>
      </c>
      <c r="M14" s="190">
        <v>13</v>
      </c>
      <c r="N14" s="190">
        <f>材料产出!C27</f>
        <v>6.1</v>
      </c>
      <c r="O14" s="15"/>
      <c r="P14" s="15"/>
      <c r="Q14" s="15">
        <f t="shared" si="4"/>
        <v>200</v>
      </c>
      <c r="R14" s="15">
        <f t="shared" si="5"/>
        <v>400</v>
      </c>
      <c r="S14" s="15">
        <f t="shared" si="6"/>
        <v>200</v>
      </c>
      <c r="T14" s="15">
        <f t="shared" si="7"/>
        <v>400</v>
      </c>
      <c r="U14" s="15">
        <f t="shared" si="8"/>
        <v>200</v>
      </c>
      <c r="V14" s="15">
        <f t="shared" si="9"/>
        <v>400</v>
      </c>
      <c r="W14" s="15"/>
      <c r="X14" s="15"/>
      <c r="Y14" s="15"/>
      <c r="Z14" s="15"/>
      <c r="AA14" s="10">
        <f>Q14*属性价值参考!C$7+官职!R14*属性价值参考!C$8</f>
        <v>25920</v>
      </c>
      <c r="AB14" s="10">
        <f>AH14*属性价值参考!C$31</f>
        <v>5184</v>
      </c>
      <c r="AC14" s="10">
        <f t="shared" si="1"/>
        <v>2076300.0000000002</v>
      </c>
      <c r="AD14" s="10">
        <f t="shared" si="2"/>
        <v>2076.3000000000002</v>
      </c>
      <c r="AE14" s="10">
        <f>ROUND($AC$16/材料产出!$K$31*材料产出!$K27/100,0)*100</f>
        <v>1743800</v>
      </c>
      <c r="AF14" s="10">
        <f>ROUND($AD$16/材料产出!$O$31*材料产出!$O27,0)</f>
        <v>1744</v>
      </c>
      <c r="AG14" s="13"/>
      <c r="AH14" s="15">
        <v>20</v>
      </c>
    </row>
    <row r="15" spans="1:34" ht="16.5" x14ac:dyDescent="0.3">
      <c r="A15" s="22" t="s">
        <v>29</v>
      </c>
      <c r="B15" s="35" t="s">
        <v>29</v>
      </c>
      <c r="C15" s="35" t="s">
        <v>104</v>
      </c>
      <c r="D15" s="35"/>
      <c r="E15" s="35"/>
      <c r="F15" s="35" t="s">
        <v>106</v>
      </c>
      <c r="G15" s="35">
        <v>13</v>
      </c>
      <c r="H15" s="35"/>
      <c r="I15" s="35"/>
      <c r="J15" s="36" t="str">
        <f t="shared" si="3"/>
        <v>3#3#216|3#4#433|3#5#216|3#6#433|3#7#216|3#8#433</v>
      </c>
      <c r="K15" s="35" t="s">
        <v>103</v>
      </c>
      <c r="L15" s="37" t="str">
        <f t="shared" si="0"/>
        <v>火龙凭证1830/元宝1829500</v>
      </c>
      <c r="M15" s="42">
        <v>14</v>
      </c>
      <c r="N15" s="190">
        <f>材料产出!C28</f>
        <v>6.4</v>
      </c>
      <c r="O15" s="15"/>
      <c r="P15" s="15"/>
      <c r="Q15" s="15">
        <f t="shared" si="4"/>
        <v>216</v>
      </c>
      <c r="R15" s="15">
        <f t="shared" si="5"/>
        <v>433</v>
      </c>
      <c r="S15" s="15">
        <f t="shared" si="6"/>
        <v>216</v>
      </c>
      <c r="T15" s="15">
        <f t="shared" si="7"/>
        <v>433</v>
      </c>
      <c r="U15" s="15">
        <f t="shared" si="8"/>
        <v>216</v>
      </c>
      <c r="V15" s="15">
        <f t="shared" si="9"/>
        <v>433</v>
      </c>
      <c r="W15" s="15"/>
      <c r="X15" s="15"/>
      <c r="Y15" s="15"/>
      <c r="Z15" s="15"/>
      <c r="AA15" s="10">
        <f>Q15*属性价值参考!C$7+官职!R15*属性价值参考!C$8</f>
        <v>28036.800000000003</v>
      </c>
      <c r="AB15" s="10">
        <f>AH15*属性价值参考!C$31</f>
        <v>5184</v>
      </c>
      <c r="AC15" s="10">
        <f t="shared" si="1"/>
        <v>2211300</v>
      </c>
      <c r="AD15" s="10">
        <f t="shared" si="2"/>
        <v>2211.3000000000002</v>
      </c>
      <c r="AE15" s="10">
        <f>ROUND($AC$16/材料产出!$K$31*材料产出!$K28/100,0)*100</f>
        <v>1829500</v>
      </c>
      <c r="AF15" s="10">
        <f>ROUND($AD$16/材料产出!$O$31*材料产出!$O28,0)</f>
        <v>1830</v>
      </c>
      <c r="AG15" s="13"/>
      <c r="AH15" s="15">
        <v>20</v>
      </c>
    </row>
    <row r="16" spans="1:34" ht="16.5" x14ac:dyDescent="0.3">
      <c r="A16" s="22" t="s">
        <v>29</v>
      </c>
      <c r="B16" s="35" t="s">
        <v>29</v>
      </c>
      <c r="C16" s="35" t="s">
        <v>104</v>
      </c>
      <c r="D16" s="35"/>
      <c r="E16" s="35"/>
      <c r="F16" s="35" t="s">
        <v>107</v>
      </c>
      <c r="G16" s="35">
        <v>14</v>
      </c>
      <c r="H16" s="35"/>
      <c r="I16" s="35"/>
      <c r="J16" s="36" t="str">
        <f t="shared" si="3"/>
        <v>3#3#233|3#4#466|3#5#233|3#6#466|3#7#233|3#8#466</v>
      </c>
      <c r="K16" s="35" t="s">
        <v>103</v>
      </c>
      <c r="L16" s="37" t="str">
        <f t="shared" si="0"/>
        <v>火龙凭证1915/元宝1915300</v>
      </c>
      <c r="M16" s="190">
        <v>15</v>
      </c>
      <c r="N16" s="190">
        <f>材料产出!C29</f>
        <v>6.7</v>
      </c>
      <c r="O16" s="15"/>
      <c r="P16" s="15"/>
      <c r="Q16" s="15">
        <f>INT(0.5*R16)</f>
        <v>233</v>
      </c>
      <c r="R16" s="15">
        <f>INT(M15/M$16*R$17)</f>
        <v>466</v>
      </c>
      <c r="S16" s="15">
        <f>INT(0.5*T16)</f>
        <v>233</v>
      </c>
      <c r="T16" s="15">
        <f>INT(M15/M$16*T$17)</f>
        <v>466</v>
      </c>
      <c r="U16" s="15">
        <f t="shared" si="8"/>
        <v>233</v>
      </c>
      <c r="V16" s="15">
        <f>INT(M15/M$16*V$17)</f>
        <v>466</v>
      </c>
      <c r="W16" s="15"/>
      <c r="X16" s="15"/>
      <c r="Y16" s="15"/>
      <c r="Z16" s="15"/>
      <c r="AA16" s="10">
        <f>Q16*属性价值参考!C$7+官职!R16*属性价值参考!C$8</f>
        <v>30196.800000000003</v>
      </c>
      <c r="AB16" s="10">
        <f>AH16*属性价值参考!C$31</f>
        <v>5184</v>
      </c>
      <c r="AC16" s="10">
        <f t="shared" si="1"/>
        <v>2349000</v>
      </c>
      <c r="AD16" s="10">
        <f t="shared" si="2"/>
        <v>2349</v>
      </c>
      <c r="AE16" s="10">
        <f>ROUND($AC$16/材料产出!$K$31*材料产出!$K29/100,0)*100</f>
        <v>1915300</v>
      </c>
      <c r="AF16" s="10">
        <f>ROUND($AD$16/材料产出!$O$31*材料产出!$O29,0)</f>
        <v>1915</v>
      </c>
      <c r="AG16" s="13"/>
      <c r="AH16" s="15">
        <v>20</v>
      </c>
    </row>
    <row r="17" spans="1:34" ht="16.5" x14ac:dyDescent="0.3">
      <c r="A17" s="22" t="s">
        <v>29</v>
      </c>
      <c r="B17" s="35" t="s">
        <v>29</v>
      </c>
      <c r="C17" s="35" t="s">
        <v>104</v>
      </c>
      <c r="D17" s="35"/>
      <c r="E17" s="35"/>
      <c r="F17" s="35" t="s">
        <v>108</v>
      </c>
      <c r="G17" s="35">
        <v>15</v>
      </c>
      <c r="H17" s="35"/>
      <c r="I17" s="35"/>
      <c r="J17" s="36" t="str">
        <f>"3#3#"&amp;INT(Q17)&amp;"|"&amp;"3#4#"&amp;INT(R17)&amp;"|"&amp;"3#5#"&amp;INT(S17)&amp;"|"&amp;"3#6#"&amp;INT(T17)&amp;"|"&amp;"3#7#"&amp;INT(U17)&amp;"|"&amp;"3#8#"&amp;INT(V17)</f>
        <v>3#3#250|3#4#500|3#5#250|3#6#500|3#7#250|3#8#500</v>
      </c>
      <c r="K17" s="35" t="s">
        <v>103</v>
      </c>
      <c r="L17" s="35"/>
      <c r="M17" s="42">
        <v>16</v>
      </c>
      <c r="N17" s="190"/>
      <c r="O17" s="15"/>
      <c r="P17" s="15"/>
      <c r="Q17" s="15">
        <f>INT(0.5*R17)</f>
        <v>250</v>
      </c>
      <c r="R17" s="15">
        <f>养成属性分配!O31</f>
        <v>500</v>
      </c>
      <c r="S17" s="15">
        <f>INT(0.5*T17)</f>
        <v>250</v>
      </c>
      <c r="T17" s="15">
        <f>养成属性分配!O31</f>
        <v>500</v>
      </c>
      <c r="U17" s="15">
        <f>INT(0.5*V17)</f>
        <v>250</v>
      </c>
      <c r="V17" s="15">
        <f>养成属性分配!O31</f>
        <v>500</v>
      </c>
      <c r="W17" s="15"/>
      <c r="X17" s="15"/>
      <c r="Y17" s="15"/>
      <c r="Z17" s="15"/>
      <c r="AA17" s="10">
        <f>Q17*属性价值参考!C$7+官职!R17*属性价值参考!C$8</f>
        <v>32400</v>
      </c>
      <c r="AB17" s="10">
        <f>AH17*属性价值参考!C$31</f>
        <v>5184</v>
      </c>
      <c r="AG17" s="13"/>
      <c r="AH17" s="15">
        <v>20</v>
      </c>
    </row>
  </sheetData>
  <phoneticPr fontId="1" type="noConversion"/>
  <pageMargins left="0.7" right="0.7" top="0.75" bottom="0.75" header="0.3" footer="0.3"/>
  <ignoredErrors>
    <ignoredError sqref="S3:S15 R17:V17 U16 U3:U15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E23"/>
  <sheetViews>
    <sheetView topLeftCell="L1" workbookViewId="0">
      <selection activeCell="U25" sqref="U25"/>
    </sheetView>
  </sheetViews>
  <sheetFormatPr defaultRowHeight="14.25" x14ac:dyDescent="0.2"/>
  <cols>
    <col min="2" max="3" width="0" hidden="1" customWidth="1"/>
    <col min="5" max="5" width="0" hidden="1" customWidth="1"/>
    <col min="6" max="6" width="39" customWidth="1"/>
    <col min="7" max="7" width="40.125" customWidth="1"/>
    <col min="8" max="8" width="39.375" customWidth="1"/>
    <col min="10" max="10" width="48.375" customWidth="1"/>
    <col min="11" max="12" width="9.75" bestFit="1" customWidth="1"/>
    <col min="13" max="24" width="9" style="94"/>
    <col min="25" max="25" width="11.875" bestFit="1" customWidth="1"/>
    <col min="26" max="26" width="9.625" bestFit="1" customWidth="1"/>
    <col min="27" max="28" width="14.125" bestFit="1" customWidth="1"/>
    <col min="29" max="29" width="16.375" bestFit="1" customWidth="1"/>
    <col min="30" max="31" width="20.75" bestFit="1" customWidth="1"/>
  </cols>
  <sheetData>
    <row r="1" spans="1:31" s="31" customFormat="1" ht="18" x14ac:dyDescent="0.2">
      <c r="A1" s="21" t="s">
        <v>51</v>
      </c>
      <c r="B1" s="21" t="s">
        <v>52</v>
      </c>
      <c r="C1" s="21" t="s">
        <v>53</v>
      </c>
      <c r="D1" s="21" t="s">
        <v>54</v>
      </c>
      <c r="E1" s="21" t="s">
        <v>55</v>
      </c>
      <c r="F1" s="265" t="s">
        <v>77</v>
      </c>
      <c r="G1" s="265"/>
      <c r="H1" s="265"/>
      <c r="I1" s="21" t="s">
        <v>61</v>
      </c>
      <c r="J1" s="21" t="s">
        <v>62</v>
      </c>
      <c r="K1" s="21" t="s">
        <v>55</v>
      </c>
      <c r="L1" s="21" t="s">
        <v>3798</v>
      </c>
      <c r="M1" s="63" t="s">
        <v>37</v>
      </c>
      <c r="N1" s="63" t="s">
        <v>38</v>
      </c>
      <c r="O1" s="63" t="s">
        <v>68</v>
      </c>
      <c r="P1" s="63" t="s">
        <v>69</v>
      </c>
      <c r="Q1" s="63" t="s">
        <v>70</v>
      </c>
      <c r="R1" s="63" t="s">
        <v>71</v>
      </c>
      <c r="S1" s="63" t="s">
        <v>67</v>
      </c>
      <c r="T1" s="63" t="s">
        <v>72</v>
      </c>
      <c r="U1" s="63" t="s">
        <v>73</v>
      </c>
      <c r="V1" s="63" t="s">
        <v>74</v>
      </c>
      <c r="W1" s="63" t="s">
        <v>75</v>
      </c>
      <c r="X1" s="63" t="s">
        <v>76</v>
      </c>
      <c r="Y1" s="63" t="s">
        <v>3758</v>
      </c>
      <c r="Z1" s="63" t="s">
        <v>3777</v>
      </c>
      <c r="AA1" s="63" t="s">
        <v>3778</v>
      </c>
      <c r="AB1" s="63" t="s">
        <v>3780</v>
      </c>
      <c r="AC1" s="63" t="s">
        <v>3799</v>
      </c>
      <c r="AD1" s="63" t="s">
        <v>3800</v>
      </c>
      <c r="AE1" s="63" t="s">
        <v>3802</v>
      </c>
    </row>
    <row r="2" spans="1:31" ht="16.5" x14ac:dyDescent="0.3">
      <c r="A2" s="22" t="s">
        <v>31</v>
      </c>
      <c r="B2" s="22"/>
      <c r="C2" s="22"/>
      <c r="D2" s="23" t="s">
        <v>142</v>
      </c>
      <c r="E2" s="22"/>
      <c r="F2" s="264"/>
      <c r="G2" s="264"/>
      <c r="H2" s="264"/>
      <c r="I2" s="22"/>
      <c r="J2" s="27" t="str">
        <f>"40/火龙凭证"&amp;AD2&amp;"/元宝"&amp;AC2&amp;"/等级1"</f>
        <v>40/火龙凭证5/元宝5300/等级1</v>
      </c>
      <c r="K2" s="27">
        <v>0</v>
      </c>
      <c r="L2" s="27">
        <f>材料产出!C4</f>
        <v>0.5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0">
        <f>M2*属性价值参考!C$5+转生!N2*属性价值参考!C$6+转生!O2*属性价值参考!C$7+转生!P2*属性价值参考!C$8</f>
        <v>0</v>
      </c>
      <c r="Z2" s="10">
        <f t="shared" ref="Z2:Z22" si="0">Y2/280*10000</f>
        <v>0</v>
      </c>
      <c r="AA2" s="10">
        <f t="shared" ref="AA2:AA22" si="1">Y2/280*10</f>
        <v>0</v>
      </c>
      <c r="AB2" s="10">
        <f t="shared" ref="AB2:AB22" si="2">Y2/280*1</f>
        <v>0</v>
      </c>
      <c r="AC2" s="10">
        <f>ROUND($Z$23/材料产出!$K$31*材料产出!J10,0)</f>
        <v>5300</v>
      </c>
      <c r="AD2" s="10">
        <f>ROUND($AA$23/材料产出!$O$31*材料产出!N10,0)</f>
        <v>5</v>
      </c>
      <c r="AE2" s="10"/>
    </row>
    <row r="3" spans="1:31" ht="16.5" x14ac:dyDescent="0.3">
      <c r="A3" s="22" t="s">
        <v>31</v>
      </c>
      <c r="B3" s="22"/>
      <c r="C3" s="22"/>
      <c r="D3" s="23" t="s">
        <v>143</v>
      </c>
      <c r="E3" s="22"/>
      <c r="F3" s="264" t="str">
        <f t="shared" ref="F3:F11" si="3">"3#1#"&amp;0.2*M3&amp;"|"&amp;"3#2#"&amp;N3&amp;"|"&amp;"3#3#"&amp;O3&amp;"|"&amp;"3#4#"&amp;P3&amp;"|"&amp;"3#5#"&amp;Q3&amp;"|"&amp;"3#6#"&amp;R3&amp;"|"&amp;"3#7#"&amp;S3&amp;"|"&amp;"3#8#"&amp;T3</f>
        <v>3#1#40|3#2#400|3#3#5|3#4#10|3#5#5|3#6#10|3#7#5|3#8#10</v>
      </c>
      <c r="G3" s="264"/>
      <c r="H3" s="264"/>
      <c r="I3" s="22"/>
      <c r="J3" s="27" t="str">
        <f>"55/火龙凭证"&amp;AD3&amp;"/元宝"&amp;AC3&amp;"/等级2"</f>
        <v>55/火龙凭证10/元宝10356/等级2</v>
      </c>
      <c r="K3" s="27">
        <v>1</v>
      </c>
      <c r="L3" s="27">
        <f>材料产出!C7</f>
        <v>0.8</v>
      </c>
      <c r="M3" s="15">
        <f>INT(2/100*M23)</f>
        <v>200</v>
      </c>
      <c r="N3" s="15">
        <f t="shared" ref="N3:T3" si="4">INT(2/100*N23)</f>
        <v>400</v>
      </c>
      <c r="O3" s="15">
        <f t="shared" si="4"/>
        <v>5</v>
      </c>
      <c r="P3" s="15">
        <f t="shared" si="4"/>
        <v>10</v>
      </c>
      <c r="Q3" s="15">
        <f t="shared" si="4"/>
        <v>5</v>
      </c>
      <c r="R3" s="15">
        <f t="shared" si="4"/>
        <v>10</v>
      </c>
      <c r="S3" s="15">
        <f t="shared" si="4"/>
        <v>5</v>
      </c>
      <c r="T3" s="15">
        <f t="shared" si="4"/>
        <v>10</v>
      </c>
      <c r="U3" s="15"/>
      <c r="V3" s="15"/>
      <c r="W3" s="15"/>
      <c r="X3" s="15"/>
      <c r="Y3" s="10">
        <f>M3*属性价值参考!C$5+转生!N3*属性价值参考!C$6+转生!O3*属性价值参考!C$7+转生!P3*属性价值参考!C$8</f>
        <v>2049.6</v>
      </c>
      <c r="Z3" s="10">
        <f t="shared" si="0"/>
        <v>73200</v>
      </c>
      <c r="AA3" s="10">
        <f t="shared" si="1"/>
        <v>73.199999999999989</v>
      </c>
      <c r="AB3" s="10">
        <f t="shared" si="2"/>
        <v>7.3199999999999994</v>
      </c>
      <c r="AC3" s="10">
        <f>ROUND($Z$23/材料产出!$K$31*材料产出!J11,0)</f>
        <v>10356</v>
      </c>
      <c r="AD3" s="10">
        <f>ROUND($AA$23/材料产出!$O$31*材料产出!N11,0)</f>
        <v>10</v>
      </c>
      <c r="AE3" s="10"/>
    </row>
    <row r="4" spans="1:31" ht="16.5" x14ac:dyDescent="0.3">
      <c r="A4" s="22" t="s">
        <v>31</v>
      </c>
      <c r="B4" s="22"/>
      <c r="C4" s="22"/>
      <c r="D4" s="23" t="s">
        <v>144</v>
      </c>
      <c r="E4" s="22"/>
      <c r="F4" s="264" t="str">
        <f t="shared" si="3"/>
        <v>3#1#90|3#2#900|3#3#11|3#4#22|3#5#11|3#6#22|3#7#11|3#8#22</v>
      </c>
      <c r="G4" s="264"/>
      <c r="H4" s="264"/>
      <c r="I4" s="22"/>
      <c r="J4" s="27" t="str">
        <f>"70/火龙凭证"&amp;AD4&amp;"/元宝"&amp;AC4&amp;"/等级3"</f>
        <v>70/火龙凭证11/元宝11402/等级3</v>
      </c>
      <c r="K4" s="27">
        <v>2</v>
      </c>
      <c r="L4" s="27">
        <f>材料产出!C9</f>
        <v>1</v>
      </c>
      <c r="M4" s="15">
        <f>INT(4.5/100*M23)</f>
        <v>450</v>
      </c>
      <c r="N4" s="15">
        <f t="shared" ref="N4:T4" si="5">INT(4.5/100*N23)</f>
        <v>900</v>
      </c>
      <c r="O4" s="15">
        <f t="shared" si="5"/>
        <v>11</v>
      </c>
      <c r="P4" s="15">
        <f t="shared" si="5"/>
        <v>22</v>
      </c>
      <c r="Q4" s="15">
        <f t="shared" si="5"/>
        <v>11</v>
      </c>
      <c r="R4" s="15">
        <f t="shared" si="5"/>
        <v>22</v>
      </c>
      <c r="S4" s="15">
        <f t="shared" si="5"/>
        <v>11</v>
      </c>
      <c r="T4" s="15">
        <f t="shared" si="5"/>
        <v>22</v>
      </c>
      <c r="U4" s="15"/>
      <c r="V4" s="15"/>
      <c r="W4" s="15"/>
      <c r="X4" s="15"/>
      <c r="Y4" s="10">
        <f>M4*属性价值参考!C$5+转生!N4*属性价值参考!C$6+转生!O4*属性价值参考!C$7+转生!P4*属性价值参考!C$8</f>
        <v>4579.2000000000007</v>
      </c>
      <c r="Z4" s="10">
        <f t="shared" si="0"/>
        <v>163542.85714285716</v>
      </c>
      <c r="AA4" s="10">
        <f t="shared" si="1"/>
        <v>163.54285714285714</v>
      </c>
      <c r="AB4" s="10">
        <f t="shared" si="2"/>
        <v>16.354285714285716</v>
      </c>
      <c r="AC4" s="10">
        <f>ROUND($Z$23/材料产出!$K$31*材料产出!J12,0)</f>
        <v>11402</v>
      </c>
      <c r="AD4" s="10">
        <f>ROUND($AA$23/材料产出!$O$31*材料产出!N12,0)</f>
        <v>11</v>
      </c>
      <c r="AE4" s="10"/>
    </row>
    <row r="5" spans="1:31" ht="16.5" x14ac:dyDescent="0.3">
      <c r="A5" s="22" t="s">
        <v>31</v>
      </c>
      <c r="B5" s="22"/>
      <c r="C5" s="22"/>
      <c r="D5" s="23" t="s">
        <v>145</v>
      </c>
      <c r="E5" s="22"/>
      <c r="F5" s="264" t="str">
        <f t="shared" si="3"/>
        <v>3#1#140|3#2#1400|3#3#17|3#4#35|3#5#17|3#6#35|3#7#17|3#8#35</v>
      </c>
      <c r="G5" s="264"/>
      <c r="H5" s="264"/>
      <c r="I5" s="22"/>
      <c r="J5" s="27" t="str">
        <f>"90/火龙凭证"&amp;AD5&amp;"/元宝"&amp;AC5&amp;"/等级4"</f>
        <v>90/火龙凭证14/元宝14030/等级4</v>
      </c>
      <c r="K5" s="27">
        <v>3</v>
      </c>
      <c r="L5" s="27">
        <f>材料产出!C11</f>
        <v>1.2</v>
      </c>
      <c r="M5" s="15">
        <f>INT(7/100*M23)</f>
        <v>700</v>
      </c>
      <c r="N5" s="15">
        <f t="shared" ref="N5:T5" si="6">INT(7/100*N23)</f>
        <v>1400</v>
      </c>
      <c r="O5" s="15">
        <f t="shared" si="6"/>
        <v>17</v>
      </c>
      <c r="P5" s="15">
        <f t="shared" si="6"/>
        <v>35</v>
      </c>
      <c r="Q5" s="15">
        <f t="shared" si="6"/>
        <v>17</v>
      </c>
      <c r="R5" s="15">
        <f t="shared" si="6"/>
        <v>35</v>
      </c>
      <c r="S5" s="15">
        <f t="shared" si="6"/>
        <v>17</v>
      </c>
      <c r="T5" s="15">
        <f t="shared" si="6"/>
        <v>35</v>
      </c>
      <c r="U5" s="15"/>
      <c r="V5" s="15"/>
      <c r="W5" s="15"/>
      <c r="X5" s="15"/>
      <c r="Y5" s="10">
        <f>M5*属性价值参考!C$5+转生!N5*属性价值参考!C$6+转生!O5*属性价值参考!C$7+转生!P5*属性价值参考!C$8</f>
        <v>7152</v>
      </c>
      <c r="Z5" s="10">
        <f t="shared" si="0"/>
        <v>255428.57142857145</v>
      </c>
      <c r="AA5" s="10">
        <f t="shared" si="1"/>
        <v>255.42857142857144</v>
      </c>
      <c r="AB5" s="10">
        <f t="shared" si="2"/>
        <v>25.542857142857144</v>
      </c>
      <c r="AC5" s="10">
        <f>ROUND($Z$23/材料产出!$K$31*材料产出!J13,0)</f>
        <v>14030</v>
      </c>
      <c r="AD5" s="10">
        <f>ROUND($AA$23/材料产出!$O$31*材料产出!N13,0)</f>
        <v>14</v>
      </c>
      <c r="AE5" s="10"/>
    </row>
    <row r="6" spans="1:31" ht="16.5" x14ac:dyDescent="0.3">
      <c r="A6" s="22" t="s">
        <v>31</v>
      </c>
      <c r="B6" s="22"/>
      <c r="C6" s="22"/>
      <c r="D6" s="23" t="s">
        <v>146</v>
      </c>
      <c r="E6" s="22"/>
      <c r="F6" s="264" t="str">
        <f t="shared" si="3"/>
        <v>3#1#200|3#2#2000|3#3#25|3#4#50|3#5#25|3#6#50|3#7#25|3#8#50</v>
      </c>
      <c r="G6" s="264"/>
      <c r="H6" s="264"/>
      <c r="I6" s="22"/>
      <c r="J6" s="27" t="str">
        <f>"100/火龙凭证"&amp;AD6&amp;"/元宝"&amp;AC6&amp;"/等级6"</f>
        <v>100/火龙凭证22/元宝22270/等级6</v>
      </c>
      <c r="K6" s="27">
        <v>4</v>
      </c>
      <c r="L6" s="27">
        <f>材料产出!C13</f>
        <v>1.5</v>
      </c>
      <c r="M6" s="15">
        <f>INT(10/100*M23)</f>
        <v>1000</v>
      </c>
      <c r="N6" s="15">
        <f t="shared" ref="N6:T6" si="7">INT(10/100*N23)</f>
        <v>2000</v>
      </c>
      <c r="O6" s="15">
        <f t="shared" si="7"/>
        <v>25</v>
      </c>
      <c r="P6" s="15">
        <f t="shared" si="7"/>
        <v>50</v>
      </c>
      <c r="Q6" s="15">
        <f t="shared" si="7"/>
        <v>25</v>
      </c>
      <c r="R6" s="15">
        <f t="shared" si="7"/>
        <v>50</v>
      </c>
      <c r="S6" s="15">
        <f t="shared" si="7"/>
        <v>25</v>
      </c>
      <c r="T6" s="15">
        <f t="shared" si="7"/>
        <v>50</v>
      </c>
      <c r="U6" s="15"/>
      <c r="V6" s="15"/>
      <c r="W6" s="15"/>
      <c r="X6" s="15"/>
      <c r="Y6" s="10">
        <f>M6*属性价值参考!C$5+转生!N6*属性价值参考!C$6+转生!O6*属性价值参考!C$7+转生!P6*属性价值参考!C$8</f>
        <v>10248</v>
      </c>
      <c r="Z6" s="10">
        <f t="shared" si="0"/>
        <v>366000</v>
      </c>
      <c r="AA6" s="10">
        <f t="shared" si="1"/>
        <v>366</v>
      </c>
      <c r="AB6" s="10">
        <f t="shared" si="2"/>
        <v>36.6</v>
      </c>
      <c r="AC6" s="10">
        <f>ROUND($Z$23/材料产出!$K$31*材料产出!J14,0)</f>
        <v>22270</v>
      </c>
      <c r="AD6" s="10">
        <f>ROUND($AA$23/材料产出!$O$31*材料产出!N14,0)</f>
        <v>22</v>
      </c>
      <c r="AE6" s="10"/>
    </row>
    <row r="7" spans="1:31" ht="16.5" x14ac:dyDescent="0.3">
      <c r="A7" s="22" t="s">
        <v>31</v>
      </c>
      <c r="B7" s="22"/>
      <c r="C7" s="22"/>
      <c r="D7" s="23" t="s">
        <v>147</v>
      </c>
      <c r="E7" s="22"/>
      <c r="F7" s="264" t="str">
        <f t="shared" si="3"/>
        <v>3#1#300|3#2#3000|3#3#37|3#4#75|3#5#37|3#6#75|3#7#37|3#8#75</v>
      </c>
      <c r="G7" s="264"/>
      <c r="H7" s="264"/>
      <c r="I7" s="22"/>
      <c r="J7" s="27" t="str">
        <f>"110/火龙凭证"&amp;AD7&amp;"/元宝"&amp;AC7&amp;"/等级8"</f>
        <v>110/火龙凭证98/元宝97989/等级8</v>
      </c>
      <c r="K7" s="27">
        <v>5</v>
      </c>
      <c r="L7" s="27">
        <f>材料产出!C15</f>
        <v>2.1</v>
      </c>
      <c r="M7" s="15">
        <f>INT(15/100*M23)</f>
        <v>1500</v>
      </c>
      <c r="N7" s="15">
        <f t="shared" ref="N7:T7" si="8">INT(15/100*N23)</f>
        <v>3000</v>
      </c>
      <c r="O7" s="15">
        <f t="shared" si="8"/>
        <v>37</v>
      </c>
      <c r="P7" s="15">
        <f t="shared" si="8"/>
        <v>75</v>
      </c>
      <c r="Q7" s="15">
        <f t="shared" si="8"/>
        <v>37</v>
      </c>
      <c r="R7" s="15">
        <f t="shared" si="8"/>
        <v>75</v>
      </c>
      <c r="S7" s="15">
        <f t="shared" si="8"/>
        <v>37</v>
      </c>
      <c r="T7" s="15">
        <f t="shared" si="8"/>
        <v>75</v>
      </c>
      <c r="U7" s="15"/>
      <c r="V7" s="15"/>
      <c r="W7" s="15"/>
      <c r="X7" s="15"/>
      <c r="Y7" s="10">
        <f>M7*属性价值参考!C$5+转生!N7*属性价值参考!C$6+转生!O7*属性价值参考!C$7+转生!P7*属性价值参考!C$8</f>
        <v>15350.4</v>
      </c>
      <c r="Z7" s="10">
        <f t="shared" si="0"/>
        <v>548228.57142857136</v>
      </c>
      <c r="AA7" s="10">
        <f t="shared" si="1"/>
        <v>548.2285714285714</v>
      </c>
      <c r="AB7" s="10">
        <f t="shared" si="2"/>
        <v>54.822857142857139</v>
      </c>
      <c r="AC7" s="10">
        <f>ROUND($Z$23/材料产出!$K$31*材料产出!J15,0)</f>
        <v>97989</v>
      </c>
      <c r="AD7" s="10">
        <f>ROUND($AA$23/材料产出!$O$31*材料产出!N15,0)</f>
        <v>98</v>
      </c>
      <c r="AE7" s="10"/>
    </row>
    <row r="8" spans="1:31" ht="16.5" x14ac:dyDescent="0.3">
      <c r="A8" s="22" t="s">
        <v>31</v>
      </c>
      <c r="B8" s="22"/>
      <c r="C8" s="22"/>
      <c r="D8" s="23" t="s">
        <v>148</v>
      </c>
      <c r="E8" s="22"/>
      <c r="F8" s="264" t="str">
        <f t="shared" si="3"/>
        <v>3#1#400|3#2#4000|3#3#50|3#4#100|3#5#50|3#6#100|3#7#50|3#8#100</v>
      </c>
      <c r="G8" s="264"/>
      <c r="H8" s="264"/>
      <c r="I8" s="22"/>
      <c r="J8" s="27" t="str">
        <f>"120/火龙凭证"&amp;AD8&amp;"/元宝"&amp;AC8&amp;"/等级10"</f>
        <v>120/火龙凭证111/元宝111351/等级10</v>
      </c>
      <c r="K8" s="27">
        <v>6</v>
      </c>
      <c r="L8" s="27">
        <f>材料产出!C17</f>
        <v>3</v>
      </c>
      <c r="M8" s="15">
        <f>INT(20/100*M23)</f>
        <v>2000</v>
      </c>
      <c r="N8" s="15">
        <f t="shared" ref="N8:T8" si="9">INT(20/100*N23)</f>
        <v>4000</v>
      </c>
      <c r="O8" s="15">
        <f t="shared" si="9"/>
        <v>50</v>
      </c>
      <c r="P8" s="15">
        <f t="shared" si="9"/>
        <v>100</v>
      </c>
      <c r="Q8" s="15">
        <f t="shared" si="9"/>
        <v>50</v>
      </c>
      <c r="R8" s="15">
        <f t="shared" si="9"/>
        <v>100</v>
      </c>
      <c r="S8" s="15">
        <f t="shared" si="9"/>
        <v>50</v>
      </c>
      <c r="T8" s="15">
        <f t="shared" si="9"/>
        <v>100</v>
      </c>
      <c r="U8" s="15"/>
      <c r="V8" s="15"/>
      <c r="W8" s="15"/>
      <c r="X8" s="15"/>
      <c r="Y8" s="10">
        <f>M8*属性价值参考!C$5+转生!N8*属性价值参考!C$6+转生!O8*属性价值参考!C$7+转生!P8*属性价值参考!C$8</f>
        <v>20496</v>
      </c>
      <c r="Z8" s="10">
        <f t="shared" si="0"/>
        <v>732000</v>
      </c>
      <c r="AA8" s="10">
        <f t="shared" si="1"/>
        <v>732</v>
      </c>
      <c r="AB8" s="10">
        <f t="shared" si="2"/>
        <v>73.2</v>
      </c>
      <c r="AC8" s="10">
        <f>ROUND($Z$23/材料产出!$K$31*材料产出!J16,0)</f>
        <v>111351</v>
      </c>
      <c r="AD8" s="10">
        <f>ROUND($AA$23/材料产出!$O$31*材料产出!N16,0)</f>
        <v>111</v>
      </c>
      <c r="AE8" s="10"/>
    </row>
    <row r="9" spans="1:31" ht="16.5" x14ac:dyDescent="0.3">
      <c r="A9" s="22" t="s">
        <v>31</v>
      </c>
      <c r="B9" s="22"/>
      <c r="C9" s="22"/>
      <c r="D9" s="23" t="s">
        <v>149</v>
      </c>
      <c r="E9" s="22"/>
      <c r="F9" s="264" t="str">
        <f t="shared" si="3"/>
        <v>3#1#500|3#2#5000|3#3#62|3#4#125|3#5#62|3#6#125|3#7#62|3#8#125</v>
      </c>
      <c r="G9" s="264"/>
      <c r="H9" s="264"/>
      <c r="I9" s="22"/>
      <c r="J9" s="27" t="str">
        <f>"135/火龙凭证"&amp;AD9&amp;"/元宝"&amp;AC9&amp;"/等级12"</f>
        <v>135/火龙凭证134/元宝133621/等级12</v>
      </c>
      <c r="K9" s="27">
        <v>7</v>
      </c>
      <c r="L9" s="27">
        <f>材料产出!C18</f>
        <v>3.5</v>
      </c>
      <c r="M9" s="15">
        <f>INT(25/100*M23)</f>
        <v>2500</v>
      </c>
      <c r="N9" s="15">
        <f t="shared" ref="N9:T9" si="10">INT(25/100*N23)</f>
        <v>5000</v>
      </c>
      <c r="O9" s="15">
        <f t="shared" si="10"/>
        <v>62</v>
      </c>
      <c r="P9" s="15">
        <f t="shared" si="10"/>
        <v>125</v>
      </c>
      <c r="Q9" s="15">
        <f t="shared" si="10"/>
        <v>62</v>
      </c>
      <c r="R9" s="15">
        <f t="shared" si="10"/>
        <v>125</v>
      </c>
      <c r="S9" s="15">
        <f t="shared" si="10"/>
        <v>62</v>
      </c>
      <c r="T9" s="15">
        <f t="shared" si="10"/>
        <v>125</v>
      </c>
      <c r="U9" s="15"/>
      <c r="V9" s="15"/>
      <c r="W9" s="15"/>
      <c r="X9" s="15"/>
      <c r="Y9" s="10">
        <f>M9*属性价值参考!C$5+转生!N9*属性价值参考!C$6+转生!O9*属性价值参考!C$7+转生!P9*属性价值参考!C$8</f>
        <v>25598.400000000001</v>
      </c>
      <c r="Z9" s="10">
        <f t="shared" si="0"/>
        <v>914228.57142857159</v>
      </c>
      <c r="AA9" s="10">
        <f t="shared" si="1"/>
        <v>914.22857142857151</v>
      </c>
      <c r="AB9" s="10">
        <f t="shared" si="2"/>
        <v>91.422857142857154</v>
      </c>
      <c r="AC9" s="10">
        <f>ROUND($Z$23/材料产出!$K$31*材料产出!J17,0)</f>
        <v>133621</v>
      </c>
      <c r="AD9" s="10">
        <f>ROUND($AA$23/材料产出!$O$31*材料产出!N17,0)</f>
        <v>134</v>
      </c>
      <c r="AE9" s="10"/>
    </row>
    <row r="10" spans="1:31" ht="16.5" x14ac:dyDescent="0.3">
      <c r="A10" s="22" t="s">
        <v>31</v>
      </c>
      <c r="B10" s="22"/>
      <c r="C10" s="22"/>
      <c r="D10" s="23" t="s">
        <v>150</v>
      </c>
      <c r="E10" s="22"/>
      <c r="F10" s="264" t="str">
        <f t="shared" si="3"/>
        <v>3#1#600|3#2#6000|3#3#75|3#4#150|3#5#75|3#6#150|3#7#75|3#8#150</v>
      </c>
      <c r="G10" s="264"/>
      <c r="H10" s="264"/>
      <c r="I10" s="22"/>
      <c r="J10" s="27" t="str">
        <f>"155/火龙凭证"&amp;AD10&amp;"/元宝"&amp;AC10&amp;"/等级15"</f>
        <v>155/火龙凭证156/元宝155892/等级15</v>
      </c>
      <c r="K10" s="27">
        <v>8</v>
      </c>
      <c r="L10" s="27">
        <f>材料产出!C19</f>
        <v>3.7</v>
      </c>
      <c r="M10" s="15">
        <f>INT(30/100*M23)</f>
        <v>3000</v>
      </c>
      <c r="N10" s="15">
        <f t="shared" ref="N10:T10" si="11">INT(30/100*N23)</f>
        <v>6000</v>
      </c>
      <c r="O10" s="15">
        <f t="shared" si="11"/>
        <v>75</v>
      </c>
      <c r="P10" s="15">
        <f t="shared" si="11"/>
        <v>150</v>
      </c>
      <c r="Q10" s="15">
        <f t="shared" si="11"/>
        <v>75</v>
      </c>
      <c r="R10" s="15">
        <f t="shared" si="11"/>
        <v>150</v>
      </c>
      <c r="S10" s="15">
        <f t="shared" si="11"/>
        <v>75</v>
      </c>
      <c r="T10" s="15">
        <f t="shared" si="11"/>
        <v>150</v>
      </c>
      <c r="U10" s="15"/>
      <c r="V10" s="15"/>
      <c r="W10" s="15"/>
      <c r="X10" s="15"/>
      <c r="Y10" s="10">
        <f>M10*属性价值参考!C$5+转生!N10*属性价值参考!C$6+转生!O10*属性价值参考!C$7+转生!P10*属性价值参考!C$8</f>
        <v>30744</v>
      </c>
      <c r="Z10" s="10">
        <f t="shared" si="0"/>
        <v>1098000</v>
      </c>
      <c r="AA10" s="10">
        <f t="shared" si="1"/>
        <v>1098</v>
      </c>
      <c r="AB10" s="10">
        <f t="shared" si="2"/>
        <v>109.8</v>
      </c>
      <c r="AC10" s="10">
        <f>ROUND($Z$23/材料产出!$K$31*材料产出!J18,0)</f>
        <v>155892</v>
      </c>
      <c r="AD10" s="10">
        <f>ROUND($AA$23/材料产出!$O$31*材料产出!N18,0)</f>
        <v>156</v>
      </c>
      <c r="AE10" s="10"/>
    </row>
    <row r="11" spans="1:31" ht="16.5" x14ac:dyDescent="0.3">
      <c r="A11" s="22" t="s">
        <v>31</v>
      </c>
      <c r="B11" s="22"/>
      <c r="C11" s="22"/>
      <c r="D11" s="23" t="s">
        <v>151</v>
      </c>
      <c r="E11" s="22"/>
      <c r="F11" s="264" t="str">
        <f t="shared" si="3"/>
        <v>3#1#700|3#2#7000|3#3#87|3#4#175|3#5#87|3#6#175|3#7#87|3#8#175</v>
      </c>
      <c r="G11" s="264"/>
      <c r="H11" s="264"/>
      <c r="I11" s="22"/>
      <c r="J11" s="27" t="str">
        <f>"190/火龙凭证"&amp;AD11&amp;"/元宝"&amp;AC11&amp;"/等级20"</f>
        <v>190/火龙凭证165/元宝164800/等级20</v>
      </c>
      <c r="K11" s="27">
        <v>9</v>
      </c>
      <c r="L11" s="27">
        <f>材料产出!C20</f>
        <v>4</v>
      </c>
      <c r="M11" s="15">
        <f>INT(35/100*M23)</f>
        <v>3500</v>
      </c>
      <c r="N11" s="15">
        <f t="shared" ref="N11:T11" si="12">INT(35/100*N23)</f>
        <v>7000</v>
      </c>
      <c r="O11" s="15">
        <f t="shared" si="12"/>
        <v>87</v>
      </c>
      <c r="P11" s="15">
        <f t="shared" si="12"/>
        <v>175</v>
      </c>
      <c r="Q11" s="15">
        <f t="shared" si="12"/>
        <v>87</v>
      </c>
      <c r="R11" s="15">
        <f t="shared" si="12"/>
        <v>175</v>
      </c>
      <c r="S11" s="15">
        <f t="shared" si="12"/>
        <v>87</v>
      </c>
      <c r="T11" s="15">
        <f t="shared" si="12"/>
        <v>175</v>
      </c>
      <c r="U11" s="15"/>
      <c r="V11" s="15"/>
      <c r="W11" s="15"/>
      <c r="X11" s="15"/>
      <c r="Y11" s="10">
        <f>M11*属性价值参考!C$5+转生!N11*属性价值参考!C$6+转生!O11*属性价值参考!C$7+转生!P11*属性价值参考!C$8</f>
        <v>35846.400000000001</v>
      </c>
      <c r="Z11" s="10">
        <f t="shared" si="0"/>
        <v>1280228.5714285714</v>
      </c>
      <c r="AA11" s="10">
        <f t="shared" si="1"/>
        <v>1280.2285714285713</v>
      </c>
      <c r="AB11" s="10">
        <f t="shared" si="2"/>
        <v>128.02285714285713</v>
      </c>
      <c r="AC11" s="10">
        <f>ROUND($Z$23/材料产出!$K$31*材料产出!J19,0)</f>
        <v>164800</v>
      </c>
      <c r="AD11" s="10">
        <f>ROUND($AA$23/材料产出!$O$31*材料产出!N19,0)</f>
        <v>165</v>
      </c>
      <c r="AE11" s="10"/>
    </row>
    <row r="12" spans="1:31" ht="16.5" x14ac:dyDescent="0.3">
      <c r="A12" s="22" t="s">
        <v>31</v>
      </c>
      <c r="B12" s="22"/>
      <c r="C12" s="22"/>
      <c r="D12" s="23" t="s">
        <v>152</v>
      </c>
      <c r="E12" s="22"/>
      <c r="F12" s="264" t="str">
        <f>"3#1#"&amp;0.2*M12&amp;"|"&amp;"3#2#"&amp;N12&amp;"|"&amp;"3#3#"&amp;O12&amp;"|"&amp;"3#4#"&amp;P12&amp;"|"&amp;"3#5#"&amp;Q12&amp;"|"&amp;"3#6#"&amp;R12&amp;"|"&amp;"3#7#"&amp;S12&amp;"|"&amp;"3#8#"&amp;T12</f>
        <v>3#1#800|3#2#8000|3#3#100|3#4#200|3#5#100|3#6#200|3#7#100|3#8#200</v>
      </c>
      <c r="G12" s="264"/>
      <c r="H12" s="264"/>
      <c r="I12" s="22"/>
      <c r="J12" s="27" t="str">
        <f>"200/火龙凭证"&amp;AD12&amp;"/转生精华"&amp;AE12&amp;"/元宝"&amp;AC12</f>
        <v>200/火龙凭证178/转生精华18/元宝178162</v>
      </c>
      <c r="K12" s="27">
        <v>10</v>
      </c>
      <c r="L12" s="27">
        <f>材料产出!C21</f>
        <v>4.3</v>
      </c>
      <c r="M12" s="15">
        <f>INT(40/100*M23)</f>
        <v>4000</v>
      </c>
      <c r="N12" s="15">
        <f t="shared" ref="N12:T12" si="13">INT(40/100*N23)</f>
        <v>8000</v>
      </c>
      <c r="O12" s="15">
        <f t="shared" si="13"/>
        <v>100</v>
      </c>
      <c r="P12" s="15">
        <f t="shared" si="13"/>
        <v>200</v>
      </c>
      <c r="Q12" s="15">
        <f t="shared" si="13"/>
        <v>100</v>
      </c>
      <c r="R12" s="15">
        <f t="shared" si="13"/>
        <v>200</v>
      </c>
      <c r="S12" s="15">
        <f t="shared" si="13"/>
        <v>100</v>
      </c>
      <c r="T12" s="15">
        <f t="shared" si="13"/>
        <v>200</v>
      </c>
      <c r="U12" s="15"/>
      <c r="V12" s="15"/>
      <c r="W12" s="15"/>
      <c r="X12" s="15"/>
      <c r="Y12" s="10">
        <f>M12*属性价值参考!C$5+转生!N12*属性价值参考!C$6+转生!O12*属性价值参考!C$7+转生!P12*属性价值参考!C$8</f>
        <v>40992</v>
      </c>
      <c r="Z12" s="10">
        <f t="shared" si="0"/>
        <v>1464000</v>
      </c>
      <c r="AA12" s="10">
        <f t="shared" si="1"/>
        <v>1464</v>
      </c>
      <c r="AB12" s="10">
        <f t="shared" si="2"/>
        <v>146.4</v>
      </c>
      <c r="AC12" s="10">
        <f>ROUND($Z$23/材料产出!$K$31*材料产出!J20,0)</f>
        <v>178162</v>
      </c>
      <c r="AD12" s="10">
        <f>ROUND($AA$23/材料产出!$O$31*材料产出!N20,0)</f>
        <v>178</v>
      </c>
      <c r="AE12" s="10">
        <f>ROUND(材料产出!S20,0)</f>
        <v>18</v>
      </c>
    </row>
    <row r="13" spans="1:31" s="31" customFormat="1" ht="18" x14ac:dyDescent="0.2">
      <c r="A13" s="21" t="s">
        <v>51</v>
      </c>
      <c r="B13" s="21" t="s">
        <v>52</v>
      </c>
      <c r="C13" s="21" t="s">
        <v>53</v>
      </c>
      <c r="D13" s="21" t="s">
        <v>54</v>
      </c>
      <c r="E13" s="21" t="s">
        <v>55</v>
      </c>
      <c r="F13" s="21" t="s">
        <v>58</v>
      </c>
      <c r="G13" s="21" t="s">
        <v>59</v>
      </c>
      <c r="H13" s="21" t="s">
        <v>60</v>
      </c>
      <c r="I13" s="21" t="s">
        <v>61</v>
      </c>
      <c r="J13" s="21" t="s">
        <v>62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6.5" x14ac:dyDescent="0.3">
      <c r="A14" s="22" t="s">
        <v>153</v>
      </c>
      <c r="B14" s="22"/>
      <c r="C14" s="22"/>
      <c r="D14" s="23" t="s">
        <v>154</v>
      </c>
      <c r="E14" s="22"/>
      <c r="F14" s="24" t="str">
        <f t="shared" ref="F14:F22" si="14">"0#1#"&amp;M14&amp;"|"&amp;"0#2#"&amp;0.025*N14&amp;"|"&amp;"0#3#"&amp;O14&amp;"|"&amp;"3#4#"&amp;P14</f>
        <v>0#1#4800|0#2#240|0#3#120|3#4#240</v>
      </c>
      <c r="G14" s="24" t="str">
        <f t="shared" ref="G14:G22" si="15">"1#1#"&amp;0.2*M14&amp;"|"&amp;"1#2#"&amp;N14&amp;"|"&amp;"1#3#"&amp;O14&amp;"|"&amp;"1#4#"&amp;P14</f>
        <v>1#1#960|1#2#9600|1#3#120|1#4#240</v>
      </c>
      <c r="H14" s="24" t="str">
        <f t="shared" ref="H14:H22" si="16">"2#1#"&amp;0.2*M14&amp;"|"&amp;"2#2#"&amp;N14&amp;"|"&amp;"2#3#"&amp;S14&amp;"|"&amp;"2#4#"&amp;T14</f>
        <v>2#1#960|2#2#9600|2#3#120|2#4#240</v>
      </c>
      <c r="I14" s="22"/>
      <c r="J14" s="27" t="str">
        <f>"200/火龙凭证"&amp;AD14&amp;"/转生精华"&amp;AE14&amp;"/元宝"&amp;AC14</f>
        <v>200/火龙凭证958/转生精华96/元宝957620</v>
      </c>
      <c r="K14" s="27">
        <v>11</v>
      </c>
      <c r="L14" s="27">
        <f>材料产出!C22</f>
        <v>4.5999999999999996</v>
      </c>
      <c r="M14" s="15">
        <f>INT(48/100*M23)</f>
        <v>4800</v>
      </c>
      <c r="N14" s="15">
        <f t="shared" ref="N14:T14" si="17">INT(48/100*N23)</f>
        <v>9600</v>
      </c>
      <c r="O14" s="15">
        <f t="shared" si="17"/>
        <v>120</v>
      </c>
      <c r="P14" s="15">
        <f t="shared" si="17"/>
        <v>240</v>
      </c>
      <c r="Q14" s="15">
        <f t="shared" si="17"/>
        <v>120</v>
      </c>
      <c r="R14" s="15">
        <f t="shared" si="17"/>
        <v>240</v>
      </c>
      <c r="S14" s="15">
        <f t="shared" si="17"/>
        <v>120</v>
      </c>
      <c r="T14" s="15">
        <f t="shared" si="17"/>
        <v>240</v>
      </c>
      <c r="U14" s="15"/>
      <c r="V14" s="15"/>
      <c r="W14" s="15"/>
      <c r="X14" s="15"/>
      <c r="Y14" s="10">
        <f>M14*属性价值参考!C$5+转生!N14*属性价值参考!C$6+转生!O14*属性价值参考!C$7+转生!P14*属性价值参考!C$8</f>
        <v>49190.400000000001</v>
      </c>
      <c r="Z14" s="10">
        <f t="shared" si="0"/>
        <v>1756800</v>
      </c>
      <c r="AA14" s="10">
        <f t="shared" si="1"/>
        <v>1756.8000000000002</v>
      </c>
      <c r="AB14" s="10">
        <f t="shared" si="2"/>
        <v>175.68</v>
      </c>
      <c r="AC14" s="10">
        <f>ROUND($Z$23/材料产出!$K$31*材料产出!J21,0)</f>
        <v>957620</v>
      </c>
      <c r="AD14" s="10">
        <f>ROUND($AA$23/材料产出!$O$31*材料产出!N21,0)</f>
        <v>958</v>
      </c>
      <c r="AE14" s="10">
        <f>ROUND(材料产出!S21,0)</f>
        <v>96</v>
      </c>
    </row>
    <row r="15" spans="1:31" ht="16.5" x14ac:dyDescent="0.3">
      <c r="A15" s="22" t="s">
        <v>153</v>
      </c>
      <c r="B15" s="22"/>
      <c r="C15" s="22"/>
      <c r="D15" s="23" t="s">
        <v>155</v>
      </c>
      <c r="E15" s="22"/>
      <c r="F15" s="24" t="str">
        <f t="shared" si="14"/>
        <v>0#1#5200|0#2#260|0#3#130|3#4#260</v>
      </c>
      <c r="G15" s="24" t="str">
        <f t="shared" si="15"/>
        <v>1#1#1040|1#2#10400|1#3#130|1#4#260</v>
      </c>
      <c r="H15" s="24" t="str">
        <f t="shared" si="16"/>
        <v>2#1#1040|2#2#10400|2#3#130|2#4#260</v>
      </c>
      <c r="I15" s="22"/>
      <c r="J15" s="27" t="str">
        <f>"210/火龙凭证"&amp;AD15&amp;"/转生精华"&amp;AE15&amp;"/元宝"&amp;AC15</f>
        <v>210/火龙凭证1024/转生精华102/元宝1024430</v>
      </c>
      <c r="K15" s="27">
        <v>12</v>
      </c>
      <c r="L15" s="27">
        <f>材料产出!C23</f>
        <v>4.9000000000000004</v>
      </c>
      <c r="M15" s="15">
        <f>INT(52/100*M23)</f>
        <v>5200</v>
      </c>
      <c r="N15" s="15">
        <f t="shared" ref="N15:T15" si="18">INT(52/100*N23)</f>
        <v>10400</v>
      </c>
      <c r="O15" s="15">
        <f t="shared" si="18"/>
        <v>130</v>
      </c>
      <c r="P15" s="15">
        <f t="shared" si="18"/>
        <v>260</v>
      </c>
      <c r="Q15" s="15">
        <f t="shared" si="18"/>
        <v>130</v>
      </c>
      <c r="R15" s="15">
        <f t="shared" si="18"/>
        <v>260</v>
      </c>
      <c r="S15" s="15">
        <f t="shared" si="18"/>
        <v>130</v>
      </c>
      <c r="T15" s="15">
        <f t="shared" si="18"/>
        <v>260</v>
      </c>
      <c r="U15" s="15"/>
      <c r="V15" s="15"/>
      <c r="W15" s="15"/>
      <c r="X15" s="15"/>
      <c r="Y15" s="10">
        <f>M15*属性价值参考!C$5+转生!N15*属性价值参考!C$6+转生!O15*属性价值参考!C$7+转生!P15*属性价值参考!C$8</f>
        <v>53289.599999999999</v>
      </c>
      <c r="Z15" s="10">
        <f t="shared" si="0"/>
        <v>1903200</v>
      </c>
      <c r="AA15" s="10">
        <f t="shared" si="1"/>
        <v>1903.1999999999998</v>
      </c>
      <c r="AB15" s="10">
        <f t="shared" si="2"/>
        <v>190.32</v>
      </c>
      <c r="AC15" s="10">
        <f>ROUND($Z$23/材料产出!$K$31*材料产出!J22,0)</f>
        <v>1024430</v>
      </c>
      <c r="AD15" s="10">
        <f>ROUND($AA$23/材料产出!$O$31*材料产出!N22,0)</f>
        <v>1024</v>
      </c>
      <c r="AE15" s="10">
        <f>ROUND(材料产出!S22,0)</f>
        <v>102</v>
      </c>
    </row>
    <row r="16" spans="1:31" ht="16.5" x14ac:dyDescent="0.3">
      <c r="A16" s="22" t="s">
        <v>153</v>
      </c>
      <c r="B16" s="22"/>
      <c r="C16" s="22"/>
      <c r="D16" s="23" t="s">
        <v>156</v>
      </c>
      <c r="E16" s="22"/>
      <c r="F16" s="24" t="str">
        <f t="shared" si="14"/>
        <v>0#1#5600|0#2#280|0#3#140|3#4#280</v>
      </c>
      <c r="G16" s="24" t="str">
        <f t="shared" si="15"/>
        <v>1#1#1120|1#2#11200|1#3#140|1#4#280</v>
      </c>
      <c r="H16" s="24" t="str">
        <f t="shared" si="16"/>
        <v>2#1#1120|2#2#11200|2#3#140|2#4#280</v>
      </c>
      <c r="I16" s="22"/>
      <c r="J16" s="27" t="str">
        <f>"210/火龙凭证"&amp;AD16&amp;"/转生精华"&amp;AE16&amp;"/元宝"&amp;AC16</f>
        <v>210/火龙凭证1091/转生精华109/元宝1091241</v>
      </c>
      <c r="K16" s="27">
        <v>13</v>
      </c>
      <c r="L16" s="27">
        <f>材料产出!C24</f>
        <v>5.2</v>
      </c>
      <c r="M16" s="15">
        <f>INT(56/100*M23)</f>
        <v>5600</v>
      </c>
      <c r="N16" s="15">
        <f t="shared" ref="N16:T16" si="19">INT(56/100*N23)</f>
        <v>11200</v>
      </c>
      <c r="O16" s="15">
        <f t="shared" si="19"/>
        <v>140</v>
      </c>
      <c r="P16" s="15">
        <f t="shared" si="19"/>
        <v>280</v>
      </c>
      <c r="Q16" s="15">
        <f t="shared" si="19"/>
        <v>140</v>
      </c>
      <c r="R16" s="15">
        <f t="shared" si="19"/>
        <v>280</v>
      </c>
      <c r="S16" s="15">
        <f t="shared" si="19"/>
        <v>140</v>
      </c>
      <c r="T16" s="15">
        <f t="shared" si="19"/>
        <v>280</v>
      </c>
      <c r="U16" s="15"/>
      <c r="V16" s="15"/>
      <c r="W16" s="15"/>
      <c r="X16" s="15"/>
      <c r="Y16" s="10">
        <f>M16*属性价值参考!C$5+转生!N16*属性价值参考!C$6+转生!O16*属性价值参考!C$7+转生!P16*属性价值参考!C$8</f>
        <v>57388.800000000003</v>
      </c>
      <c r="Z16" s="10">
        <f t="shared" si="0"/>
        <v>2049600</v>
      </c>
      <c r="AA16" s="10">
        <f t="shared" si="1"/>
        <v>2049.6</v>
      </c>
      <c r="AB16" s="10">
        <f t="shared" si="2"/>
        <v>204.96</v>
      </c>
      <c r="AC16" s="10">
        <f>ROUND($Z$23/材料产出!$K$31*材料产出!J23,0)</f>
        <v>1091241</v>
      </c>
      <c r="AD16" s="10">
        <f>ROUND($AA$23/材料产出!$O$31*材料产出!N23,0)</f>
        <v>1091</v>
      </c>
      <c r="AE16" s="10">
        <f>ROUND(材料产出!S23,0)</f>
        <v>109</v>
      </c>
    </row>
    <row r="17" spans="1:31" ht="16.5" x14ac:dyDescent="0.3">
      <c r="A17" s="22" t="s">
        <v>153</v>
      </c>
      <c r="B17" s="22"/>
      <c r="C17" s="22"/>
      <c r="D17" s="23" t="s">
        <v>157</v>
      </c>
      <c r="E17" s="22"/>
      <c r="F17" s="24" t="str">
        <f t="shared" si="14"/>
        <v>0#1#6000|0#2#300|0#3#150|3#4#300</v>
      </c>
      <c r="G17" s="24" t="str">
        <f t="shared" si="15"/>
        <v>1#1#1200|1#2#12000|1#3#150|1#4#300</v>
      </c>
      <c r="H17" s="24" t="str">
        <f t="shared" si="16"/>
        <v>2#1#1200|2#2#12000|2#3#150|2#4#300</v>
      </c>
      <c r="I17" s="22"/>
      <c r="J17" s="27" t="str">
        <f>"220/火龙凭证"&amp;AD17&amp;"/转生精华"&amp;AE17&amp;"/元宝"&amp;AC17</f>
        <v>220/火龙凭证1158/转生精华116/元宝1158052</v>
      </c>
      <c r="K17" s="27">
        <v>14</v>
      </c>
      <c r="L17" s="27">
        <f>材料产出!C25</f>
        <v>5.5</v>
      </c>
      <c r="M17" s="15">
        <f>INT(60/100*M23)</f>
        <v>6000</v>
      </c>
      <c r="N17" s="15">
        <f t="shared" ref="N17:T17" si="20">INT(60/100*N23)</f>
        <v>12000</v>
      </c>
      <c r="O17" s="15">
        <f t="shared" si="20"/>
        <v>150</v>
      </c>
      <c r="P17" s="15">
        <f t="shared" si="20"/>
        <v>300</v>
      </c>
      <c r="Q17" s="15">
        <f t="shared" si="20"/>
        <v>150</v>
      </c>
      <c r="R17" s="15">
        <f t="shared" si="20"/>
        <v>300</v>
      </c>
      <c r="S17" s="15">
        <f t="shared" si="20"/>
        <v>150</v>
      </c>
      <c r="T17" s="15">
        <f t="shared" si="20"/>
        <v>300</v>
      </c>
      <c r="U17" s="15"/>
      <c r="V17" s="15"/>
      <c r="W17" s="15"/>
      <c r="X17" s="15"/>
      <c r="Y17" s="10">
        <f>M17*属性价值参考!C$5+转生!N17*属性价值参考!C$6+转生!O17*属性价值参考!C$7+转生!P17*属性价值参考!C$8</f>
        <v>61488</v>
      </c>
      <c r="Z17" s="10">
        <f t="shared" si="0"/>
        <v>2196000</v>
      </c>
      <c r="AA17" s="10">
        <f t="shared" si="1"/>
        <v>2196</v>
      </c>
      <c r="AB17" s="10">
        <f t="shared" si="2"/>
        <v>219.6</v>
      </c>
      <c r="AC17" s="10">
        <f>ROUND($Z$23/材料产出!$K$31*材料产出!J24,0)</f>
        <v>1158052</v>
      </c>
      <c r="AD17" s="10">
        <f>ROUND($AA$23/材料产出!$O$31*材料产出!N24,0)</f>
        <v>1158</v>
      </c>
      <c r="AE17" s="10">
        <f>ROUND(材料产出!S24,0)</f>
        <v>116</v>
      </c>
    </row>
    <row r="18" spans="1:31" ht="16.5" x14ac:dyDescent="0.3">
      <c r="A18" s="22" t="s">
        <v>153</v>
      </c>
      <c r="B18" s="22"/>
      <c r="C18" s="22"/>
      <c r="D18" s="23" t="s">
        <v>158</v>
      </c>
      <c r="E18" s="22"/>
      <c r="F18" s="24" t="str">
        <f t="shared" si="14"/>
        <v>0#1#6400|0#2#320|0#3#160|3#4#320</v>
      </c>
      <c r="G18" s="24" t="str">
        <f t="shared" si="15"/>
        <v>1#1#1280|1#2#12800|1#3#160|1#4#320</v>
      </c>
      <c r="H18" s="24" t="str">
        <f t="shared" si="16"/>
        <v>2#1#1280|2#2#12800|2#3#160|2#4#320</v>
      </c>
      <c r="I18" s="22"/>
      <c r="J18" s="27" t="str">
        <f>"220/火龙凭证"&amp;AD18&amp;"/转生精华"&amp;AE18&amp;"/元宝"&amp;AC18</f>
        <v>220/火龙凭证1225/转生精华122/元宝1224862</v>
      </c>
      <c r="K18" s="27">
        <v>15</v>
      </c>
      <c r="L18" s="27">
        <f>材料产出!C26</f>
        <v>5.8</v>
      </c>
      <c r="M18" s="15">
        <f>INT(64/100*M23)</f>
        <v>6400</v>
      </c>
      <c r="N18" s="15">
        <f t="shared" ref="N18:T18" si="21">INT(64/100*N23)</f>
        <v>12800</v>
      </c>
      <c r="O18" s="15">
        <f t="shared" si="21"/>
        <v>160</v>
      </c>
      <c r="P18" s="15">
        <f t="shared" si="21"/>
        <v>320</v>
      </c>
      <c r="Q18" s="15">
        <f t="shared" si="21"/>
        <v>160</v>
      </c>
      <c r="R18" s="15">
        <f t="shared" si="21"/>
        <v>320</v>
      </c>
      <c r="S18" s="15">
        <f t="shared" si="21"/>
        <v>160</v>
      </c>
      <c r="T18" s="15">
        <f t="shared" si="21"/>
        <v>320</v>
      </c>
      <c r="U18" s="15"/>
      <c r="V18" s="15"/>
      <c r="W18" s="15"/>
      <c r="X18" s="15"/>
      <c r="Y18" s="10">
        <f>M18*属性价值参考!C$5+转生!N18*属性价值参考!C$6+转生!O18*属性价值参考!C$7+转生!P18*属性价值参考!C$8</f>
        <v>65587.199999999997</v>
      </c>
      <c r="Z18" s="10">
        <f t="shared" si="0"/>
        <v>2342400</v>
      </c>
      <c r="AA18" s="10">
        <f t="shared" si="1"/>
        <v>2342.3999999999996</v>
      </c>
      <c r="AB18" s="10">
        <f t="shared" si="2"/>
        <v>234.23999999999998</v>
      </c>
      <c r="AC18" s="10">
        <f>ROUND($Z$23/材料产出!$K$31*材料产出!J25,0)</f>
        <v>1224862</v>
      </c>
      <c r="AD18" s="10">
        <f>ROUND($AA$23/材料产出!$O$31*材料产出!N25,0)</f>
        <v>1225</v>
      </c>
      <c r="AE18" s="10">
        <f>ROUND(材料产出!S25,0)</f>
        <v>122</v>
      </c>
    </row>
    <row r="19" spans="1:31" ht="16.5" x14ac:dyDescent="0.3">
      <c r="A19" s="22" t="s">
        <v>153</v>
      </c>
      <c r="B19" s="22"/>
      <c r="C19" s="22"/>
      <c r="D19" s="23" t="s">
        <v>159</v>
      </c>
      <c r="E19" s="22"/>
      <c r="F19" s="24" t="str">
        <f t="shared" si="14"/>
        <v>0#1#7100|0#2#355|0#3#177|3#4#355</v>
      </c>
      <c r="G19" s="24" t="str">
        <f t="shared" si="15"/>
        <v>1#1#1420|1#2#14200|1#3#177|1#4#355</v>
      </c>
      <c r="H19" s="24" t="str">
        <f t="shared" si="16"/>
        <v>2#1#1420|2#2#14200|2#3#177|2#4#355</v>
      </c>
      <c r="I19" s="22"/>
      <c r="J19" s="27" t="str">
        <f>"230/火龙凭证"&amp;AD19&amp;"/转生精华"&amp;AE19&amp;"/元宝"&amp;AC19</f>
        <v>230/火龙凭证2583/转生精华258/元宝2583346</v>
      </c>
      <c r="K19" s="27">
        <v>16</v>
      </c>
      <c r="L19" s="27">
        <f>材料产出!C27</f>
        <v>6.1</v>
      </c>
      <c r="M19" s="15">
        <f>INT(71/100*M23)</f>
        <v>7100</v>
      </c>
      <c r="N19" s="15">
        <f t="shared" ref="N19:T19" si="22">INT(71/100*N23)</f>
        <v>14200</v>
      </c>
      <c r="O19" s="15">
        <f t="shared" si="22"/>
        <v>177</v>
      </c>
      <c r="P19" s="15">
        <f t="shared" si="22"/>
        <v>355</v>
      </c>
      <c r="Q19" s="15">
        <f t="shared" si="22"/>
        <v>177</v>
      </c>
      <c r="R19" s="15">
        <f t="shared" si="22"/>
        <v>355</v>
      </c>
      <c r="S19" s="15">
        <f t="shared" si="22"/>
        <v>177</v>
      </c>
      <c r="T19" s="15">
        <f t="shared" si="22"/>
        <v>355</v>
      </c>
      <c r="U19" s="15"/>
      <c r="V19" s="15"/>
      <c r="W19" s="15"/>
      <c r="X19" s="15"/>
      <c r="Y19" s="10">
        <f>M19*属性价值参考!C$5+转生!N19*属性价值参考!C$6+转生!O19*属性价值参考!C$7+转生!P19*属性价值参考!C$8</f>
        <v>72739.200000000012</v>
      </c>
      <c r="Z19" s="10">
        <f t="shared" si="0"/>
        <v>2597828.5714285723</v>
      </c>
      <c r="AA19" s="10">
        <f t="shared" si="1"/>
        <v>2597.8285714285721</v>
      </c>
      <c r="AB19" s="10">
        <f t="shared" si="2"/>
        <v>259.78285714285721</v>
      </c>
      <c r="AC19" s="10">
        <f>ROUND($Z$23/材料产出!$K$31*材料产出!J26,0)</f>
        <v>2583346</v>
      </c>
      <c r="AD19" s="10">
        <f>ROUND($AA$23/材料产出!$O$31*材料产出!N26,0)</f>
        <v>2583</v>
      </c>
      <c r="AE19" s="10">
        <f>ROUND(材料产出!S26,0)</f>
        <v>258</v>
      </c>
    </row>
    <row r="20" spans="1:31" ht="16.5" x14ac:dyDescent="0.3">
      <c r="A20" s="22" t="s">
        <v>153</v>
      </c>
      <c r="B20" s="22"/>
      <c r="C20" s="22"/>
      <c r="D20" s="23" t="s">
        <v>160</v>
      </c>
      <c r="E20" s="22"/>
      <c r="F20" s="24" t="str">
        <f t="shared" si="14"/>
        <v>0#1#7800|0#2#390|0#3#195|3#4#390</v>
      </c>
      <c r="G20" s="24" t="str">
        <f t="shared" si="15"/>
        <v>1#1#1560|1#2#15600|1#3#195|1#4#390</v>
      </c>
      <c r="H20" s="24" t="str">
        <f t="shared" si="16"/>
        <v>2#1#1560|2#2#15600|2#3#195|2#4#390</v>
      </c>
      <c r="I20" s="22"/>
      <c r="J20" s="27" t="str">
        <f>"230/火龙凭证"&amp;AD20&amp;"/转生精华"&amp;AE20&amp;"/元宝"&amp;AC20</f>
        <v>230/火龙凭证2717/转生精华272/元宝2716967</v>
      </c>
      <c r="K20" s="27">
        <v>17</v>
      </c>
      <c r="L20" s="27">
        <f>材料产出!C28</f>
        <v>6.4</v>
      </c>
      <c r="M20" s="15">
        <f>INT(78/100*M23)</f>
        <v>7800</v>
      </c>
      <c r="N20" s="15">
        <f t="shared" ref="N20:T20" si="23">INT(78/100*N23)</f>
        <v>15600</v>
      </c>
      <c r="O20" s="15">
        <f t="shared" si="23"/>
        <v>195</v>
      </c>
      <c r="P20" s="15">
        <f t="shared" si="23"/>
        <v>390</v>
      </c>
      <c r="Q20" s="15">
        <f t="shared" si="23"/>
        <v>195</v>
      </c>
      <c r="R20" s="15">
        <f t="shared" si="23"/>
        <v>390</v>
      </c>
      <c r="S20" s="15">
        <f t="shared" si="23"/>
        <v>195</v>
      </c>
      <c r="T20" s="15">
        <f t="shared" si="23"/>
        <v>390</v>
      </c>
      <c r="U20" s="15"/>
      <c r="V20" s="15"/>
      <c r="W20" s="15"/>
      <c r="X20" s="15"/>
      <c r="Y20" s="10">
        <f>M20*属性价值参考!C$5+转生!N20*属性价值参考!C$6+转生!O20*属性价值参考!C$7+转生!P20*属性价值参考!C$8</f>
        <v>79934.399999999994</v>
      </c>
      <c r="Z20" s="10">
        <f t="shared" si="0"/>
        <v>2854799.9999999995</v>
      </c>
      <c r="AA20" s="10">
        <f t="shared" si="1"/>
        <v>2854.7999999999997</v>
      </c>
      <c r="AB20" s="10">
        <f t="shared" si="2"/>
        <v>285.47999999999996</v>
      </c>
      <c r="AC20" s="10">
        <f>ROUND($Z$23/材料产出!$K$31*材料产出!J27,0)</f>
        <v>2716967</v>
      </c>
      <c r="AD20" s="10">
        <f>ROUND($AA$23/材料产出!$O$31*材料产出!N27,0)</f>
        <v>2717</v>
      </c>
      <c r="AE20" s="10">
        <f>ROUND(材料产出!S27,0)</f>
        <v>272</v>
      </c>
    </row>
    <row r="21" spans="1:31" ht="16.5" x14ac:dyDescent="0.3">
      <c r="A21" s="22" t="s">
        <v>153</v>
      </c>
      <c r="B21" s="22"/>
      <c r="C21" s="22"/>
      <c r="D21" s="23" t="s">
        <v>161</v>
      </c>
      <c r="E21" s="22"/>
      <c r="F21" s="24" t="str">
        <f t="shared" si="14"/>
        <v>0#1#8500|0#2#425|0#3#212|3#4#425</v>
      </c>
      <c r="G21" s="24" t="str">
        <f t="shared" si="15"/>
        <v>1#1#1700|1#2#17000|1#3#212|1#4#425</v>
      </c>
      <c r="H21" s="24" t="str">
        <f t="shared" si="16"/>
        <v>2#1#1700|2#2#17000|2#3#212|2#4#425</v>
      </c>
      <c r="I21" s="22"/>
      <c r="J21" s="27" t="str">
        <f>"240/火龙凭证"&amp;AD21&amp;"/转生精华"&amp;AE21&amp;"/元宝"&amp;AC21</f>
        <v>240/火龙凭证2851/转生精华285/元宝2850589</v>
      </c>
      <c r="K21" s="27">
        <v>18</v>
      </c>
      <c r="L21" s="27">
        <f>材料产出!C29</f>
        <v>6.7</v>
      </c>
      <c r="M21" s="15">
        <f>INT(85/100*M23)</f>
        <v>8500</v>
      </c>
      <c r="N21" s="15">
        <f t="shared" ref="N21:T21" si="24">INT(85/100*N23)</f>
        <v>17000</v>
      </c>
      <c r="O21" s="15">
        <f t="shared" si="24"/>
        <v>212</v>
      </c>
      <c r="P21" s="15">
        <f t="shared" si="24"/>
        <v>425</v>
      </c>
      <c r="Q21" s="15">
        <f t="shared" si="24"/>
        <v>212</v>
      </c>
      <c r="R21" s="15">
        <f t="shared" si="24"/>
        <v>425</v>
      </c>
      <c r="S21" s="15">
        <f t="shared" si="24"/>
        <v>212</v>
      </c>
      <c r="T21" s="15">
        <f t="shared" si="24"/>
        <v>425</v>
      </c>
      <c r="U21" s="15"/>
      <c r="V21" s="15"/>
      <c r="W21" s="15"/>
      <c r="X21" s="15"/>
      <c r="Y21" s="10">
        <f>M21*属性价值参考!C$5+转生!N21*属性价值参考!C$6+转生!O21*属性价值参考!C$7+转生!P21*属性价值参考!C$8</f>
        <v>87086.399999999994</v>
      </c>
      <c r="Z21" s="10">
        <f t="shared" si="0"/>
        <v>3110228.5714285709</v>
      </c>
      <c r="AA21" s="10">
        <f t="shared" si="1"/>
        <v>3110.2285714285708</v>
      </c>
      <c r="AB21" s="10">
        <f t="shared" si="2"/>
        <v>311.02285714285711</v>
      </c>
      <c r="AC21" s="10">
        <f>ROUND($Z$23/材料产出!$K$31*材料产出!J28,0)</f>
        <v>2850589</v>
      </c>
      <c r="AD21" s="10">
        <f>ROUND($AA$23/材料产出!$O$31*材料产出!N28,0)</f>
        <v>2851</v>
      </c>
      <c r="AE21" s="10">
        <f>ROUND(材料产出!S28,0)</f>
        <v>285</v>
      </c>
    </row>
    <row r="22" spans="1:31" ht="16.5" x14ac:dyDescent="0.3">
      <c r="A22" s="22" t="s">
        <v>153</v>
      </c>
      <c r="B22" s="22"/>
      <c r="C22" s="22"/>
      <c r="D22" s="23" t="s">
        <v>162</v>
      </c>
      <c r="E22" s="22"/>
      <c r="F22" s="24" t="str">
        <f t="shared" si="14"/>
        <v>0#1#9200|0#2#460|0#3#230|3#4#460</v>
      </c>
      <c r="G22" s="24" t="str">
        <f t="shared" si="15"/>
        <v>1#1#1840|1#2#18400|1#3#230|1#4#460</v>
      </c>
      <c r="H22" s="24" t="str">
        <f t="shared" si="16"/>
        <v>2#1#1840|2#2#18400|2#3#230|2#4#460</v>
      </c>
      <c r="I22" s="22"/>
      <c r="J22" s="27" t="str">
        <f>"240/火龙凭证"&amp;AD22&amp;"/转生精华"&amp;AE22&amp;"/元宝"&amp;AC22</f>
        <v>240/火龙凭证2984/转生精华298/元宝2984210</v>
      </c>
      <c r="K22" s="27">
        <v>19</v>
      </c>
      <c r="L22" s="27">
        <f>材料产出!C30</f>
        <v>7</v>
      </c>
      <c r="M22" s="15">
        <f>23/25*M23</f>
        <v>9200</v>
      </c>
      <c r="N22" s="15">
        <f t="shared" ref="N22:T22" si="25">23/25*N23</f>
        <v>18400</v>
      </c>
      <c r="O22" s="15">
        <f t="shared" si="25"/>
        <v>230</v>
      </c>
      <c r="P22" s="15">
        <f t="shared" si="25"/>
        <v>460</v>
      </c>
      <c r="Q22" s="15">
        <f t="shared" si="25"/>
        <v>230</v>
      </c>
      <c r="R22" s="15">
        <f t="shared" si="25"/>
        <v>460</v>
      </c>
      <c r="S22" s="15">
        <f t="shared" si="25"/>
        <v>230</v>
      </c>
      <c r="T22" s="15">
        <f t="shared" si="25"/>
        <v>460</v>
      </c>
      <c r="U22" s="15"/>
      <c r="V22" s="15"/>
      <c r="W22" s="15"/>
      <c r="X22" s="15"/>
      <c r="Y22" s="10">
        <f>M22*属性价值参考!C$5+转生!N22*属性价值参考!C$6+转生!O22*属性价值参考!C$7+转生!P22*属性价值参考!C$8</f>
        <v>94281.600000000006</v>
      </c>
      <c r="Z22" s="10">
        <f t="shared" si="0"/>
        <v>3367200.0000000005</v>
      </c>
      <c r="AA22" s="10">
        <f t="shared" si="1"/>
        <v>3367.2000000000003</v>
      </c>
      <c r="AB22" s="10">
        <f t="shared" si="2"/>
        <v>336.72</v>
      </c>
      <c r="AC22" s="10">
        <f>ROUND($Z$23/材料产出!$K$31*材料产出!J29,0)</f>
        <v>2984210</v>
      </c>
      <c r="AD22" s="10">
        <f>ROUND($AA$23/材料产出!$O$31*材料产出!N29,0)</f>
        <v>2984</v>
      </c>
      <c r="AE22" s="10">
        <f>ROUND(材料产出!S29,0)</f>
        <v>298</v>
      </c>
    </row>
    <row r="23" spans="1:31" ht="16.5" x14ac:dyDescent="0.3">
      <c r="A23" s="22" t="s">
        <v>153</v>
      </c>
      <c r="B23" s="34"/>
      <c r="C23" s="34"/>
      <c r="D23" s="23" t="s">
        <v>163</v>
      </c>
      <c r="E23" s="22"/>
      <c r="F23" s="24" t="str">
        <f>"0#1#"&amp;M23&amp;"|"&amp;"0#2#"&amp;0.025*N23&amp;"|"&amp;"0#3#"&amp;O23&amp;"|"&amp;"0#4#"&amp;P23</f>
        <v>0#1#10000|0#2#500|0#3#250|0#4#500</v>
      </c>
      <c r="G23" s="24" t="str">
        <f>"1#1#"&amp;0.2*M23&amp;"|"&amp;"1#2#"&amp;N23&amp;"|"&amp;"1#3#"&amp;Q23&amp;"|"&amp;"1#4#"&amp;R23</f>
        <v>1#1#2000|1#2#20000|1#3#250|1#4#500</v>
      </c>
      <c r="H23" s="24" t="str">
        <f>"2#1#"&amp;0.2*M23&amp;"|"&amp;"2#2#"&amp;N23&amp;"|"&amp;"2#3#"&amp;S23&amp;"|"&amp;"2#4#"&amp;T23</f>
        <v>2#1#2000|2#2#20000|2#3#250|2#4#500</v>
      </c>
      <c r="I23" s="22"/>
      <c r="J23" s="22"/>
      <c r="K23" s="27">
        <v>20</v>
      </c>
      <c r="L23" s="27"/>
      <c r="M23" s="15">
        <f>养成属性分配!S31</f>
        <v>10000</v>
      </c>
      <c r="N23" s="15">
        <f>养成属性分配!T31</f>
        <v>20000</v>
      </c>
      <c r="O23" s="15">
        <f>0.5*P23</f>
        <v>250</v>
      </c>
      <c r="P23" s="15">
        <f>养成属性分配!U31</f>
        <v>500</v>
      </c>
      <c r="Q23" s="15">
        <f>0.5*R23</f>
        <v>250</v>
      </c>
      <c r="R23" s="15">
        <f>养成属性分配!U31</f>
        <v>500</v>
      </c>
      <c r="S23" s="15">
        <f>0.5*T23</f>
        <v>250</v>
      </c>
      <c r="T23" s="15">
        <f>养成属性分配!U31</f>
        <v>500</v>
      </c>
      <c r="U23" s="15"/>
      <c r="V23" s="15"/>
      <c r="W23" s="15"/>
      <c r="X23" s="15"/>
      <c r="Y23" s="10">
        <f>M23*属性价值参考!C$5+转生!N23*属性价值参考!C$6+转生!O23*属性价值参考!C$7+转生!P23*属性价值参考!C$8</f>
        <v>102480</v>
      </c>
      <c r="Z23" s="10">
        <f>Y23/280*10000</f>
        <v>3660000</v>
      </c>
      <c r="AA23" s="10">
        <f>Y23/280*10</f>
        <v>3660</v>
      </c>
      <c r="AB23" s="10">
        <f>Y23/280*1</f>
        <v>366</v>
      </c>
      <c r="AC23" s="10"/>
      <c r="AD23" s="10"/>
      <c r="AE23" s="10"/>
    </row>
  </sheetData>
  <mergeCells count="12">
    <mergeCell ref="F1:H1"/>
    <mergeCell ref="F2:H2"/>
    <mergeCell ref="F3:H3"/>
    <mergeCell ref="F4:H4"/>
    <mergeCell ref="F5:H5"/>
    <mergeCell ref="F12:H12"/>
    <mergeCell ref="F6:H6"/>
    <mergeCell ref="F7:H7"/>
    <mergeCell ref="F8:H8"/>
    <mergeCell ref="F9:H9"/>
    <mergeCell ref="F10:H10"/>
    <mergeCell ref="F11:H1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CZ841"/>
  <sheetViews>
    <sheetView topLeftCell="C13" workbookViewId="0">
      <selection activeCell="N38" sqref="N38"/>
    </sheetView>
  </sheetViews>
  <sheetFormatPr defaultRowHeight="16.5" x14ac:dyDescent="0.3"/>
  <cols>
    <col min="1" max="4" width="9" style="12"/>
    <col min="5" max="5" width="17.625" style="12" bestFit="1" customWidth="1"/>
    <col min="6" max="6" width="9" style="12"/>
    <col min="7" max="7" width="10.125" style="12" customWidth="1"/>
    <col min="8" max="8" width="14.5" style="12" customWidth="1"/>
    <col min="9" max="9" width="17.625" style="12" customWidth="1"/>
    <col min="10" max="10" width="16" style="12" customWidth="1"/>
    <col min="11" max="11" width="13.25" style="12" customWidth="1"/>
    <col min="12" max="23" width="9" style="12"/>
    <col min="24" max="24" width="11.875" style="12" bestFit="1" customWidth="1"/>
    <col min="25" max="25" width="16.375" style="12" bestFit="1" customWidth="1"/>
    <col min="26" max="26" width="9" style="86"/>
    <col min="27" max="30" width="9" style="12"/>
    <col min="31" max="31" width="9" style="86"/>
    <col min="32" max="36" width="9" style="12"/>
    <col min="37" max="37" width="16.375" style="12" bestFit="1" customWidth="1"/>
    <col min="38" max="43" width="9" style="12"/>
    <col min="44" max="44" width="18.875" style="12" bestFit="1" customWidth="1"/>
    <col min="45" max="48" width="9" style="12"/>
    <col min="49" max="49" width="18.875" style="12" bestFit="1" customWidth="1"/>
    <col min="50" max="53" width="9" style="12"/>
    <col min="54" max="55" width="18.875" style="12" bestFit="1" customWidth="1"/>
    <col min="56" max="56" width="9" style="12"/>
    <col min="57" max="74" width="11.75" style="12" customWidth="1"/>
    <col min="75" max="75" width="17.625" style="12" customWidth="1"/>
    <col min="76" max="76" width="9" style="12"/>
    <col min="77" max="77" width="14.25" style="12" customWidth="1"/>
    <col min="78" max="16384" width="9" style="12"/>
  </cols>
  <sheetData>
    <row r="1" spans="1:104" ht="18" x14ac:dyDescent="0.3">
      <c r="A1" s="266" t="s">
        <v>1971</v>
      </c>
      <c r="B1" s="267"/>
      <c r="C1" s="267"/>
      <c r="D1" s="267"/>
      <c r="E1" s="267"/>
      <c r="F1" s="267"/>
      <c r="G1" s="267"/>
      <c r="H1" s="267"/>
      <c r="I1" s="267"/>
      <c r="J1" s="268"/>
      <c r="K1" s="276" t="s">
        <v>1912</v>
      </c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8"/>
      <c r="Z1" s="85"/>
      <c r="AA1" s="271" t="s">
        <v>1936</v>
      </c>
      <c r="AB1" s="271"/>
      <c r="AC1" s="271"/>
      <c r="AD1" s="271"/>
      <c r="AE1" s="87"/>
      <c r="AF1" s="273" t="s">
        <v>1911</v>
      </c>
      <c r="AG1" s="274"/>
      <c r="AH1" s="274"/>
      <c r="AI1" s="274"/>
      <c r="AJ1" s="274"/>
      <c r="AK1" s="275"/>
      <c r="AL1" s="273" t="s">
        <v>1913</v>
      </c>
      <c r="AM1" s="274"/>
      <c r="AN1" s="274"/>
      <c r="AO1" s="274"/>
      <c r="AP1" s="274"/>
      <c r="AQ1" s="274"/>
      <c r="AR1" s="275"/>
      <c r="AS1" s="273" t="s">
        <v>1915</v>
      </c>
      <c r="AT1" s="274"/>
      <c r="AU1" s="274"/>
      <c r="AV1" s="274"/>
      <c r="AW1" s="275"/>
      <c r="AX1" s="269" t="s">
        <v>1916</v>
      </c>
      <c r="AY1" s="270"/>
      <c r="AZ1" s="270"/>
      <c r="BA1" s="270"/>
      <c r="BB1" s="270"/>
      <c r="BC1" s="270"/>
      <c r="BE1" s="272" t="s">
        <v>1929</v>
      </c>
      <c r="BF1" s="272"/>
      <c r="BG1" s="272"/>
      <c r="BH1" s="272"/>
      <c r="BI1" s="272"/>
      <c r="BJ1" s="272"/>
      <c r="BK1" s="272"/>
      <c r="BL1" s="272"/>
      <c r="BM1" s="272"/>
      <c r="BN1" s="272"/>
      <c r="BO1" s="272"/>
      <c r="BP1" s="272"/>
      <c r="BQ1" s="272"/>
      <c r="BR1" s="272"/>
      <c r="BS1" s="272"/>
      <c r="BT1" s="272"/>
      <c r="BU1" s="272"/>
      <c r="BV1" s="272"/>
      <c r="BW1" s="272"/>
      <c r="BY1" s="272" t="s">
        <v>1925</v>
      </c>
      <c r="BZ1" s="272"/>
      <c r="CA1" s="272"/>
      <c r="CB1" s="272"/>
      <c r="CC1" s="272"/>
      <c r="CD1" s="272"/>
      <c r="CE1" s="272"/>
      <c r="CF1" s="272"/>
      <c r="CG1" s="272"/>
      <c r="CH1" s="272"/>
      <c r="CI1" s="272"/>
      <c r="CJ1" s="272"/>
      <c r="CK1" s="272"/>
      <c r="CL1" s="272"/>
      <c r="CM1" s="272"/>
      <c r="CN1" s="272"/>
      <c r="CO1" s="272"/>
      <c r="CP1" s="272"/>
      <c r="CQ1" s="272"/>
      <c r="CR1" s="272"/>
      <c r="CS1" s="272"/>
      <c r="CT1" s="272"/>
      <c r="CU1" s="272"/>
      <c r="CV1" s="272"/>
      <c r="CW1" s="272"/>
      <c r="CX1" s="272"/>
      <c r="CY1" s="272"/>
      <c r="CZ1" s="272"/>
    </row>
    <row r="2" spans="1:104" ht="18" x14ac:dyDescent="0.3">
      <c r="A2" s="21" t="s">
        <v>164</v>
      </c>
      <c r="B2" s="21" t="s">
        <v>165</v>
      </c>
      <c r="C2" s="21" t="s">
        <v>166</v>
      </c>
      <c r="D2" s="21" t="s">
        <v>167</v>
      </c>
      <c r="E2" s="21" t="s">
        <v>168</v>
      </c>
      <c r="F2" s="21" t="s">
        <v>169</v>
      </c>
      <c r="G2" s="21" t="s">
        <v>170</v>
      </c>
      <c r="H2" s="21" t="s">
        <v>171</v>
      </c>
      <c r="I2" s="21" t="s">
        <v>172</v>
      </c>
      <c r="J2" s="21" t="s">
        <v>173</v>
      </c>
      <c r="K2" s="63" t="s">
        <v>55</v>
      </c>
      <c r="L2" s="63" t="s">
        <v>37</v>
      </c>
      <c r="M2" s="63" t="s">
        <v>38</v>
      </c>
      <c r="N2" s="63" t="s">
        <v>68</v>
      </c>
      <c r="O2" s="63" t="s">
        <v>69</v>
      </c>
      <c r="P2" s="63" t="s">
        <v>70</v>
      </c>
      <c r="Q2" s="63" t="s">
        <v>71</v>
      </c>
      <c r="R2" s="63" t="s">
        <v>67</v>
      </c>
      <c r="S2" s="63" t="s">
        <v>72</v>
      </c>
      <c r="T2" s="63" t="s">
        <v>73</v>
      </c>
      <c r="U2" s="63" t="s">
        <v>74</v>
      </c>
      <c r="V2" s="63" t="s">
        <v>75</v>
      </c>
      <c r="W2" s="63" t="s">
        <v>76</v>
      </c>
      <c r="X2" s="63" t="s">
        <v>3758</v>
      </c>
      <c r="Y2" s="63" t="s">
        <v>3771</v>
      </c>
      <c r="Z2" s="85"/>
      <c r="AA2" s="78" t="s">
        <v>36</v>
      </c>
      <c r="AB2" s="78" t="s">
        <v>1914</v>
      </c>
      <c r="AC2" s="78" t="s">
        <v>3</v>
      </c>
      <c r="AD2" s="78" t="s">
        <v>2</v>
      </c>
      <c r="AE2" s="85"/>
      <c r="AF2" s="79" t="s">
        <v>3</v>
      </c>
      <c r="AG2" s="84" t="s">
        <v>1930</v>
      </c>
      <c r="AH2" s="84" t="s">
        <v>1931</v>
      </c>
      <c r="AI2" s="84" t="s">
        <v>1932</v>
      </c>
      <c r="AJ2" s="84" t="s">
        <v>1933</v>
      </c>
      <c r="AK2" s="84" t="s">
        <v>1959</v>
      </c>
      <c r="AL2" s="79" t="s">
        <v>36</v>
      </c>
      <c r="AM2" s="79" t="s">
        <v>1914</v>
      </c>
      <c r="AN2" s="79" t="s">
        <v>3</v>
      </c>
      <c r="AO2" s="79" t="s">
        <v>2</v>
      </c>
      <c r="AP2" s="84" t="s">
        <v>1934</v>
      </c>
      <c r="AQ2" s="84" t="s">
        <v>1935</v>
      </c>
      <c r="AR2" s="84" t="s">
        <v>1960</v>
      </c>
      <c r="AS2" s="79" t="s">
        <v>36</v>
      </c>
      <c r="AT2" s="79" t="s">
        <v>1914</v>
      </c>
      <c r="AU2" s="79" t="s">
        <v>3</v>
      </c>
      <c r="AV2" s="79" t="s">
        <v>2</v>
      </c>
      <c r="AW2" s="84" t="s">
        <v>1960</v>
      </c>
      <c r="AX2" s="79" t="s">
        <v>36</v>
      </c>
      <c r="AY2" s="79" t="s">
        <v>1914</v>
      </c>
      <c r="AZ2" s="79" t="s">
        <v>3</v>
      </c>
      <c r="BA2" s="79" t="s">
        <v>2</v>
      </c>
      <c r="BB2" s="84" t="s">
        <v>1959</v>
      </c>
      <c r="BC2" s="84" t="s">
        <v>1961</v>
      </c>
      <c r="BE2" s="80" t="s">
        <v>55</v>
      </c>
      <c r="BF2" s="80" t="s">
        <v>1911</v>
      </c>
      <c r="BG2" s="92" t="s">
        <v>1964</v>
      </c>
      <c r="BH2" s="80" t="s">
        <v>1913</v>
      </c>
      <c r="BI2" s="92" t="s">
        <v>1965</v>
      </c>
      <c r="BJ2" s="92" t="s">
        <v>1917</v>
      </c>
      <c r="BK2" s="92" t="s">
        <v>1966</v>
      </c>
      <c r="BL2" s="92" t="s">
        <v>1918</v>
      </c>
      <c r="BM2" s="92" t="s">
        <v>1967</v>
      </c>
      <c r="BN2" s="92" t="s">
        <v>1924</v>
      </c>
      <c r="BO2" s="92" t="s">
        <v>1968</v>
      </c>
      <c r="BP2" s="92" t="s">
        <v>1923</v>
      </c>
      <c r="BQ2" s="92" t="s">
        <v>1969</v>
      </c>
      <c r="BR2" s="92" t="s">
        <v>1921</v>
      </c>
      <c r="BS2" s="92" t="s">
        <v>1970</v>
      </c>
      <c r="BT2" s="92" t="s">
        <v>1922</v>
      </c>
      <c r="BU2" s="92" t="s">
        <v>1963</v>
      </c>
      <c r="BV2" s="92" t="s">
        <v>1915</v>
      </c>
      <c r="BW2" s="92" t="s">
        <v>1962</v>
      </c>
      <c r="BY2" s="80" t="s">
        <v>1937</v>
      </c>
      <c r="BZ2" s="88">
        <v>35</v>
      </c>
      <c r="CA2" s="88">
        <v>40</v>
      </c>
      <c r="CB2" s="88">
        <v>50</v>
      </c>
      <c r="CC2" s="88">
        <v>60</v>
      </c>
      <c r="CD2" s="88">
        <v>65</v>
      </c>
      <c r="CE2" s="88">
        <v>70</v>
      </c>
      <c r="CF2" s="88">
        <v>75</v>
      </c>
      <c r="CG2" s="88" t="s">
        <v>1938</v>
      </c>
      <c r="CH2" s="88" t="s">
        <v>1939</v>
      </c>
      <c r="CI2" s="88" t="s">
        <v>1940</v>
      </c>
      <c r="CJ2" s="88" t="s">
        <v>1941</v>
      </c>
      <c r="CK2" s="88" t="s">
        <v>1942</v>
      </c>
      <c r="CL2" s="88" t="s">
        <v>1943</v>
      </c>
      <c r="CM2" s="88" t="s">
        <v>1944</v>
      </c>
      <c r="CN2" s="88" t="s">
        <v>1945</v>
      </c>
      <c r="CO2" s="88" t="s">
        <v>1946</v>
      </c>
      <c r="CP2" s="88" t="s">
        <v>1947</v>
      </c>
      <c r="CQ2" s="88" t="s">
        <v>1948</v>
      </c>
      <c r="CR2" s="88" t="s">
        <v>1949</v>
      </c>
      <c r="CS2" s="88" t="s">
        <v>1950</v>
      </c>
      <c r="CT2" s="88" t="s">
        <v>1951</v>
      </c>
      <c r="CU2" s="88" t="s">
        <v>1952</v>
      </c>
      <c r="CV2" s="88" t="s">
        <v>1953</v>
      </c>
      <c r="CW2" s="88" t="s">
        <v>1954</v>
      </c>
      <c r="CX2" s="88" t="s">
        <v>1955</v>
      </c>
      <c r="CY2" s="88" t="s">
        <v>1956</v>
      </c>
      <c r="CZ2" s="88" t="s">
        <v>1957</v>
      </c>
    </row>
    <row r="3" spans="1:104" ht="18" x14ac:dyDescent="0.3">
      <c r="A3" s="29" t="s">
        <v>174</v>
      </c>
      <c r="B3" s="29" t="s">
        <v>175</v>
      </c>
      <c r="C3" s="29" t="s">
        <v>213</v>
      </c>
      <c r="D3" s="29"/>
      <c r="E3" s="29" t="s">
        <v>214</v>
      </c>
      <c r="F3" s="29">
        <v>1</v>
      </c>
      <c r="G3" s="29">
        <v>35</v>
      </c>
      <c r="H3" s="29"/>
      <c r="I3" s="22" t="s">
        <v>215</v>
      </c>
      <c r="J3" s="22" t="s">
        <v>216</v>
      </c>
      <c r="K3" s="90">
        <v>1</v>
      </c>
      <c r="L3" s="91">
        <f>INT(3/150*L29)</f>
        <v>300</v>
      </c>
      <c r="M3" s="91">
        <f t="shared" ref="M3:W3" si="0">INT(3/150*M29)</f>
        <v>1200</v>
      </c>
      <c r="N3" s="91">
        <f t="shared" si="0"/>
        <v>20</v>
      </c>
      <c r="O3" s="91">
        <f t="shared" si="0"/>
        <v>40</v>
      </c>
      <c r="P3" s="91">
        <f t="shared" si="0"/>
        <v>20</v>
      </c>
      <c r="Q3" s="91">
        <f t="shared" si="0"/>
        <v>40</v>
      </c>
      <c r="R3" s="91">
        <f t="shared" si="0"/>
        <v>20</v>
      </c>
      <c r="S3" s="91">
        <f t="shared" si="0"/>
        <v>40</v>
      </c>
      <c r="T3" s="91">
        <f t="shared" si="0"/>
        <v>15</v>
      </c>
      <c r="U3" s="91">
        <f t="shared" si="0"/>
        <v>30</v>
      </c>
      <c r="V3" s="91">
        <f t="shared" si="0"/>
        <v>15</v>
      </c>
      <c r="W3" s="91">
        <f t="shared" si="0"/>
        <v>30</v>
      </c>
      <c r="X3" s="91">
        <f>L3*属性价值参考!C$5+基本装备!M3*属性价值参考!C$6+基本装备!N3*属性价值参考!C$7+基本装备!O3*属性价值参考!C$8+基本装备!T3*属性价值参考!C$9+基本装备!U3*属性价值参考!C$10+基本装备!V3*属性价值参考!C$11+基本装备!W3*属性价值参考!C$12</f>
        <v>7030.8</v>
      </c>
      <c r="Y3" s="91">
        <f>基本装备!AG3*属性价值参考!C$13+基本装备!AH3*属性价值参考!C$36+基本装备!AI3*属性价值参考!C$19+基本装备!AJ3*属性价值参考!C$15+基本装备!AK3*属性价值参考!C$27+基本装备!AP3*属性价值参考!C$20+基本装备!AQ3*属性价值参考!C$21+基本装备!AR3*属性价值参考!C$26+8*(基本装备!AW3*属性价值参考!C$26+基本装备!BB3*属性价值参考!C$27+基本装备!BC3*(属性价值参考!C$28+属性价值参考!C$29))</f>
        <v>4212</v>
      </c>
      <c r="Z3" s="9"/>
      <c r="AA3" s="81">
        <f t="shared" ref="AA3:AA28" si="1">AL3+AS3+AX3*8</f>
        <v>300</v>
      </c>
      <c r="AB3" s="81">
        <f t="shared" ref="AB3:AB28" si="2">AM3+AT3+AY3*8</f>
        <v>1200</v>
      </c>
      <c r="AC3" s="81">
        <f t="shared" ref="AC3:AC28" si="3">AF3+AN3+AU3+AZ3*8</f>
        <v>40</v>
      </c>
      <c r="AD3" s="81">
        <f t="shared" ref="AD3:AD28" si="4">AO3+AV3+BA3*8</f>
        <v>30</v>
      </c>
      <c r="AE3" s="9"/>
      <c r="AF3" s="82">
        <f t="shared" ref="AF3:AF28" si="5">1/4*O3</f>
        <v>10</v>
      </c>
      <c r="AG3" s="82"/>
      <c r="AH3" s="82"/>
      <c r="AI3" s="82"/>
      <c r="AJ3" s="82"/>
      <c r="AK3" s="82">
        <v>1</v>
      </c>
      <c r="AL3" s="82">
        <f t="shared" ref="AL3:AL28" si="6">4/15*L3</f>
        <v>80</v>
      </c>
      <c r="AM3" s="82">
        <f t="shared" ref="AM3:AM28" si="7">4/15*M3</f>
        <v>320</v>
      </c>
      <c r="AN3" s="82">
        <f t="shared" ref="AN3:AN28" si="8">2/25*O3</f>
        <v>3.2</v>
      </c>
      <c r="AO3" s="82">
        <f t="shared" ref="AO3:AO28" si="9">7/25*U3</f>
        <v>8.4</v>
      </c>
      <c r="AP3" s="82"/>
      <c r="AQ3" s="82"/>
      <c r="AR3" s="82">
        <v>1</v>
      </c>
      <c r="AS3" s="82">
        <f t="shared" ref="AS3:AS28" si="10">7/75*L3</f>
        <v>28</v>
      </c>
      <c r="AT3" s="82">
        <f t="shared" ref="AT3:AT28" si="11">1/15*M3</f>
        <v>80</v>
      </c>
      <c r="AU3" s="82">
        <f t="shared" ref="AU3:AU28" si="12">140/2000*O3</f>
        <v>2.8000000000000003</v>
      </c>
      <c r="AV3" s="82">
        <f t="shared" ref="AV3:AV28" si="13">2/25*U3</f>
        <v>2.4</v>
      </c>
      <c r="AW3" s="82">
        <v>1</v>
      </c>
      <c r="AX3" s="82">
        <f t="shared" ref="AX3:AX28" si="14">2/25*L3</f>
        <v>24</v>
      </c>
      <c r="AY3" s="82">
        <f t="shared" ref="AY3:AY28" si="15">1/12*M3</f>
        <v>100</v>
      </c>
      <c r="AZ3" s="82">
        <f t="shared" ref="AZ3:AZ28" si="16">3/40*O3</f>
        <v>3</v>
      </c>
      <c r="BA3" s="82">
        <f t="shared" ref="BA3:BA28" si="17">2/25*U3</f>
        <v>2.4</v>
      </c>
      <c r="BB3" s="89">
        <v>1</v>
      </c>
      <c r="BC3" s="89">
        <v>1</v>
      </c>
      <c r="BE3" s="83">
        <v>1</v>
      </c>
      <c r="BF3" s="83" t="str">
        <f>"3#3#"&amp;INT(0.5*AF3)&amp;"|"&amp;"3#4#"&amp;INT(AF3)&amp;"|"&amp;"3#5#"&amp;INT(0.5*AF3)&amp;"|"&amp;"3#6#"&amp;INT(AF3)&amp;"|"&amp;"3#7#"&amp;INT(0.5*AF3)&amp;"|"&amp;"3#8#"&amp;INT(AF3)</f>
        <v>3#3#5|3#4#10|3#5#5|3#6#10|3#7#5|3#8#10</v>
      </c>
      <c r="BG3" s="83" t="str">
        <f t="shared" ref="BG3:BG28" si="18">"3#35#"&amp;100*AK3</f>
        <v>3#35#100</v>
      </c>
      <c r="BH3" s="83" t="str">
        <f>"3#9#"&amp;INT(0.5*AO3)&amp;"|"&amp;"3#10#"&amp;INT(AO3)&amp;"|"&amp;"3#11#"&amp;INT(0.5*AO3)&amp;"|"&amp;"3#12#"&amp;INT(AO3)&amp;"|"&amp;"3#3#"&amp;INT(0.5*AN3)&amp;"|"&amp;"3#4#"&amp;INT(AN3)&amp;"|"&amp;"3#5#"&amp;INT(0.5*AN3)&amp;"|"&amp;"3#6#"&amp;INT(AN3)&amp;"|"&amp;"3#7#"&amp;INT(0.5*AN3)&amp;"|"&amp;"3#8#"&amp;INT(AN3)&amp;"|"&amp;"0#1#"&amp;INT(AL3)&amp;"|"&amp;"0#2#"&amp;INT(0.1*AM3)&amp;"|"&amp;"1#1#"&amp;INT(0.3*AL3)&amp;"|"&amp;"1#2#"&amp;INT(AM3)&amp;"|"&amp;"2#1#"&amp;INT(0.6*AL3)&amp;"|"&amp;"2#2#"&amp;INT(0.8*AM3)</f>
        <v>3#9#4|3#10#8|3#11#4|3#12#8|3#3#1|3#4#3|3#5#1|3#6#3|3#7#1|3#8#3|0#1#80|0#2#32|1#1#24|1#2#320|2#1#48|2#2#256</v>
      </c>
      <c r="BI3" s="83" t="str">
        <f t="shared" ref="BI3:BI28" si="19">"3#30#"&amp;AR3&amp;"|"&amp;"3#31#"&amp;AR3</f>
        <v>3#30#1|3#31#1</v>
      </c>
      <c r="BJ3" s="83" t="str">
        <f t="shared" ref="BJ3:BJ28" si="2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K3" s="83" t="str">
        <f t="shared" ref="BK3:BK28" si="21">"3#35#"&amp;100*BB3&amp;"|"&amp;"3#36#"&amp;100*BC3</f>
        <v>3#35#100|3#36#100</v>
      </c>
      <c r="BL3" s="83" t="str">
        <f t="shared" ref="BL3:BL28" si="22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M3" s="83" t="str">
        <f t="shared" ref="BM3:BM28" si="23">"3#35#"&amp;100*BB3&amp;"|"&amp;"3#36#"&amp;100*BC3</f>
        <v>3#35#100|3#36#100</v>
      </c>
      <c r="BN3" s="83" t="str">
        <f t="shared" ref="BN3:BN28" si="24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O3" s="83" t="str">
        <f t="shared" ref="BO3:BO28" si="25">"3#35#"&amp;100*BB3&amp;"|"&amp;"3#37#"&amp;100*BC3</f>
        <v>3#35#100|3#37#100</v>
      </c>
      <c r="BP3" s="83" t="str">
        <f t="shared" ref="BP3:BP28" si="26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Q3" s="83" t="str">
        <f t="shared" ref="BQ3:BQ28" si="27">"3#35#"&amp;100*BB3&amp;"|"&amp;"3#37#"&amp;100*BC3</f>
        <v>3#35#100|3#37#100</v>
      </c>
      <c r="BR3" s="83" t="str">
        <f t="shared" ref="BR3:BR28" si="28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S3" s="83" t="str">
        <f t="shared" ref="BS3:BS28" si="29">"3#35#"&amp;100*BB3&amp;"|"&amp;"3#36#"&amp;100*BC3</f>
        <v>3#35#100|3#36#100</v>
      </c>
      <c r="BT3" s="83" t="str">
        <f t="shared" ref="BT3:BT28" si="3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U3" s="83" t="str">
        <f t="shared" ref="BU3:BU28" si="31">"3#35#"&amp;100*BB3&amp;"|"&amp;"3#36#"&amp;100*BC3</f>
        <v>3#35#100|3#36#100</v>
      </c>
      <c r="BV3" s="83" t="str">
        <f t="shared" ref="BV3:BV28" si="32">"3#9#"&amp;INT(0.5*AV3)&amp;"|"&amp;"3#10#"&amp;INT(AV3)&amp;"|"&amp;"3#11#"&amp;INT(0.5*AV3)&amp;"|"&amp;"3#12#"&amp;INT(AV3)&amp;"|"&amp;"3#3#"&amp;INT(0.5*AU3)&amp;"|"&amp;"3#4#"&amp;INT(AU3)&amp;"|"&amp;"3#5#"&amp;INT(0.5*AU3)&amp;"|"&amp;"3#6#"&amp;INT(AU3)&amp;"|"&amp;"3#7#"&amp;INT(0.5*AU3)&amp;"|"&amp;"3#8#"&amp;INT(AU3)&amp;"|"&amp;"0#1#"&amp;INT(AS3)&amp;"|"&amp;"0#2#"&amp;INT(0.1*AT3)&amp;"|"&amp;"1#1#"&amp;INT(0.3*AS3)&amp;"|"&amp;"1#2#"&amp;INT(AT3)&amp;"|"&amp;"2#1#"&amp;INT(0.6*AS3)&amp;"|"&amp;"2#2#"&amp;INT(0.8*AT3)</f>
        <v>3#9#1|3#10#2|3#11#1|3#12#2|3#3#1|3#4#2|3#5#1|3#6#2|3#7#1|3#8#2|0#1#28|0#2#8|1#1#8|1#2#80|2#1#16|2#2#64</v>
      </c>
      <c r="BW3" s="83" t="str">
        <f t="shared" ref="BW3:BW28" si="33">"3#30#"&amp;AW3&amp;"|"&amp;"3#31#"&amp;AW3</f>
        <v>3#30#1|3#31#1</v>
      </c>
      <c r="BY3" s="80" t="s">
        <v>1928</v>
      </c>
      <c r="BZ3" s="88">
        <v>1</v>
      </c>
      <c r="CA3" s="88">
        <v>2</v>
      </c>
      <c r="CB3" s="88">
        <v>3</v>
      </c>
      <c r="CC3" s="88">
        <v>4</v>
      </c>
      <c r="CD3" s="88">
        <v>5</v>
      </c>
      <c r="CE3" s="88">
        <v>6</v>
      </c>
      <c r="CF3" s="88">
        <v>7</v>
      </c>
      <c r="CG3" s="88">
        <v>8</v>
      </c>
      <c r="CH3" s="88">
        <v>9</v>
      </c>
      <c r="CI3" s="88">
        <v>10</v>
      </c>
      <c r="CJ3" s="88">
        <v>11</v>
      </c>
      <c r="CK3" s="88">
        <v>12</v>
      </c>
      <c r="CL3" s="88">
        <v>13</v>
      </c>
      <c r="CM3" s="88">
        <v>14</v>
      </c>
      <c r="CN3" s="88">
        <v>15</v>
      </c>
      <c r="CO3" s="88">
        <v>16</v>
      </c>
      <c r="CP3" s="88">
        <v>17</v>
      </c>
      <c r="CQ3" s="88">
        <v>18</v>
      </c>
      <c r="CR3" s="88">
        <v>19</v>
      </c>
      <c r="CS3" s="88">
        <v>20</v>
      </c>
      <c r="CT3" s="88">
        <v>21</v>
      </c>
      <c r="CU3" s="88">
        <v>22</v>
      </c>
      <c r="CV3" s="88">
        <v>23</v>
      </c>
      <c r="CW3" s="88">
        <v>24</v>
      </c>
      <c r="CX3" s="88">
        <v>25</v>
      </c>
      <c r="CY3" s="88">
        <v>26</v>
      </c>
      <c r="CZ3" s="88">
        <v>27</v>
      </c>
    </row>
    <row r="4" spans="1:104" x14ac:dyDescent="0.3">
      <c r="A4" s="29" t="s">
        <v>174</v>
      </c>
      <c r="B4" s="29" t="s">
        <v>175</v>
      </c>
      <c r="C4" s="29" t="s">
        <v>217</v>
      </c>
      <c r="D4" s="29"/>
      <c r="E4" s="29" t="s">
        <v>218</v>
      </c>
      <c r="F4" s="29">
        <v>1</v>
      </c>
      <c r="G4" s="29">
        <v>35</v>
      </c>
      <c r="H4" s="29"/>
      <c r="I4" s="22" t="s">
        <v>219</v>
      </c>
      <c r="J4" s="22" t="s">
        <v>220</v>
      </c>
      <c r="K4" s="90">
        <v>2</v>
      </c>
      <c r="L4" s="91">
        <f>INT(4.5/150*L29)</f>
        <v>450</v>
      </c>
      <c r="M4" s="91">
        <f t="shared" ref="M4:W4" si="34">INT(4.5/150*M29)</f>
        <v>1800</v>
      </c>
      <c r="N4" s="91">
        <f t="shared" si="34"/>
        <v>30</v>
      </c>
      <c r="O4" s="91">
        <f t="shared" si="34"/>
        <v>60</v>
      </c>
      <c r="P4" s="91">
        <f t="shared" si="34"/>
        <v>30</v>
      </c>
      <c r="Q4" s="91">
        <f t="shared" si="34"/>
        <v>60</v>
      </c>
      <c r="R4" s="91">
        <f t="shared" si="34"/>
        <v>30</v>
      </c>
      <c r="S4" s="91">
        <f t="shared" si="34"/>
        <v>60</v>
      </c>
      <c r="T4" s="91">
        <f t="shared" si="34"/>
        <v>22</v>
      </c>
      <c r="U4" s="91">
        <f t="shared" si="34"/>
        <v>45</v>
      </c>
      <c r="V4" s="91">
        <f t="shared" si="34"/>
        <v>22</v>
      </c>
      <c r="W4" s="91">
        <f t="shared" si="34"/>
        <v>45</v>
      </c>
      <c r="X4" s="91">
        <f>L4*属性价值参考!C$5+基本装备!M4*属性价值参考!C$6+基本装备!N4*属性价值参考!C$7+基本装备!O4*属性价值参考!C$8+基本装备!T4*属性价值参考!C$9+基本装备!U4*属性价值参考!C$10+基本装备!V4*属性价值参考!C$11+基本装备!W4*属性价值参考!C$12</f>
        <v>10532.4</v>
      </c>
      <c r="Y4" s="91">
        <f>基本装备!AG4*属性价值参考!C$13+基本装备!AH4*属性价值参考!C$36+基本装备!AI4*属性价值参考!C$19+基本装备!AJ4*属性价值参考!C$15+基本装备!AK4*属性价值参考!C$27+基本装备!AP4*属性价值参考!C$20+基本装备!AQ4*属性价值参考!C$21+基本装备!AR4*属性价值参考!C$26+8*(基本装备!AW4*属性价值参考!C$26+基本装备!BB4*属性价值参考!C$27+基本装备!BC4*(属性价值参考!C$28+属性价值参考!C$29))</f>
        <v>5054.3999999999996</v>
      </c>
      <c r="Z4" s="9"/>
      <c r="AA4" s="81">
        <f t="shared" si="1"/>
        <v>450</v>
      </c>
      <c r="AB4" s="81">
        <f t="shared" si="2"/>
        <v>1800</v>
      </c>
      <c r="AC4" s="81">
        <f t="shared" si="3"/>
        <v>60</v>
      </c>
      <c r="AD4" s="81">
        <f t="shared" si="4"/>
        <v>45</v>
      </c>
      <c r="AE4" s="9"/>
      <c r="AF4" s="82">
        <f t="shared" si="5"/>
        <v>15</v>
      </c>
      <c r="AG4" s="82"/>
      <c r="AH4" s="82"/>
      <c r="AI4" s="82"/>
      <c r="AJ4" s="82"/>
      <c r="AK4" s="82">
        <v>2</v>
      </c>
      <c r="AL4" s="82">
        <f t="shared" si="6"/>
        <v>120</v>
      </c>
      <c r="AM4" s="82">
        <f t="shared" si="7"/>
        <v>480</v>
      </c>
      <c r="AN4" s="82">
        <f t="shared" si="8"/>
        <v>4.8</v>
      </c>
      <c r="AO4" s="82">
        <f t="shared" si="9"/>
        <v>12.600000000000001</v>
      </c>
      <c r="AP4" s="82"/>
      <c r="AQ4" s="82"/>
      <c r="AR4" s="82">
        <v>2</v>
      </c>
      <c r="AS4" s="82">
        <f t="shared" si="10"/>
        <v>42</v>
      </c>
      <c r="AT4" s="82">
        <f t="shared" si="11"/>
        <v>120</v>
      </c>
      <c r="AU4" s="82">
        <f t="shared" si="12"/>
        <v>4.2</v>
      </c>
      <c r="AV4" s="82">
        <f t="shared" si="13"/>
        <v>3.6</v>
      </c>
      <c r="AW4" s="82">
        <v>2</v>
      </c>
      <c r="AX4" s="82">
        <f t="shared" si="14"/>
        <v>36</v>
      </c>
      <c r="AY4" s="82">
        <f t="shared" si="15"/>
        <v>150</v>
      </c>
      <c r="AZ4" s="82">
        <f t="shared" si="16"/>
        <v>4.5</v>
      </c>
      <c r="BA4" s="82">
        <f t="shared" si="17"/>
        <v>3.6</v>
      </c>
      <c r="BB4" s="89">
        <v>1</v>
      </c>
      <c r="BC4" s="89">
        <v>1</v>
      </c>
      <c r="BE4" s="83">
        <v>2</v>
      </c>
      <c r="BF4" s="83" t="str">
        <f>"3#3#"&amp;INT(0.5*AF4)&amp;"|"&amp;"3#4#"&amp;INT(AF4)&amp;"|"&amp;"3#5#"&amp;INT(0.5*AF4)&amp;"|"&amp;"3#6#"&amp;INT(AF4)&amp;"|"&amp;"3#7#"&amp;INT(0.5*AF4)&amp;"|"&amp;"3#8#"&amp;INT(AF4)</f>
        <v>3#3#7|3#4#15|3#5#7|3#6#15|3#7#7|3#8#15</v>
      </c>
      <c r="BG4" s="83" t="str">
        <f t="shared" si="18"/>
        <v>3#35#200</v>
      </c>
      <c r="BH4" s="83" t="str">
        <f>"3#9#"&amp;INT(0.5*AO4)&amp;"|"&amp;"3#10#"&amp;INT(AO4)&amp;"|"&amp;"3#11#"&amp;INT(0.5*AO4)&amp;"|"&amp;"3#12#"&amp;INT(AO4)&amp;"|"&amp;"3#3#"&amp;INT(0.5*AN4)&amp;"|"&amp;"3#4#"&amp;INT(AN4)&amp;"|"&amp;"3#5#"&amp;INT(0.5*AN4)&amp;"|"&amp;"3#6#"&amp;INT(AN4)&amp;"|"&amp;"3#7#"&amp;INT(0.5*AN4)&amp;"|"&amp;"3#8#"&amp;INT(AN4)&amp;"|"&amp;"0#1#"&amp;INT(AL4)&amp;"|"&amp;"0#2#"&amp;INT(0.1*AM4)&amp;"|"&amp;"1#1#"&amp;INT(0.3*AL4)&amp;"|"&amp;"1#2#"&amp;INT(AM4)&amp;"|"&amp;"2#1#"&amp;INT(0.6*AL4)&amp;"|"&amp;"2#2#"&amp;INT(0.8*AM4)</f>
        <v>3#9#6|3#10#12|3#11#6|3#12#12|3#3#2|3#4#4|3#5#2|3#6#4|3#7#2|3#8#4|0#1#120|0#2#48|1#1#36|1#2#480|2#1#72|2#2#384</v>
      </c>
      <c r="BI4" s="83" t="str">
        <f t="shared" si="19"/>
        <v>3#30#2|3#31#2</v>
      </c>
      <c r="BJ4" s="83" t="str">
        <f t="shared" si="20"/>
        <v>3#9#1|3#10#3|3#11#1|3#12#3|0#1#36|0#2#15|1#1#10|1#2#150|2#1#21|2#2#120</v>
      </c>
      <c r="BK4" s="83" t="str">
        <f t="shared" si="21"/>
        <v>3#35#100|3#36#100</v>
      </c>
      <c r="BL4" s="83" t="str">
        <f t="shared" si="22"/>
        <v>3#9#1|3#10#3|3#11#1|3#12#3|0#1#36|0#2#15|1#1#10|1#2#150|2#1#21|2#2#120</v>
      </c>
      <c r="BM4" s="83" t="str">
        <f t="shared" si="23"/>
        <v>3#35#100|3#36#100</v>
      </c>
      <c r="BN4" s="83" t="str">
        <f t="shared" si="24"/>
        <v>3#9#1|3#10#3|3#11#1|3#12#3|0#1#36|0#2#15|1#1#10|1#2#150|2#1#21|2#2#120</v>
      </c>
      <c r="BO4" s="83" t="str">
        <f t="shared" si="25"/>
        <v>3#35#100|3#37#100</v>
      </c>
      <c r="BP4" s="83" t="str">
        <f t="shared" si="26"/>
        <v>3#9#1|3#10#3|3#11#1|3#12#3|0#1#36|0#2#15|1#1#10|1#2#150|2#1#21|2#2#120</v>
      </c>
      <c r="BQ4" s="83" t="str">
        <f t="shared" si="27"/>
        <v>3#35#100|3#37#100</v>
      </c>
      <c r="BR4" s="83" t="str">
        <f t="shared" si="28"/>
        <v>3#9#1|3#10#3|3#11#1|3#12#3|0#1#36|0#2#15|1#1#10|1#2#150|2#1#21|2#2#120</v>
      </c>
      <c r="BS4" s="83" t="str">
        <f t="shared" si="29"/>
        <v>3#35#100|3#36#100</v>
      </c>
      <c r="BT4" s="83" t="str">
        <f t="shared" si="30"/>
        <v>3#9#1|3#10#3|3#11#1|3#12#3|0#1#36|0#2#15|1#1#10|1#2#150|2#1#21|2#2#120</v>
      </c>
      <c r="BU4" s="83" t="str">
        <f t="shared" si="31"/>
        <v>3#35#100|3#36#100</v>
      </c>
      <c r="BV4" s="83" t="str">
        <f t="shared" si="32"/>
        <v>3#9#1|3#10#3|3#11#1|3#12#3|3#3#2|3#4#4|3#5#2|3#6#4|3#7#2|3#8#4|0#1#42|0#2#12|1#1#12|1#2#120|2#1#25|2#2#96</v>
      </c>
      <c r="BW4" s="83" t="str">
        <f t="shared" si="33"/>
        <v>3#30#2|3#31#2</v>
      </c>
      <c r="BY4" s="8" t="s">
        <v>1911</v>
      </c>
      <c r="BZ4" s="8" t="str">
        <f>BF3</f>
        <v>3#3#5|3#4#10|3#5#5|3#6#10|3#7#5|3#8#10</v>
      </c>
      <c r="CA4" s="8" t="str">
        <f>BF4</f>
        <v>3#3#7|3#4#15|3#5#7|3#6#15|3#7#7|3#8#15</v>
      </c>
      <c r="CB4" s="8" t="str">
        <f>BF5</f>
        <v>3#3#10|3#4#20|3#5#10|3#6#20|3#7#10|3#8#20</v>
      </c>
      <c r="CC4" s="8" t="str">
        <f>BF6</f>
        <v>3#3#12|3#4#25|3#5#12|3#6#25|3#7#12|3#8#25|3#13#30|3#20#1|3#25#1|3#21#1</v>
      </c>
      <c r="CD4" s="8" t="str">
        <f>BF7</f>
        <v>3#3#16|3#4#32|3#5#16|3#6#32|3#7#16|3#8#32|3#13#30|3#20#1|3#25#1|3#21#1</v>
      </c>
      <c r="CE4" s="8" t="str">
        <f>BF8</f>
        <v>3#3#20|3#4#40|3#5#20|3#6#40|3#7#20|3#8#40|3#13#35|3#20#1|3#25#2|3#21#1</v>
      </c>
      <c r="CF4" s="8" t="str">
        <f>BF9</f>
        <v>3#3#23|3#4#47|3#5#23|3#6#47|3#7#23|3#8#47|3#13#35|3#20#2|3#25#2|3#21#1</v>
      </c>
      <c r="CG4" s="8" t="str">
        <f>BF10</f>
        <v>3#3#27|3#4#55|3#5#27|3#6#55|3#7#27|3#8#55|3#13#40|3#20#2|3#25#3|3#21#2</v>
      </c>
      <c r="CH4" s="8" t="str">
        <f>BF11</f>
        <v>3#3#35|3#4#70|3#5#35|3#6#70|3#7#35|3#8#70|3#13#40|3#20#2|3#25#3|3#21#2</v>
      </c>
      <c r="CI4" s="8" t="str">
        <f>BF12</f>
        <v>3#3#45|3#4#90|3#5#45|3#6#90|3#7#45|3#8#90|3#13#45|3#20#2|3#25#4|3#21#2</v>
      </c>
      <c r="CJ4" s="8" t="str">
        <f>BF13</f>
        <v>3#3#55|3#4#110|3#5#55|3#6#110|3#7#55|3#8#110|3#13#45|3#20#3|3#25#4|3#21#3</v>
      </c>
      <c r="CK4" s="8" t="str">
        <f>BF14</f>
        <v>3#3#63|3#4#127|3#5#63|3#6#127|3#7#63|3#8#127|3#13#50|3#20#3|3#25#5|3#21#3</v>
      </c>
      <c r="CL4" s="8" t="str">
        <f>BF15</f>
        <v>3#3#72|3#4#145|3#5#72|3#6#145|3#7#72|3#8#145|3#13#50|3#20#3|3#25#5|3#21#3</v>
      </c>
      <c r="CM4" s="8" t="str">
        <f>BF16</f>
        <v>3#3#80|3#4#160|3#5#80|3#6#160|3#7#80|3#8#160|3#13#55|3#20#3|3#25#6|3#21#4</v>
      </c>
      <c r="CN4" s="8" t="str">
        <f>BF17</f>
        <v>3#3#87|3#4#175|3#5#87|3#6#175|3#7#87|3#8#175|3#13#55|3#20#4|3#25#6|3#21#4</v>
      </c>
      <c r="CO4" s="8" t="str">
        <f>BF18</f>
        <v>3#3#93|3#4#187|3#5#93|3#6#187|3#7#93|3#8#187|3#13#60|3#20#4|3#25#7|3#21#4</v>
      </c>
      <c r="CP4" s="8" t="str">
        <f>BF19</f>
        <v>3#3#100|3#4#200|3#5#100|3#6#200|3#7#100|3#8#200|3#13#60|3#20#4|3#25#8|3#21#5</v>
      </c>
      <c r="CQ4" s="8" t="str">
        <f>BF20</f>
        <v>3#3#110|3#4#220|3#5#110|3#6#220|3#7#110|3#8#220|3#13#65|3#20#4|3#25#9|3#21#5</v>
      </c>
      <c r="CR4" s="8" t="str">
        <f>BF21</f>
        <v>3#3#120|3#4#240|3#5#120|3#6#240|3#7#120|3#8#240|3#13#70|3#20#5|3#25#10|3#21#6</v>
      </c>
      <c r="CS4" s="8" t="str">
        <f>BF22</f>
        <v>3#3#132|3#4#265|3#5#132|3#6#265|3#7#132|3#8#265|3#13#70|3#20#5|3#25#11|3#21#6</v>
      </c>
      <c r="CT4" s="8" t="str">
        <f>BF23</f>
        <v>3#3#145|3#4#290|3#5#145|3#6#290|3#7#145|3#8#290|3#13#70|3#20#5|3#25#12|3#21#7</v>
      </c>
      <c r="CU4" s="8" t="str">
        <f>BF24</f>
        <v>3#3#160|3#4#320|3#5#160|3#6#320|3#7#160|3#8#320|3#13#70|3#20#5|3#25#13|3#21#7</v>
      </c>
      <c r="CV4" s="8" t="str">
        <f>BF25</f>
        <v>3#3#175|3#4#350|3#5#175|3#6#350|3#7#175|3#8#350|3#13#80|3#20#6|3#25#14|3#21#8</v>
      </c>
      <c r="CW4" s="8" t="str">
        <f>BF26</f>
        <v>3#3#187|3#4#375|3#5#187|3#6#375|3#7#187|3#8#375|3#13#80|3#20#6|3#25#15|3#21#8</v>
      </c>
      <c r="CX4" s="8" t="str">
        <f>BF27</f>
        <v>3#3#200|3#4#400|3#5#200|3#6#400|3#7#200|3#8#400|3#13#80|3#20#6|3#25#16|3#21#9</v>
      </c>
      <c r="CY4" s="8" t="str">
        <f>BF28</f>
        <v>3#3#225|3#4#450|3#5#225|3#6#450|3#7#225|3#8#450|3#13#80|3#20#6|3#25#17|3#21#9</v>
      </c>
      <c r="CZ4" s="8" t="str">
        <f>BF29</f>
        <v>3#3#250|3#4#500|3#5#250|3#6#500|3#7#250|3#8#500|3#13#80|3#20#7|3#25#18|3#21#10</v>
      </c>
    </row>
    <row r="5" spans="1:104" x14ac:dyDescent="0.3">
      <c r="A5" s="29" t="s">
        <v>174</v>
      </c>
      <c r="B5" s="29" t="s">
        <v>175</v>
      </c>
      <c r="C5" s="29" t="s">
        <v>221</v>
      </c>
      <c r="D5" s="29"/>
      <c r="E5" s="29" t="s">
        <v>222</v>
      </c>
      <c r="F5" s="29">
        <v>1</v>
      </c>
      <c r="G5" s="29">
        <v>35</v>
      </c>
      <c r="H5" s="29"/>
      <c r="I5" s="22" t="s">
        <v>223</v>
      </c>
      <c r="J5" s="22" t="s">
        <v>224</v>
      </c>
      <c r="K5" s="90">
        <v>3</v>
      </c>
      <c r="L5" s="91">
        <f>INT(6/150*L29)</f>
        <v>600</v>
      </c>
      <c r="M5" s="91">
        <f t="shared" ref="M5:W5" si="35">INT(6/150*M29)</f>
        <v>2400</v>
      </c>
      <c r="N5" s="91">
        <f t="shared" si="35"/>
        <v>40</v>
      </c>
      <c r="O5" s="91">
        <f t="shared" si="35"/>
        <v>80</v>
      </c>
      <c r="P5" s="91">
        <f t="shared" si="35"/>
        <v>40</v>
      </c>
      <c r="Q5" s="91">
        <f t="shared" si="35"/>
        <v>80</v>
      </c>
      <c r="R5" s="91">
        <f t="shared" si="35"/>
        <v>40</v>
      </c>
      <c r="S5" s="91">
        <f t="shared" si="35"/>
        <v>80</v>
      </c>
      <c r="T5" s="91">
        <f t="shared" si="35"/>
        <v>30</v>
      </c>
      <c r="U5" s="91">
        <f t="shared" si="35"/>
        <v>60</v>
      </c>
      <c r="V5" s="91">
        <f t="shared" si="35"/>
        <v>30</v>
      </c>
      <c r="W5" s="91">
        <f t="shared" si="35"/>
        <v>60</v>
      </c>
      <c r="X5" s="91">
        <f>L5*属性价值参考!C$5+基本装备!M5*属性价值参考!C$6+基本装备!N5*属性价值参考!C$7+基本装备!O5*属性价值参考!C$8+基本装备!T5*属性价值参考!C$9+基本装备!U5*属性价值参考!C$10+基本装备!V5*属性价值参考!C$11+基本装备!W5*属性价值参考!C$12</f>
        <v>14061.6</v>
      </c>
      <c r="Y5" s="91">
        <f>基本装备!AG5*属性价值参考!C$13+基本装备!AH5*属性价值参考!C$36+基本装备!AI5*属性价值参考!C$19+基本装备!AJ5*属性价值参考!C$15+基本装备!AK5*属性价值参考!C$27+基本装备!AP5*属性价值参考!C$20+基本装备!AQ5*属性价值参考!C$21+基本装备!AR5*属性价值参考!C$26+8*(基本装备!AW5*属性价值参考!C$26+基本装备!BB5*属性价值参考!C$27+基本装备!BC5*(属性价值参考!C$28+属性价值参考!C$29))</f>
        <v>5896.7999999999993</v>
      </c>
      <c r="Z5" s="9"/>
      <c r="AA5" s="81">
        <f t="shared" si="1"/>
        <v>600</v>
      </c>
      <c r="AB5" s="81">
        <f t="shared" si="2"/>
        <v>2400</v>
      </c>
      <c r="AC5" s="81">
        <f t="shared" si="3"/>
        <v>80</v>
      </c>
      <c r="AD5" s="81">
        <f t="shared" si="4"/>
        <v>60</v>
      </c>
      <c r="AE5" s="9"/>
      <c r="AF5" s="82">
        <f t="shared" si="5"/>
        <v>20</v>
      </c>
      <c r="AG5" s="82"/>
      <c r="AH5" s="82"/>
      <c r="AI5" s="82"/>
      <c r="AJ5" s="82"/>
      <c r="AK5" s="82">
        <v>3</v>
      </c>
      <c r="AL5" s="82">
        <f t="shared" si="6"/>
        <v>160</v>
      </c>
      <c r="AM5" s="82">
        <f t="shared" si="7"/>
        <v>640</v>
      </c>
      <c r="AN5" s="82">
        <f t="shared" si="8"/>
        <v>6.4</v>
      </c>
      <c r="AO5" s="82">
        <f t="shared" si="9"/>
        <v>16.8</v>
      </c>
      <c r="AP5" s="82"/>
      <c r="AQ5" s="82"/>
      <c r="AR5" s="82">
        <v>3</v>
      </c>
      <c r="AS5" s="82">
        <f t="shared" si="10"/>
        <v>56</v>
      </c>
      <c r="AT5" s="82">
        <f t="shared" si="11"/>
        <v>160</v>
      </c>
      <c r="AU5" s="82">
        <f t="shared" si="12"/>
        <v>5.6000000000000005</v>
      </c>
      <c r="AV5" s="82">
        <f t="shared" si="13"/>
        <v>4.8</v>
      </c>
      <c r="AW5" s="82">
        <v>3</v>
      </c>
      <c r="AX5" s="82">
        <f t="shared" si="14"/>
        <v>48</v>
      </c>
      <c r="AY5" s="82">
        <f t="shared" si="15"/>
        <v>200</v>
      </c>
      <c r="AZ5" s="82">
        <f t="shared" si="16"/>
        <v>6</v>
      </c>
      <c r="BA5" s="82">
        <f t="shared" si="17"/>
        <v>4.8</v>
      </c>
      <c r="BB5" s="89">
        <v>1</v>
      </c>
      <c r="BC5" s="89">
        <v>1</v>
      </c>
      <c r="BE5" s="83">
        <v>3</v>
      </c>
      <c r="BF5" s="83" t="str">
        <f>"3#3#"&amp;INT(0.5*AF5)&amp;"|"&amp;"3#4#"&amp;INT(AF5)&amp;"|"&amp;"3#5#"&amp;INT(0.5*AF5)&amp;"|"&amp;"3#6#"&amp;INT(AF5)&amp;"|"&amp;"3#7#"&amp;INT(0.5*AF5)&amp;"|"&amp;"3#8#"&amp;INT(AF5)</f>
        <v>3#3#10|3#4#20|3#5#10|3#6#20|3#7#10|3#8#20</v>
      </c>
      <c r="BG5" s="83" t="str">
        <f t="shared" si="18"/>
        <v>3#35#300</v>
      </c>
      <c r="BH5" s="83" t="str">
        <f>"3#9#"&amp;INT(0.5*AO5)&amp;"|"&amp;"3#10#"&amp;INT(AO5)&amp;"|"&amp;"3#11#"&amp;INT(0.5*AO5)&amp;"|"&amp;"3#12#"&amp;INT(AO5)&amp;"|"&amp;"3#3#"&amp;INT(0.5*AN5)&amp;"|"&amp;"3#4#"&amp;INT(AN5)&amp;"|"&amp;"3#5#"&amp;INT(0.5*AN5)&amp;"|"&amp;"3#6#"&amp;INT(AN5)&amp;"|"&amp;"3#7#"&amp;INT(0.5*AN5)&amp;"|"&amp;"3#8#"&amp;INT(AN5)&amp;"|"&amp;"0#1#"&amp;INT(AL5)&amp;"|"&amp;"0#2#"&amp;INT(0.1*AM5)&amp;"|"&amp;"1#1#"&amp;INT(0.3*AL5)&amp;"|"&amp;"1#2#"&amp;INT(AM5)&amp;"|"&amp;"2#1#"&amp;INT(0.6*AL5)&amp;"|"&amp;"2#2#"&amp;INT(0.8*AM5)</f>
        <v>3#9#8|3#10#16|3#11#8|3#12#16|3#3#3|3#4#6|3#5#3|3#6#6|3#7#3|3#8#6|0#1#160|0#2#64|1#1#48|1#2#640|2#1#96|2#2#512</v>
      </c>
      <c r="BI5" s="83" t="str">
        <f t="shared" si="19"/>
        <v>3#30#3|3#31#3</v>
      </c>
      <c r="BJ5" s="83" t="str">
        <f t="shared" si="20"/>
        <v>3#9#2|3#10#4|3#11#2|3#12#4|0#1#48|0#2#20|1#1#14|1#2#200|2#1#28|2#2#160</v>
      </c>
      <c r="BK5" s="83" t="str">
        <f t="shared" si="21"/>
        <v>3#35#100|3#36#100</v>
      </c>
      <c r="BL5" s="83" t="str">
        <f t="shared" si="22"/>
        <v>3#9#2|3#10#4|3#11#2|3#12#4|0#1#48|0#2#20|1#1#14|1#2#200|2#1#28|2#2#160</v>
      </c>
      <c r="BM5" s="83" t="str">
        <f t="shared" si="23"/>
        <v>3#35#100|3#36#100</v>
      </c>
      <c r="BN5" s="83" t="str">
        <f t="shared" si="24"/>
        <v>3#9#2|3#10#4|3#11#2|3#12#4|0#1#48|0#2#20|1#1#14|1#2#200|2#1#28|2#2#160</v>
      </c>
      <c r="BO5" s="83" t="str">
        <f t="shared" si="25"/>
        <v>3#35#100|3#37#100</v>
      </c>
      <c r="BP5" s="83" t="str">
        <f t="shared" si="26"/>
        <v>3#9#2|3#10#4|3#11#2|3#12#4|0#1#48|0#2#20|1#1#14|1#2#200|2#1#28|2#2#160</v>
      </c>
      <c r="BQ5" s="83" t="str">
        <f t="shared" si="27"/>
        <v>3#35#100|3#37#100</v>
      </c>
      <c r="BR5" s="83" t="str">
        <f t="shared" si="28"/>
        <v>3#9#2|3#10#4|3#11#2|3#12#4|0#1#48|0#2#20|1#1#14|1#2#200|2#1#28|2#2#160</v>
      </c>
      <c r="BS5" s="83" t="str">
        <f t="shared" si="29"/>
        <v>3#35#100|3#36#100</v>
      </c>
      <c r="BT5" s="83" t="str">
        <f t="shared" si="30"/>
        <v>3#9#2|3#10#4|3#11#2|3#12#4|0#1#48|0#2#20|1#1#14|1#2#200|2#1#28|2#2#160</v>
      </c>
      <c r="BU5" s="83" t="str">
        <f t="shared" si="31"/>
        <v>3#35#100|3#36#100</v>
      </c>
      <c r="BV5" s="83" t="str">
        <f t="shared" si="32"/>
        <v>3#9#2|3#10#4|3#11#2|3#12#4|3#3#2|3#4#5|3#5#2|3#6#5|3#7#2|3#8#5|0#1#56|0#2#16|1#1#16|1#2#160|2#1#33|2#2#128</v>
      </c>
      <c r="BW5" s="83" t="str">
        <f t="shared" si="33"/>
        <v>3#30#3|3#31#3</v>
      </c>
      <c r="BY5" s="8" t="s">
        <v>1926</v>
      </c>
      <c r="BZ5" s="8" t="str">
        <f>BH3</f>
        <v>3#9#4|3#10#8|3#11#4|3#12#8|3#3#1|3#4#3|3#5#1|3#6#3|3#7#1|3#8#3|0#1#80|0#2#32|1#1#24|1#2#320|2#1#48|2#2#256</v>
      </c>
      <c r="CA5" s="8" t="str">
        <f>BH4</f>
        <v>3#9#6|3#10#12|3#11#6|3#12#12|3#3#2|3#4#4|3#5#2|3#6#4|3#7#2|3#8#4|0#1#120|0#2#48|1#1#36|1#2#480|2#1#72|2#2#384</v>
      </c>
      <c r="CB5" s="8" t="str">
        <f>BH5</f>
        <v>3#9#8|3#10#16|3#11#8|3#12#16|3#3#3|3#4#6|3#5#3|3#6#6|3#7#3|3#8#6|0#1#160|0#2#64|1#1#48|1#2#640|2#1#96|2#2#512</v>
      </c>
      <c r="CC5" s="8" t="str">
        <f>BH6</f>
        <v>3#9#10|3#10#21|3#11#10|3#12#21|3#3#4|3#4#8|3#5#4|3#6#8|3#7#4|3#8#8|0#1#200|0#2#80|1#1#60|1#2#800|2#1#120|2#2#640|3#26#1|3#27#1</v>
      </c>
      <c r="CD5" s="8" t="str">
        <f>BH7</f>
        <v>3#9#13|3#10#27|3#11#13|3#12#27|3#3#5|3#4#10|3#5#5|3#6#10|3#7#5|3#8#10|0#1#260|0#2#104|1#1#78|1#2#1040|2#1#156|2#2#832|3#26#1|3#27#1</v>
      </c>
      <c r="CE5" s="8" t="str">
        <f>BH8</f>
        <v>3#9#16|3#10#33|3#11#16|3#12#33|3#3#6|3#4#12|3#5#6|3#6#12|3#7#6|3#8#12|0#1#320|0#2#128|1#1#96|1#2#1280|2#1#192|2#2#1024|3#26#1|3#27#1</v>
      </c>
      <c r="CF5" s="8" t="str">
        <f>BH9</f>
        <v>3#9#19|3#10#39|3#11#19|3#12#39|3#3#7|3#4#15|3#5#7|3#6#15|3#7#7|3#8#15|0#1#380|0#2#152|1#1#114|1#2#1520|2#1#228|2#2#1216|3#26#1|3#27#1</v>
      </c>
      <c r="CG5" s="8" t="str">
        <f>BH10</f>
        <v>3#9#23|3#10#46|3#11#23|3#12#46|3#3#8|3#4#17|3#5#8|3#6#17|3#7#8|3#8#17|0#1#440|0#2#176|1#1#132|1#2#1760|2#1#264|2#2#1408|3#26#2|3#27#2</v>
      </c>
      <c r="CH5" s="8" t="str">
        <f>BH11</f>
        <v>3#9#29|3#10#58|3#11#29|3#12#58|3#3#11|3#4#22|3#5#11|3#6#22|3#7#11|3#8#22|0#1#560|0#2#224|1#1#168|1#2#2240|2#1#336|2#2#1792|3#26#2|3#27#2</v>
      </c>
      <c r="CI5" s="8" t="str">
        <f>BH12</f>
        <v>3#9#37|3#10#75|3#11#37|3#12#75|3#3#14|3#4#28|3#5#14|3#6#28|3#7#14|3#8#28|0#1#720|0#2#288|1#1#216|1#2#2880|2#1#432|2#2#2304|3#26#2|3#27#2</v>
      </c>
      <c r="CJ5" s="8" t="str">
        <f>BH13</f>
        <v>3#9#46|3#10#92|3#11#46|3#12#92|3#3#17|3#4#35|3#5#17|3#6#35|3#7#17|3#8#35|0#1#880|0#2#352|1#1#264|1#2#3520|2#1#528|2#2#2816|3#26#2|3#27#2</v>
      </c>
      <c r="CK5" s="8" t="str">
        <f>BH14</f>
        <v>3#9#53|3#10#106|3#11#53|3#12#106|3#3#20|3#4#40|3#5#20|3#6#40|3#7#20|3#8#40|0#1#1020|0#2#408|1#1#306|1#2#4080|2#1#612|2#2#3264|3#26#3|3#27#3</v>
      </c>
      <c r="CL5" s="8" t="str">
        <f>BH15</f>
        <v>3#9#60|3#10#121|3#11#60|3#12#121|3#3#23|3#4#46|3#5#23|3#6#46|3#7#23|3#8#46|0#1#1160|0#2#464|1#1#348|1#2#4640|2#1#696|2#2#3712|3#26#3|3#27#3</v>
      </c>
      <c r="CM5" s="8" t="str">
        <f>BH16</f>
        <v>3#9#67|3#10#134|3#11#67|3#12#134|3#3#25|3#4#51|3#5#25|3#6#51|3#7#25|3#8#51|0#1#1280|0#2#512|1#1#384|1#2#5120|2#1#768|2#2#4096|3#26#3|3#27#3</v>
      </c>
      <c r="CN5" s="8" t="str">
        <f>BH17</f>
        <v>3#9#73|3#10#147|3#11#73|3#12#147|3#3#28|3#4#56|3#5#28|3#6#56|3#7#28|3#8#56|0#1#1400|0#2#560|1#1#420|1#2#5600|2#1#840|2#2#4480|3#26#3|3#27#3</v>
      </c>
      <c r="CO5" s="8" t="str">
        <f>BH18</f>
        <v>3#9#78|3#10#157|3#11#78|3#12#157|3#3#30|3#4#60|3#5#30|3#6#60|3#7#30|3#8#60|0#1#1500|0#2#600|1#1#450|1#2#6000|2#1#900|2#2#4800|3#26#4|3#27#4</v>
      </c>
      <c r="CP5" s="8" t="str">
        <f>BH19</f>
        <v>3#9#84|3#10#168|3#11#84|3#12#168|3#3#32|3#4#64|3#5#32|3#6#64|3#7#32|3#8#64|0#1#1600|0#2#640|1#1#480|1#2#6400|2#1#960|2#2#5120|3#26#4|3#27#4</v>
      </c>
      <c r="CQ5" s="8" t="str">
        <f>BH20</f>
        <v>3#9#92|3#10#184|3#11#92|3#12#184|3#3#35|3#4#70|3#5#35|3#6#70|3#7#35|3#8#70|0#1#1760|0#2#704|1#1#528|1#2#7040|2#1#1056|2#2#5632|3#26#4|3#27#4</v>
      </c>
      <c r="CR5" s="8" t="str">
        <f>BH21</f>
        <v>3#9#100|3#10#201|3#11#100|3#12#201|3#3#38|3#4#76|3#5#38|3#6#76|3#7#38|3#8#76|0#1#1920|0#2#768|1#1#576|1#2#7680|2#1#1152|2#2#6144|3#26#4|3#27#4</v>
      </c>
      <c r="CS5" s="8" t="str">
        <f>BH22</f>
        <v>3#9#111|3#10#222|3#11#111|3#12#222|3#3#42|3#4#84|3#5#42|3#6#84|3#7#42|3#8#84|0#1#2120|0#2#848|1#1#636|1#2#8480|2#1#1272|2#2#6784|3#26#5|3#27#5</v>
      </c>
      <c r="CT5" s="8" t="str">
        <f>BH23</f>
        <v>3#9#121|3#10#243|3#11#121|3#12#243|3#3#46|3#4#92|3#5#46|3#6#92|3#7#46|3#8#92|0#1#2320|0#2#928|1#1#696|1#2#9280|2#1#1392|2#2#7424|3#26#5|3#27#5</v>
      </c>
      <c r="CU5" s="8" t="str">
        <f>BH24</f>
        <v>3#9#134|3#10#268|3#11#134|3#12#268|3#3#51|3#4#102|3#5#51|3#6#102|3#7#51|3#8#102|0#1#2560|0#2#1024|1#1#768|1#2#10240|2#1#1536|2#2#8192|3#26#5|3#27#5</v>
      </c>
      <c r="CV5" s="8" t="str">
        <f>BH25</f>
        <v>3#9#147|3#10#294|3#11#147|3#12#294|3#3#56|3#4#112|3#5#56|3#6#112|3#7#56|3#8#112|0#1#2800|0#2#1120|1#1#840|1#2#11200|2#1#1680|2#2#8960|3#26#5|3#27#5</v>
      </c>
      <c r="CW5" s="8" t="str">
        <f>BH26</f>
        <v>3#9#157|3#10#315|3#11#157|3#12#315|3#3#60|3#4#120|3#5#60|3#6#120|3#7#60|3#8#120|0#1#3000|0#2#1200|1#1#900|1#2#12000|2#1#1800|2#2#9600|3#26#6|3#27#6</v>
      </c>
      <c r="CX5" s="8" t="str">
        <f>BH27</f>
        <v>3#9#168|3#10#336|3#11#168|3#12#336|3#3#64|3#4#128|3#5#64|3#6#128|3#7#64|3#8#128|0#1#3200|0#2#1280|1#1#960|1#2#12800|2#1#1920|2#2#10240|3#26#6|3#27#6</v>
      </c>
      <c r="CY5" s="8" t="str">
        <f>BH29</f>
        <v>3#9#210|3#10#420|3#11#210|3#12#420|3#3#80|3#4#160|3#5#80|3#6#160|3#7#80|3#8#160|0#1#4000|0#2#1600|1#1#1200|1#2#16000|2#1#2400|2#2#12800|3#26#6|3#27#6</v>
      </c>
      <c r="CZ5" s="8" t="str">
        <f>BH29</f>
        <v>3#9#210|3#10#420|3#11#210|3#12#420|3#3#80|3#4#160|3#5#80|3#6#160|3#7#80|3#8#160|0#1#4000|0#2#1600|1#1#1200|1#2#16000|2#1#2400|2#2#12800|3#26#6|3#27#6</v>
      </c>
    </row>
    <row r="6" spans="1:104" x14ac:dyDescent="0.3">
      <c r="A6" s="64" t="s">
        <v>174</v>
      </c>
      <c r="B6" s="64" t="s">
        <v>530</v>
      </c>
      <c r="C6" s="64" t="s">
        <v>90</v>
      </c>
      <c r="D6" s="64" t="s">
        <v>531</v>
      </c>
      <c r="E6" s="64" t="s">
        <v>541</v>
      </c>
      <c r="F6" s="29">
        <v>1</v>
      </c>
      <c r="G6" s="64">
        <v>35</v>
      </c>
      <c r="H6" s="29"/>
      <c r="I6" s="22" t="s">
        <v>542</v>
      </c>
      <c r="J6" s="22" t="s">
        <v>543</v>
      </c>
      <c r="K6" s="90">
        <v>4</v>
      </c>
      <c r="L6" s="91">
        <f>INT(7.5/150*L29)</f>
        <v>750</v>
      </c>
      <c r="M6" s="91">
        <f t="shared" ref="M6:W6" si="36">INT(7.5/150*M29)</f>
        <v>3000</v>
      </c>
      <c r="N6" s="91">
        <f t="shared" si="36"/>
        <v>50</v>
      </c>
      <c r="O6" s="91">
        <f t="shared" si="36"/>
        <v>100</v>
      </c>
      <c r="P6" s="91">
        <f t="shared" si="36"/>
        <v>50</v>
      </c>
      <c r="Q6" s="91">
        <f t="shared" si="36"/>
        <v>100</v>
      </c>
      <c r="R6" s="91">
        <f t="shared" si="36"/>
        <v>50</v>
      </c>
      <c r="S6" s="91">
        <f t="shared" si="36"/>
        <v>100</v>
      </c>
      <c r="T6" s="91">
        <f t="shared" si="36"/>
        <v>37</v>
      </c>
      <c r="U6" s="91">
        <f t="shared" si="36"/>
        <v>75</v>
      </c>
      <c r="V6" s="91">
        <f t="shared" si="36"/>
        <v>37</v>
      </c>
      <c r="W6" s="91">
        <f t="shared" si="36"/>
        <v>75</v>
      </c>
      <c r="X6" s="91">
        <f>L6*属性价值参考!C$5+基本装备!M6*属性价值参考!C$6+基本装备!N6*属性价值参考!C$7+基本装备!O6*属性价值参考!C$8+基本装备!T6*属性价值参考!C$9+基本装备!U6*属性价值参考!C$10+基本装备!V6*属性价值参考!C$11+基本装备!W6*属性价值参考!C$12</f>
        <v>17563.199999999997</v>
      </c>
      <c r="Y6" s="91">
        <f>基本装备!AG6*属性价值参考!C$13+基本装备!AH6*属性价值参考!C$36+基本装备!AI6*属性价值参考!C$19+基本装备!AJ6*属性价值参考!C$15+基本装备!AK6*属性价值参考!C$27+基本装备!AP6*属性价值参考!C$20+基本装备!AQ6*属性价值参考!C$21+基本装备!AR6*属性价值参考!C$26+8*(基本装备!AW6*属性价值参考!C$26+基本装备!BB6*属性价值参考!C$27+基本装备!BC6*(属性价值参考!C$28+属性价值参考!C$29))</f>
        <v>12164.399999999998</v>
      </c>
      <c r="Z6" s="9"/>
      <c r="AA6" s="81">
        <f t="shared" si="1"/>
        <v>750</v>
      </c>
      <c r="AB6" s="81">
        <f t="shared" si="2"/>
        <v>3000</v>
      </c>
      <c r="AC6" s="81">
        <f t="shared" si="3"/>
        <v>100</v>
      </c>
      <c r="AD6" s="81">
        <f t="shared" si="4"/>
        <v>75</v>
      </c>
      <c r="AE6" s="9"/>
      <c r="AF6" s="82">
        <f t="shared" si="5"/>
        <v>25</v>
      </c>
      <c r="AG6" s="82">
        <v>30</v>
      </c>
      <c r="AH6" s="82">
        <v>1</v>
      </c>
      <c r="AI6" s="82">
        <v>1</v>
      </c>
      <c r="AJ6" s="82">
        <v>1</v>
      </c>
      <c r="AK6" s="82">
        <v>4</v>
      </c>
      <c r="AL6" s="82">
        <f t="shared" si="6"/>
        <v>200</v>
      </c>
      <c r="AM6" s="82">
        <f t="shared" si="7"/>
        <v>800</v>
      </c>
      <c r="AN6" s="82">
        <f t="shared" si="8"/>
        <v>8</v>
      </c>
      <c r="AO6" s="82">
        <f t="shared" si="9"/>
        <v>21.000000000000004</v>
      </c>
      <c r="AP6" s="82">
        <v>1</v>
      </c>
      <c r="AQ6" s="82">
        <v>1</v>
      </c>
      <c r="AR6" s="82">
        <v>4</v>
      </c>
      <c r="AS6" s="82">
        <f t="shared" si="10"/>
        <v>70</v>
      </c>
      <c r="AT6" s="82">
        <f t="shared" si="11"/>
        <v>200</v>
      </c>
      <c r="AU6" s="82">
        <f t="shared" si="12"/>
        <v>7.0000000000000009</v>
      </c>
      <c r="AV6" s="82">
        <f t="shared" si="13"/>
        <v>6</v>
      </c>
      <c r="AW6" s="82">
        <v>4</v>
      </c>
      <c r="AX6" s="82">
        <f t="shared" si="14"/>
        <v>60</v>
      </c>
      <c r="AY6" s="82">
        <f t="shared" si="15"/>
        <v>250</v>
      </c>
      <c r="AZ6" s="82">
        <f t="shared" si="16"/>
        <v>7.5</v>
      </c>
      <c r="BA6" s="82">
        <f t="shared" si="17"/>
        <v>6</v>
      </c>
      <c r="BB6" s="89">
        <v>1</v>
      </c>
      <c r="BC6" s="89">
        <v>2</v>
      </c>
      <c r="BE6" s="83">
        <v>4</v>
      </c>
      <c r="BF6" s="83" t="str">
        <f t="shared" ref="BF6:BF28" si="37">"3#3#"&amp;INT(0.5*AF6)&amp;"|"&amp;"3#4#"&amp;INT(AF6)&amp;"|"&amp;"3#5#"&amp;INT(0.5*AF6)&amp;"|"&amp;"3#6#"&amp;INT(AF6)&amp;"|"&amp;"3#7#"&amp;INT(0.5*AF6)&amp;"|"&amp;"3#8#"&amp;INT(AF6)&amp;"|"&amp;"3#13#"&amp;INT(AG6)&amp;"|"&amp;"3#20#"&amp;INT(AH6)&amp;"|"&amp;"3#25#"&amp;INT(AI6)&amp;"|"&amp;"3#21#"&amp;INT(AJ6)</f>
        <v>3#3#12|3#4#25|3#5#12|3#6#25|3#7#12|3#8#25|3#13#30|3#20#1|3#25#1|3#21#1</v>
      </c>
      <c r="BG6" s="83" t="str">
        <f t="shared" si="18"/>
        <v>3#35#400</v>
      </c>
      <c r="BH6" s="83" t="str">
        <f t="shared" ref="BH6:BH28" si="38">"3#9#"&amp;INT(0.5*AO6)&amp;"|"&amp;"3#10#"&amp;INT(AO6)&amp;"|"&amp;"3#11#"&amp;INT(0.5*AO6)&amp;"|"&amp;"3#12#"&amp;INT(AO6)&amp;"|"&amp;"3#3#"&amp;INT(0.5*AN6)&amp;"|"&amp;"3#4#"&amp;INT(AN6)&amp;"|"&amp;"3#5#"&amp;INT(0.5*AN6)&amp;"|"&amp;"3#6#"&amp;INT(AN6)&amp;"|"&amp;"3#7#"&amp;INT(0.5*AN6)&amp;"|"&amp;"3#8#"&amp;INT(AN6)&amp;"|"&amp;"0#1#"&amp;INT(AL6)&amp;"|"&amp;"0#2#"&amp;INT(0.1*AM6)&amp;"|"&amp;"1#1#"&amp;INT(0.3*AL6)&amp;"|"&amp;"1#2#"&amp;INT(AM6)&amp;"|"&amp;"2#1#"&amp;INT(0.6*AL6)&amp;"|"&amp;"2#2#"&amp;INT(0.8*AM6)&amp;"|"&amp;"3#26#"&amp;INT(AP6)&amp;"|"&amp;"3#27#"&amp;INT(AQ6)</f>
        <v>3#9#10|3#10#21|3#11#10|3#12#21|3#3#4|3#4#8|3#5#4|3#6#8|3#7#4|3#8#8|0#1#200|0#2#80|1#1#60|1#2#800|2#1#120|2#2#640|3#26#1|3#27#1</v>
      </c>
      <c r="BI6" s="83" t="str">
        <f t="shared" si="19"/>
        <v>3#30#4|3#31#4</v>
      </c>
      <c r="BJ6" s="83" t="str">
        <f t="shared" si="20"/>
        <v>3#9#3|3#10#6|3#11#3|3#12#6|0#1#60|0#2#25|1#1#18|1#2#250|2#1#36|2#2#200</v>
      </c>
      <c r="BK6" s="83" t="str">
        <f t="shared" si="21"/>
        <v>3#35#100|3#36#200</v>
      </c>
      <c r="BL6" s="83" t="str">
        <f t="shared" si="22"/>
        <v>3#9#3|3#10#6|3#11#3|3#12#6|0#1#60|0#2#25|1#1#18|1#2#250|2#1#36|2#2#200</v>
      </c>
      <c r="BM6" s="83" t="str">
        <f t="shared" si="23"/>
        <v>3#35#100|3#36#200</v>
      </c>
      <c r="BN6" s="83" t="str">
        <f t="shared" si="24"/>
        <v>3#9#3|3#10#6|3#11#3|3#12#6|0#1#60|0#2#25|1#1#18|1#2#250|2#1#36|2#2#200</v>
      </c>
      <c r="BO6" s="83" t="str">
        <f t="shared" si="25"/>
        <v>3#35#100|3#37#200</v>
      </c>
      <c r="BP6" s="83" t="str">
        <f t="shared" si="26"/>
        <v>3#9#3|3#10#6|3#11#3|3#12#6|0#1#60|0#2#25|1#1#18|1#2#250|2#1#36|2#2#200</v>
      </c>
      <c r="BQ6" s="83" t="str">
        <f t="shared" si="27"/>
        <v>3#35#100|3#37#200</v>
      </c>
      <c r="BR6" s="83" t="str">
        <f t="shared" si="28"/>
        <v>3#9#3|3#10#6|3#11#3|3#12#6|0#1#60|0#2#25|1#1#18|1#2#250|2#1#36|2#2#200</v>
      </c>
      <c r="BS6" s="83" t="str">
        <f t="shared" si="29"/>
        <v>3#35#100|3#36#200</v>
      </c>
      <c r="BT6" s="83" t="str">
        <f t="shared" si="30"/>
        <v>3#9#3|3#10#6|3#11#3|3#12#6|0#1#60|0#2#25|1#1#18|1#2#250|2#1#36|2#2#200</v>
      </c>
      <c r="BU6" s="83" t="str">
        <f t="shared" si="31"/>
        <v>3#35#100|3#36#200</v>
      </c>
      <c r="BV6" s="83" t="str">
        <f t="shared" si="32"/>
        <v>3#9#3|3#10#6|3#11#3|3#12#6|3#3#3|3#4#7|3#5#3|3#6#7|3#7#3|3#8#7|0#1#70|0#2#20|1#1#21|1#2#200|2#1#42|2#2#160</v>
      </c>
      <c r="BW6" s="83" t="str">
        <f t="shared" si="33"/>
        <v>3#30#4|3#31#4</v>
      </c>
      <c r="BY6" s="8" t="s">
        <v>1927</v>
      </c>
      <c r="BZ6" s="8" t="str">
        <f>BH3</f>
        <v>3#9#4|3#10#8|3#11#4|3#12#8|3#3#1|3#4#3|3#5#1|3#6#3|3#7#1|3#8#3|0#1#80|0#2#32|1#1#24|1#2#320|2#1#48|2#2#256</v>
      </c>
      <c r="CA6" s="8" t="str">
        <f>BH4</f>
        <v>3#9#6|3#10#12|3#11#6|3#12#12|3#3#2|3#4#4|3#5#2|3#6#4|3#7#2|3#8#4|0#1#120|0#2#48|1#1#36|1#2#480|2#1#72|2#2#384</v>
      </c>
      <c r="CB6" s="8" t="str">
        <f>BH5</f>
        <v>3#9#8|3#10#16|3#11#8|3#12#16|3#3#3|3#4#6|3#5#3|3#6#6|3#7#3|3#8#6|0#1#160|0#2#64|1#1#48|1#2#640|2#1#96|2#2#512</v>
      </c>
      <c r="CC6" s="8" t="str">
        <f>BH6</f>
        <v>3#9#10|3#10#21|3#11#10|3#12#21|3#3#4|3#4#8|3#5#4|3#6#8|3#7#4|3#8#8|0#1#200|0#2#80|1#1#60|1#2#800|2#1#120|2#2#640|3#26#1|3#27#1</v>
      </c>
      <c r="CD6" s="8" t="str">
        <f>BH7</f>
        <v>3#9#13|3#10#27|3#11#13|3#12#27|3#3#5|3#4#10|3#5#5|3#6#10|3#7#5|3#8#10|0#1#260|0#2#104|1#1#78|1#2#1040|2#1#156|2#2#832|3#26#1|3#27#1</v>
      </c>
      <c r="CE6" s="8" t="str">
        <f>BH8</f>
        <v>3#9#16|3#10#33|3#11#16|3#12#33|3#3#6|3#4#12|3#5#6|3#6#12|3#7#6|3#8#12|0#1#320|0#2#128|1#1#96|1#2#1280|2#1#192|2#2#1024|3#26#1|3#27#1</v>
      </c>
      <c r="CF6" s="8" t="str">
        <f>BH9</f>
        <v>3#9#19|3#10#39|3#11#19|3#12#39|3#3#7|3#4#15|3#5#7|3#6#15|3#7#7|3#8#15|0#1#380|0#2#152|1#1#114|1#2#1520|2#1#228|2#2#1216|3#26#1|3#27#1</v>
      </c>
      <c r="CG6" s="8" t="str">
        <f>BH10</f>
        <v>3#9#23|3#10#46|3#11#23|3#12#46|3#3#8|3#4#17|3#5#8|3#6#17|3#7#8|3#8#17|0#1#440|0#2#176|1#1#132|1#2#1760|2#1#264|2#2#1408|3#26#2|3#27#2</v>
      </c>
      <c r="CH6" s="8" t="str">
        <f>BH11</f>
        <v>3#9#29|3#10#58|3#11#29|3#12#58|3#3#11|3#4#22|3#5#11|3#6#22|3#7#11|3#8#22|0#1#560|0#2#224|1#1#168|1#2#2240|2#1#336|2#2#1792|3#26#2|3#27#2</v>
      </c>
      <c r="CI6" s="8" t="str">
        <f>BH12</f>
        <v>3#9#37|3#10#75|3#11#37|3#12#75|3#3#14|3#4#28|3#5#14|3#6#28|3#7#14|3#8#28|0#1#720|0#2#288|1#1#216|1#2#2880|2#1#432|2#2#2304|3#26#2|3#27#2</v>
      </c>
      <c r="CJ6" s="8" t="str">
        <f>BH13</f>
        <v>3#9#46|3#10#92|3#11#46|3#12#92|3#3#17|3#4#35|3#5#17|3#6#35|3#7#17|3#8#35|0#1#880|0#2#352|1#1#264|1#2#3520|2#1#528|2#2#2816|3#26#2|3#27#2</v>
      </c>
      <c r="CK6" s="8" t="str">
        <f>BH14</f>
        <v>3#9#53|3#10#106|3#11#53|3#12#106|3#3#20|3#4#40|3#5#20|3#6#40|3#7#20|3#8#40|0#1#1020|0#2#408|1#1#306|1#2#4080|2#1#612|2#2#3264|3#26#3|3#27#3</v>
      </c>
      <c r="CL6" s="8" t="str">
        <f>BH15</f>
        <v>3#9#60|3#10#121|3#11#60|3#12#121|3#3#23|3#4#46|3#5#23|3#6#46|3#7#23|3#8#46|0#1#1160|0#2#464|1#1#348|1#2#4640|2#1#696|2#2#3712|3#26#3|3#27#3</v>
      </c>
      <c r="CM6" s="8" t="str">
        <f>BH16</f>
        <v>3#9#67|3#10#134|3#11#67|3#12#134|3#3#25|3#4#51|3#5#25|3#6#51|3#7#25|3#8#51|0#1#1280|0#2#512|1#1#384|1#2#5120|2#1#768|2#2#4096|3#26#3|3#27#3</v>
      </c>
      <c r="CN6" s="8" t="str">
        <f>BH17</f>
        <v>3#9#73|3#10#147|3#11#73|3#12#147|3#3#28|3#4#56|3#5#28|3#6#56|3#7#28|3#8#56|0#1#1400|0#2#560|1#1#420|1#2#5600|2#1#840|2#2#4480|3#26#3|3#27#3</v>
      </c>
      <c r="CO6" s="8" t="str">
        <f>BH18</f>
        <v>3#9#78|3#10#157|3#11#78|3#12#157|3#3#30|3#4#60|3#5#30|3#6#60|3#7#30|3#8#60|0#1#1500|0#2#600|1#1#450|1#2#6000|2#1#900|2#2#4800|3#26#4|3#27#4</v>
      </c>
      <c r="CP6" s="8" t="str">
        <f>BH19</f>
        <v>3#9#84|3#10#168|3#11#84|3#12#168|3#3#32|3#4#64|3#5#32|3#6#64|3#7#32|3#8#64|0#1#1600|0#2#640|1#1#480|1#2#6400|2#1#960|2#2#5120|3#26#4|3#27#4</v>
      </c>
      <c r="CQ6" s="8" t="str">
        <f>BH20</f>
        <v>3#9#92|3#10#184|3#11#92|3#12#184|3#3#35|3#4#70|3#5#35|3#6#70|3#7#35|3#8#70|0#1#1760|0#2#704|1#1#528|1#2#7040|2#1#1056|2#2#5632|3#26#4|3#27#4</v>
      </c>
      <c r="CR6" s="8" t="str">
        <f>BH21</f>
        <v>3#9#100|3#10#201|3#11#100|3#12#201|3#3#38|3#4#76|3#5#38|3#6#76|3#7#38|3#8#76|0#1#1920|0#2#768|1#1#576|1#2#7680|2#1#1152|2#2#6144|3#26#4|3#27#4</v>
      </c>
      <c r="CS6" s="8" t="str">
        <f>BH22</f>
        <v>3#9#111|3#10#222|3#11#111|3#12#222|3#3#42|3#4#84|3#5#42|3#6#84|3#7#42|3#8#84|0#1#2120|0#2#848|1#1#636|1#2#8480|2#1#1272|2#2#6784|3#26#5|3#27#5</v>
      </c>
      <c r="CT6" s="8" t="str">
        <f>BH23</f>
        <v>3#9#121|3#10#243|3#11#121|3#12#243|3#3#46|3#4#92|3#5#46|3#6#92|3#7#46|3#8#92|0#1#2320|0#2#928|1#1#696|1#2#9280|2#1#1392|2#2#7424|3#26#5|3#27#5</v>
      </c>
      <c r="CU6" s="8" t="str">
        <f>BH24</f>
        <v>3#9#134|3#10#268|3#11#134|3#12#268|3#3#51|3#4#102|3#5#51|3#6#102|3#7#51|3#8#102|0#1#2560|0#2#1024|1#1#768|1#2#10240|2#1#1536|2#2#8192|3#26#5|3#27#5</v>
      </c>
      <c r="CV6" s="8" t="str">
        <f>BH25</f>
        <v>3#9#147|3#10#294|3#11#147|3#12#294|3#3#56|3#4#112|3#5#56|3#6#112|3#7#56|3#8#112|0#1#2800|0#2#1120|1#1#840|1#2#11200|2#1#1680|2#2#8960|3#26#5|3#27#5</v>
      </c>
      <c r="CW6" s="8" t="str">
        <f>BH26</f>
        <v>3#9#157|3#10#315|3#11#157|3#12#315|3#3#60|3#4#120|3#5#60|3#6#120|3#7#60|3#8#120|0#1#3000|0#2#1200|1#1#900|1#2#12000|2#1#1800|2#2#9600|3#26#6|3#27#6</v>
      </c>
      <c r="CX6" s="8" t="str">
        <f>BH27</f>
        <v>3#9#168|3#10#336|3#11#168|3#12#336|3#3#64|3#4#128|3#5#64|3#6#128|3#7#64|3#8#128|0#1#3200|0#2#1280|1#1#960|1#2#12800|2#1#1920|2#2#10240|3#26#6|3#27#6</v>
      </c>
      <c r="CY6" s="8" t="str">
        <f>BH28</f>
        <v>3#9#189|3#10#378|3#11#189|3#12#378|3#3#72|3#4#144|3#5#72|3#6#144|3#7#72|3#8#144|0#1#3600|0#2#1440|1#1#1080|1#2#14400|2#1#2160|2#2#11520|3#26#6|3#27#6</v>
      </c>
      <c r="CZ6" s="8" t="str">
        <f>BH29</f>
        <v>3#9#210|3#10#420|3#11#210|3#12#420|3#3#80|3#4#160|3#5#80|3#6#160|3#7#80|3#8#160|0#1#4000|0#2#1600|1#1#1200|1#2#16000|2#1#2400|2#2#12800|3#26#6|3#27#6</v>
      </c>
    </row>
    <row r="7" spans="1:104" x14ac:dyDescent="0.3">
      <c r="A7" s="64" t="s">
        <v>174</v>
      </c>
      <c r="B7" s="64" t="s">
        <v>530</v>
      </c>
      <c r="C7" s="64" t="s">
        <v>93</v>
      </c>
      <c r="D7" s="64" t="s">
        <v>531</v>
      </c>
      <c r="E7" s="64" t="s">
        <v>544</v>
      </c>
      <c r="F7" s="29">
        <v>1</v>
      </c>
      <c r="G7" s="64">
        <v>35</v>
      </c>
      <c r="H7" s="29"/>
      <c r="I7" s="22" t="s">
        <v>545</v>
      </c>
      <c r="J7" s="22" t="s">
        <v>543</v>
      </c>
      <c r="K7" s="90">
        <v>5</v>
      </c>
      <c r="L7" s="91">
        <f>INT(9.75/150*L29)</f>
        <v>975</v>
      </c>
      <c r="M7" s="91">
        <f t="shared" ref="M7:W7" si="39">INT(9.75/150*M29)</f>
        <v>3900</v>
      </c>
      <c r="N7" s="91">
        <f t="shared" si="39"/>
        <v>65</v>
      </c>
      <c r="O7" s="91">
        <f t="shared" si="39"/>
        <v>130</v>
      </c>
      <c r="P7" s="91">
        <f t="shared" si="39"/>
        <v>65</v>
      </c>
      <c r="Q7" s="91">
        <f t="shared" si="39"/>
        <v>130</v>
      </c>
      <c r="R7" s="91">
        <f t="shared" si="39"/>
        <v>65</v>
      </c>
      <c r="S7" s="91">
        <f t="shared" si="39"/>
        <v>130</v>
      </c>
      <c r="T7" s="91">
        <f t="shared" si="39"/>
        <v>48</v>
      </c>
      <c r="U7" s="91">
        <f t="shared" si="39"/>
        <v>97</v>
      </c>
      <c r="V7" s="91">
        <f t="shared" si="39"/>
        <v>48</v>
      </c>
      <c r="W7" s="91">
        <f t="shared" si="39"/>
        <v>97</v>
      </c>
      <c r="X7" s="91">
        <f>L7*属性价值参考!C$5+基本装备!M7*属性价值参考!C$6+基本装备!N7*属性价值参考!C$7+基本装备!O7*属性价值参考!C$8+基本装备!T7*属性价值参考!C$9+基本装备!U7*属性价值参考!C$10+基本装备!V7*属性价值参考!C$11+基本装备!W7*属性价值参考!C$12</f>
        <v>22809</v>
      </c>
      <c r="Y7" s="91">
        <f>基本装备!AG7*属性价值参考!C$13+基本装备!AH7*属性价值参考!C$36+基本装备!AI7*属性价值参考!C$19+基本装备!AJ7*属性价值参考!C$15+基本装备!AK7*属性价值参考!C$27+基本装备!AP7*属性价值参考!C$20+基本装备!AQ7*属性价值参考!C$21+基本装备!AR7*属性价值参考!C$26+8*(基本装备!AW7*属性价值参考!C$26+基本装备!BB7*属性价值参考!C$27+基本装备!BC7*(属性价值参考!C$28+属性价值参考!C$29))</f>
        <v>15080.4</v>
      </c>
      <c r="Z7" s="9"/>
      <c r="AA7" s="81">
        <f t="shared" si="1"/>
        <v>975</v>
      </c>
      <c r="AB7" s="81">
        <f t="shared" si="2"/>
        <v>3900</v>
      </c>
      <c r="AC7" s="81">
        <f t="shared" si="3"/>
        <v>130</v>
      </c>
      <c r="AD7" s="81">
        <f t="shared" si="4"/>
        <v>97</v>
      </c>
      <c r="AE7" s="9"/>
      <c r="AF7" s="82">
        <f t="shared" si="5"/>
        <v>32.5</v>
      </c>
      <c r="AG7" s="82">
        <v>30</v>
      </c>
      <c r="AH7" s="82">
        <v>1</v>
      </c>
      <c r="AI7" s="82">
        <v>1</v>
      </c>
      <c r="AJ7" s="82">
        <v>1</v>
      </c>
      <c r="AK7" s="82">
        <v>5</v>
      </c>
      <c r="AL7" s="82">
        <f t="shared" si="6"/>
        <v>260</v>
      </c>
      <c r="AM7" s="82">
        <f t="shared" si="7"/>
        <v>1040</v>
      </c>
      <c r="AN7" s="82">
        <f t="shared" si="8"/>
        <v>10.4</v>
      </c>
      <c r="AO7" s="82">
        <f t="shared" si="9"/>
        <v>27.160000000000004</v>
      </c>
      <c r="AP7" s="82">
        <v>1</v>
      </c>
      <c r="AQ7" s="82">
        <v>1</v>
      </c>
      <c r="AR7" s="82">
        <v>5</v>
      </c>
      <c r="AS7" s="82">
        <f t="shared" si="10"/>
        <v>91</v>
      </c>
      <c r="AT7" s="82">
        <f t="shared" si="11"/>
        <v>260</v>
      </c>
      <c r="AU7" s="82">
        <f t="shared" si="12"/>
        <v>9.1000000000000014</v>
      </c>
      <c r="AV7" s="82">
        <f t="shared" si="13"/>
        <v>7.76</v>
      </c>
      <c r="AW7" s="82">
        <v>5</v>
      </c>
      <c r="AX7" s="82">
        <f t="shared" si="14"/>
        <v>78</v>
      </c>
      <c r="AY7" s="82">
        <f t="shared" si="15"/>
        <v>325</v>
      </c>
      <c r="AZ7" s="82">
        <f t="shared" si="16"/>
        <v>9.75</v>
      </c>
      <c r="BA7" s="82">
        <f t="shared" si="17"/>
        <v>7.76</v>
      </c>
      <c r="BB7" s="89">
        <v>2</v>
      </c>
      <c r="BC7" s="89">
        <v>2</v>
      </c>
      <c r="BE7" s="83">
        <v>5</v>
      </c>
      <c r="BF7" s="83" t="str">
        <f t="shared" si="37"/>
        <v>3#3#16|3#4#32|3#5#16|3#6#32|3#7#16|3#8#32|3#13#30|3#20#1|3#25#1|3#21#1</v>
      </c>
      <c r="BG7" s="83" t="str">
        <f t="shared" si="18"/>
        <v>3#35#500</v>
      </c>
      <c r="BH7" s="83" t="str">
        <f t="shared" si="38"/>
        <v>3#9#13|3#10#27|3#11#13|3#12#27|3#3#5|3#4#10|3#5#5|3#6#10|3#7#5|3#8#10|0#1#260|0#2#104|1#1#78|1#2#1040|2#1#156|2#2#832|3#26#1|3#27#1</v>
      </c>
      <c r="BI7" s="83" t="str">
        <f t="shared" si="19"/>
        <v>3#30#5|3#31#5</v>
      </c>
      <c r="BJ7" s="83" t="str">
        <f t="shared" si="20"/>
        <v>3#9#3|3#10#7|3#11#3|3#12#7|0#1#78|0#2#32|1#1#23|1#2#325|2#1#46|2#2#260</v>
      </c>
      <c r="BK7" s="83" t="str">
        <f t="shared" si="21"/>
        <v>3#35#200|3#36#200</v>
      </c>
      <c r="BL7" s="83" t="str">
        <f t="shared" si="22"/>
        <v>3#9#3|3#10#7|3#11#3|3#12#7|0#1#78|0#2#32|1#1#23|1#2#325|2#1#46|2#2#260</v>
      </c>
      <c r="BM7" s="83" t="str">
        <f t="shared" si="23"/>
        <v>3#35#200|3#36#200</v>
      </c>
      <c r="BN7" s="83" t="str">
        <f t="shared" si="24"/>
        <v>3#9#3|3#10#7|3#11#3|3#12#7|0#1#78|0#2#32|1#1#23|1#2#325|2#1#46|2#2#260</v>
      </c>
      <c r="BO7" s="83" t="str">
        <f t="shared" si="25"/>
        <v>3#35#200|3#37#200</v>
      </c>
      <c r="BP7" s="83" t="str">
        <f t="shared" si="26"/>
        <v>3#9#3|3#10#7|3#11#3|3#12#7|0#1#78|0#2#32|1#1#23|1#2#325|2#1#46|2#2#260</v>
      </c>
      <c r="BQ7" s="83" t="str">
        <f t="shared" si="27"/>
        <v>3#35#200|3#37#200</v>
      </c>
      <c r="BR7" s="83" t="str">
        <f t="shared" si="28"/>
        <v>3#9#3|3#10#7|3#11#3|3#12#7|0#1#78|0#2#32|1#1#23|1#2#325|2#1#46|2#2#260</v>
      </c>
      <c r="BS7" s="83" t="str">
        <f t="shared" si="29"/>
        <v>3#35#200|3#36#200</v>
      </c>
      <c r="BT7" s="83" t="str">
        <f t="shared" si="30"/>
        <v>3#9#3|3#10#7|3#11#3|3#12#7|0#1#78|0#2#32|1#1#23|1#2#325|2#1#46|2#2#260</v>
      </c>
      <c r="BU7" s="83" t="str">
        <f t="shared" si="31"/>
        <v>3#35#200|3#36#200</v>
      </c>
      <c r="BV7" s="83" t="str">
        <f t="shared" si="32"/>
        <v>3#9#3|3#10#7|3#11#3|3#12#7|3#3#4|3#4#9|3#5#4|3#6#9|3#7#4|3#8#9|0#1#91|0#2#26|1#1#27|1#2#260|2#1#54|2#2#208</v>
      </c>
      <c r="BW7" s="83" t="str">
        <f t="shared" si="33"/>
        <v>3#30#5|3#31#5</v>
      </c>
      <c r="BY7" s="8" t="s">
        <v>1917</v>
      </c>
      <c r="BZ7" s="8" t="str">
        <f>BJ3</f>
        <v>3#9#1|3#10#2|3#11#1|3#12#2|0#1#24|0#2#10|1#1#7|1#2#100|2#1#14|2#2#80</v>
      </c>
      <c r="CA7" s="8" t="str">
        <f>BJ4</f>
        <v>3#9#1|3#10#3|3#11#1|3#12#3|0#1#36|0#2#15|1#1#10|1#2#150|2#1#21|2#2#120</v>
      </c>
      <c r="CB7" s="8" t="str">
        <f>BJ5</f>
        <v>3#9#2|3#10#4|3#11#2|3#12#4|0#1#48|0#2#20|1#1#14|1#2#200|2#1#28|2#2#160</v>
      </c>
      <c r="CC7" s="8" t="str">
        <f>BJ6</f>
        <v>3#9#3|3#10#6|3#11#3|3#12#6|0#1#60|0#2#25|1#1#18|1#2#250|2#1#36|2#2#200</v>
      </c>
      <c r="CD7" s="8" t="str">
        <f>BJ7</f>
        <v>3#9#3|3#10#7|3#11#3|3#12#7|0#1#78|0#2#32|1#1#23|1#2#325|2#1#46|2#2#260</v>
      </c>
      <c r="CE7" s="8" t="str">
        <f>BJ8</f>
        <v>3#9#4|3#10#9|3#11#4|3#12#9|0#1#96|0#2#40|1#1#28|1#2#400|2#1#57|2#2#320</v>
      </c>
      <c r="CF7" s="8" t="str">
        <f>BJ9</f>
        <v>3#9#5|3#10#11|3#11#5|3#12#11|0#1#114|0#2#47|1#1#34|1#2#475|2#1#68|2#2#380</v>
      </c>
      <c r="CG7" s="8" t="str">
        <f>BJ10</f>
        <v>3#9#6|3#10#13|3#11#6|3#12#13|0#1#132|0#2#55|1#1#39|1#2#550|2#1#79|2#2#440</v>
      </c>
      <c r="CH7" s="8" t="str">
        <f>BJ11</f>
        <v>3#9#8|3#10#16|3#11#8|3#12#16|0#1#168|0#2#70|1#1#50|1#2#700|2#1#100|2#2#560</v>
      </c>
      <c r="CI7" s="8" t="str">
        <f>BJ12</f>
        <v>3#9#10|3#10#21|3#11#10|3#12#21|0#1#216|0#2#90|1#1#64|1#2#900|2#1#129|2#2#720</v>
      </c>
      <c r="CJ7" s="8" t="str">
        <f>BJ13</f>
        <v>3#9#13|3#10#26|3#11#13|3#12#26|0#1#264|0#2#110|1#1#79|1#2#1100|2#1#158|2#2#880</v>
      </c>
      <c r="CK7" s="8" t="str">
        <f>BJ14</f>
        <v>3#9#15|3#10#30|3#11#15|3#12#30|0#1#306|0#2#127|1#1#91|1#2#1275|2#1#183|2#2#1020</v>
      </c>
      <c r="CL7" s="8" t="str">
        <f>BJ15</f>
        <v>3#9#17|3#10#34|3#11#17|3#12#34|0#1#348|0#2#145|1#1#104|1#2#1450|2#1#208|2#2#1160</v>
      </c>
      <c r="CM7" s="8" t="str">
        <f>BJ16</f>
        <v>3#9#19|3#10#38|3#11#19|3#12#38|0#1#384|0#2#160|1#1#115|1#2#1600|2#1#230|2#2#1280</v>
      </c>
      <c r="CN7" s="8" t="str">
        <f>BJ17</f>
        <v>3#9#21|3#10#42|3#11#21|3#12#42|0#1#420|0#2#175|1#1#126|1#2#1750|2#1#252|2#2#1400</v>
      </c>
      <c r="CO7" s="8" t="str">
        <f>BJ18</f>
        <v>3#9#22|3#10#44|3#11#22|3#12#44|0#1#450|0#2#187|1#1#135|1#2#1875|2#1#270|2#2#1500</v>
      </c>
      <c r="CP7" s="8" t="str">
        <f>BJ19</f>
        <v>3#9#24|3#10#48|3#11#24|3#12#48|0#1#480|0#2#200|1#1#144|1#2#2000|2#1#288|2#2#1600</v>
      </c>
      <c r="CQ7" s="8" t="str">
        <f>BJ20</f>
        <v>3#9#26|3#10#52|3#11#26|3#12#52|0#1#528|0#2#220|1#1#158|1#2#2200|2#1#316|2#2#1760</v>
      </c>
      <c r="CR7" s="8" t="str">
        <f>BJ21</f>
        <v>3#9#28|3#10#57|3#11#28|3#12#57|0#1#576|0#2#240|1#1#172|1#2#2400|2#1#345|2#2#1920</v>
      </c>
      <c r="CS7" s="8" t="str">
        <f>BJ22</f>
        <v>3#9#31|3#10#63|3#11#31|3#12#63|0#1#636|0#2#265|1#1#190|1#2#2650|2#1#381|2#2#2120</v>
      </c>
      <c r="CT7" s="8" t="str">
        <f>BJ23</f>
        <v>3#9#34|3#10#69|3#11#34|3#12#69|0#1#696|0#2#290|1#1#208|1#2#2900|2#1#417|2#2#2320</v>
      </c>
      <c r="CU7" s="8" t="str">
        <f>BJ24</f>
        <v>3#9#38|3#10#76|3#11#38|3#12#76|0#1#768|0#2#320|1#1#230|1#2#3200|2#1#460|2#2#2560</v>
      </c>
      <c r="CV7" s="8" t="str">
        <f>BJ25</f>
        <v>3#9#42|3#10#84|3#11#42|3#12#84|0#1#840|0#2#350|1#1#252|1#2#3500|2#1#504|2#2#2800</v>
      </c>
      <c r="CW7" s="8" t="str">
        <f>BJ26</f>
        <v>3#9#45|3#10#90|3#11#45|3#12#90|0#1#900|0#2#375|1#1#270|1#2#3750|2#1#540|2#2#3000</v>
      </c>
      <c r="CX7" s="8" t="str">
        <f>BJ27</f>
        <v>3#9#48|3#10#96|3#11#48|3#12#96|0#1#960|0#2#400|1#1#288|1#2#4000|2#1#576|2#2#3200</v>
      </c>
      <c r="CY7" s="8" t="str">
        <f>BJ28</f>
        <v>3#9#54|3#10#108|3#11#54|3#12#108|0#1#1080|0#2#450|1#1#324|1#2#4500|2#1#648|2#2#3600</v>
      </c>
      <c r="CZ7" s="8" t="str">
        <f>BJ29</f>
        <v>3#9#60|3#10#120|3#11#60|3#12#120|0#1#1200|0#2#500|1#1#360|1#2#5000|2#1#720|2#2#4000</v>
      </c>
    </row>
    <row r="8" spans="1:104" x14ac:dyDescent="0.3">
      <c r="A8" s="64" t="s">
        <v>174</v>
      </c>
      <c r="B8" s="64" t="s">
        <v>530</v>
      </c>
      <c r="C8" s="64" t="s">
        <v>90</v>
      </c>
      <c r="D8" s="64" t="s">
        <v>531</v>
      </c>
      <c r="E8" s="64" t="s">
        <v>546</v>
      </c>
      <c r="F8" s="29">
        <v>1</v>
      </c>
      <c r="G8" s="64">
        <v>35</v>
      </c>
      <c r="H8" s="29"/>
      <c r="I8" s="22" t="s">
        <v>547</v>
      </c>
      <c r="J8" s="22" t="s">
        <v>543</v>
      </c>
      <c r="K8" s="90">
        <v>6</v>
      </c>
      <c r="L8" s="91">
        <f>INT(12/150*L29)</f>
        <v>1200</v>
      </c>
      <c r="M8" s="91">
        <f t="shared" ref="M8:W8" si="40">INT(12/150*M29)</f>
        <v>4800</v>
      </c>
      <c r="N8" s="91">
        <f t="shared" si="40"/>
        <v>80</v>
      </c>
      <c r="O8" s="91">
        <f t="shared" si="40"/>
        <v>160</v>
      </c>
      <c r="P8" s="91">
        <f t="shared" si="40"/>
        <v>80</v>
      </c>
      <c r="Q8" s="91">
        <f t="shared" si="40"/>
        <v>160</v>
      </c>
      <c r="R8" s="91">
        <f t="shared" si="40"/>
        <v>80</v>
      </c>
      <c r="S8" s="91">
        <f t="shared" si="40"/>
        <v>160</v>
      </c>
      <c r="T8" s="91">
        <f t="shared" si="40"/>
        <v>60</v>
      </c>
      <c r="U8" s="91">
        <f t="shared" si="40"/>
        <v>120</v>
      </c>
      <c r="V8" s="91">
        <f t="shared" si="40"/>
        <v>60</v>
      </c>
      <c r="W8" s="91">
        <f t="shared" si="40"/>
        <v>120</v>
      </c>
      <c r="X8" s="91">
        <f>L8*属性价值参考!C$5+基本装备!M8*属性价值参考!C$6+基本装备!N8*属性价值参考!C$7+基本装备!O8*属性价值参考!C$8+基本装备!T8*属性价值参考!C$9+基本装备!U8*属性价值参考!C$10+基本装备!V8*属性价值参考!C$11+基本装备!W8*属性价值参考!C$12</f>
        <v>28123.200000000001</v>
      </c>
      <c r="Y8" s="91">
        <f>基本装备!AG8*属性价值参考!C$13+基本装备!AH8*属性价值参考!C$36+基本装备!AI8*属性价值参考!C$19+基本装备!AJ8*属性价值参考!C$15+基本装备!AK8*属性价值参考!C$27+基本装备!AP8*属性价值参考!C$20+基本装备!AQ8*属性价值参考!C$21+基本装备!AR8*属性价值参考!C$26+8*(基本装备!AW8*属性价值参考!C$26+基本装备!BB8*属性价值参考!C$27+基本装备!BC8*(属性价值参考!C$28+属性价值参考!C$29))</f>
        <v>16346.8</v>
      </c>
      <c r="Z8" s="9"/>
      <c r="AA8" s="81">
        <f t="shared" si="1"/>
        <v>1200</v>
      </c>
      <c r="AB8" s="81">
        <f t="shared" si="2"/>
        <v>4800</v>
      </c>
      <c r="AC8" s="81">
        <f t="shared" si="3"/>
        <v>160</v>
      </c>
      <c r="AD8" s="81">
        <f t="shared" si="4"/>
        <v>120</v>
      </c>
      <c r="AE8" s="9"/>
      <c r="AF8" s="82">
        <f t="shared" si="5"/>
        <v>40</v>
      </c>
      <c r="AG8" s="82">
        <v>35</v>
      </c>
      <c r="AH8" s="82">
        <v>1</v>
      </c>
      <c r="AI8" s="82">
        <v>2</v>
      </c>
      <c r="AJ8" s="82">
        <v>1</v>
      </c>
      <c r="AK8" s="82">
        <v>6</v>
      </c>
      <c r="AL8" s="82">
        <f t="shared" si="6"/>
        <v>320</v>
      </c>
      <c r="AM8" s="82">
        <f t="shared" si="7"/>
        <v>1280</v>
      </c>
      <c r="AN8" s="82">
        <f t="shared" si="8"/>
        <v>12.8</v>
      </c>
      <c r="AO8" s="82">
        <f t="shared" si="9"/>
        <v>33.6</v>
      </c>
      <c r="AP8" s="82">
        <v>1</v>
      </c>
      <c r="AQ8" s="82">
        <v>1</v>
      </c>
      <c r="AR8" s="82">
        <v>7</v>
      </c>
      <c r="AS8" s="82">
        <f t="shared" si="10"/>
        <v>112</v>
      </c>
      <c r="AT8" s="82">
        <f t="shared" si="11"/>
        <v>320</v>
      </c>
      <c r="AU8" s="82">
        <f t="shared" si="12"/>
        <v>11.200000000000001</v>
      </c>
      <c r="AV8" s="82">
        <f t="shared" si="13"/>
        <v>9.6</v>
      </c>
      <c r="AW8" s="82">
        <v>6</v>
      </c>
      <c r="AX8" s="82">
        <f t="shared" si="14"/>
        <v>96</v>
      </c>
      <c r="AY8" s="82">
        <f t="shared" si="15"/>
        <v>400</v>
      </c>
      <c r="AZ8" s="82">
        <f t="shared" si="16"/>
        <v>12</v>
      </c>
      <c r="BA8" s="82">
        <f t="shared" si="17"/>
        <v>9.6</v>
      </c>
      <c r="BB8" s="89">
        <v>2</v>
      </c>
      <c r="BC8" s="89">
        <v>2</v>
      </c>
      <c r="BE8" s="83">
        <v>6</v>
      </c>
      <c r="BF8" s="83" t="str">
        <f t="shared" si="37"/>
        <v>3#3#20|3#4#40|3#5#20|3#6#40|3#7#20|3#8#40|3#13#35|3#20#1|3#25#2|3#21#1</v>
      </c>
      <c r="BG8" s="83" t="str">
        <f t="shared" si="18"/>
        <v>3#35#600</v>
      </c>
      <c r="BH8" s="83" t="str">
        <f t="shared" si="38"/>
        <v>3#9#16|3#10#33|3#11#16|3#12#33|3#3#6|3#4#12|3#5#6|3#6#12|3#7#6|3#8#12|0#1#320|0#2#128|1#1#96|1#2#1280|2#1#192|2#2#1024|3#26#1|3#27#1</v>
      </c>
      <c r="BI8" s="83" t="str">
        <f t="shared" si="19"/>
        <v>3#30#7|3#31#7</v>
      </c>
      <c r="BJ8" s="83" t="str">
        <f t="shared" si="20"/>
        <v>3#9#4|3#10#9|3#11#4|3#12#9|0#1#96|0#2#40|1#1#28|1#2#400|2#1#57|2#2#320</v>
      </c>
      <c r="BK8" s="83" t="str">
        <f t="shared" si="21"/>
        <v>3#35#200|3#36#200</v>
      </c>
      <c r="BL8" s="83" t="str">
        <f t="shared" si="22"/>
        <v>3#9#4|3#10#9|3#11#4|3#12#9|0#1#96|0#2#40|1#1#28|1#2#400|2#1#57|2#2#320</v>
      </c>
      <c r="BM8" s="83" t="str">
        <f t="shared" si="23"/>
        <v>3#35#200|3#36#200</v>
      </c>
      <c r="BN8" s="83" t="str">
        <f t="shared" si="24"/>
        <v>3#9#4|3#10#9|3#11#4|3#12#9|0#1#96|0#2#40|1#1#28|1#2#400|2#1#57|2#2#320</v>
      </c>
      <c r="BO8" s="83" t="str">
        <f t="shared" si="25"/>
        <v>3#35#200|3#37#200</v>
      </c>
      <c r="BP8" s="83" t="str">
        <f t="shared" si="26"/>
        <v>3#9#4|3#10#9|3#11#4|3#12#9|0#1#96|0#2#40|1#1#28|1#2#400|2#1#57|2#2#320</v>
      </c>
      <c r="BQ8" s="83" t="str">
        <f t="shared" si="27"/>
        <v>3#35#200|3#37#200</v>
      </c>
      <c r="BR8" s="83" t="str">
        <f t="shared" si="28"/>
        <v>3#9#4|3#10#9|3#11#4|3#12#9|0#1#96|0#2#40|1#1#28|1#2#400|2#1#57|2#2#320</v>
      </c>
      <c r="BS8" s="83" t="str">
        <f t="shared" si="29"/>
        <v>3#35#200|3#36#200</v>
      </c>
      <c r="BT8" s="83" t="str">
        <f t="shared" si="30"/>
        <v>3#9#4|3#10#9|3#11#4|3#12#9|0#1#96|0#2#40|1#1#28|1#2#400|2#1#57|2#2#320</v>
      </c>
      <c r="BU8" s="83" t="str">
        <f t="shared" si="31"/>
        <v>3#35#200|3#36#200</v>
      </c>
      <c r="BV8" s="83" t="str">
        <f t="shared" si="32"/>
        <v>3#9#4|3#10#9|3#11#4|3#12#9|3#3#5|3#4#11|3#5#5|3#6#11|3#7#5|3#8#11|0#1#112|0#2#32|1#1#33|1#2#320|2#1#67|2#2#256</v>
      </c>
      <c r="BW8" s="83" t="str">
        <f t="shared" si="33"/>
        <v>3#30#6|3#31#6</v>
      </c>
      <c r="BY8" s="8" t="s">
        <v>1918</v>
      </c>
      <c r="BZ8" s="8" t="str">
        <f>BL3</f>
        <v>3#9#1|3#10#2|3#11#1|3#12#2|0#1#24|0#2#10|1#1#7|1#2#100|2#1#14|2#2#80</v>
      </c>
      <c r="CA8" s="8" t="str">
        <f>BL4</f>
        <v>3#9#1|3#10#3|3#11#1|3#12#3|0#1#36|0#2#15|1#1#10|1#2#150|2#1#21|2#2#120</v>
      </c>
      <c r="CB8" s="8" t="str">
        <f>BL5</f>
        <v>3#9#2|3#10#4|3#11#2|3#12#4|0#1#48|0#2#20|1#1#14|1#2#200|2#1#28|2#2#160</v>
      </c>
      <c r="CC8" s="8" t="str">
        <f>BL6</f>
        <v>3#9#3|3#10#6|3#11#3|3#12#6|0#1#60|0#2#25|1#1#18|1#2#250|2#1#36|2#2#200</v>
      </c>
      <c r="CD8" s="8" t="str">
        <f>BL7</f>
        <v>3#9#3|3#10#7|3#11#3|3#12#7|0#1#78|0#2#32|1#1#23|1#2#325|2#1#46|2#2#260</v>
      </c>
      <c r="CE8" s="8" t="str">
        <f>BL8</f>
        <v>3#9#4|3#10#9|3#11#4|3#12#9|0#1#96|0#2#40|1#1#28|1#2#400|2#1#57|2#2#320</v>
      </c>
      <c r="CF8" s="8" t="str">
        <f>BL9</f>
        <v>3#9#5|3#10#11|3#11#5|3#12#11|0#1#114|0#2#47|1#1#34|1#2#475|2#1#68|2#2#380</v>
      </c>
      <c r="CG8" s="8" t="str">
        <f>BL10</f>
        <v>3#9#6|3#10#13|3#11#6|3#12#13|0#1#132|0#2#55|1#1#39|1#2#550|2#1#79|2#2#440</v>
      </c>
      <c r="CH8" s="8" t="str">
        <f>BL11</f>
        <v>3#9#8|3#10#16|3#11#8|3#12#16|0#1#168|0#2#70|1#1#50|1#2#700|2#1#100|2#2#560</v>
      </c>
      <c r="CI8" s="8" t="str">
        <f>BL12</f>
        <v>3#9#10|3#10#21|3#11#10|3#12#21|0#1#216|0#2#90|1#1#64|1#2#900|2#1#129|2#2#720</v>
      </c>
      <c r="CJ8" s="8" t="str">
        <f>BL13</f>
        <v>3#9#13|3#10#26|3#11#13|3#12#26|0#1#264|0#2#110|1#1#79|1#2#1100|2#1#158|2#2#880</v>
      </c>
      <c r="CK8" s="8" t="str">
        <f>BL14</f>
        <v>3#9#15|3#10#30|3#11#15|3#12#30|0#1#306|0#2#127|1#1#91|1#2#1275|2#1#183|2#2#1020</v>
      </c>
      <c r="CL8" s="8" t="str">
        <f>BL15</f>
        <v>3#9#17|3#10#34|3#11#17|3#12#34|0#1#348|0#2#145|1#1#104|1#2#1450|2#1#208|2#2#1160</v>
      </c>
      <c r="CM8" s="8" t="str">
        <f>BL16</f>
        <v>3#9#19|3#10#38|3#11#19|3#12#38|0#1#384|0#2#160|1#1#115|1#2#1600|2#1#230|2#2#1280</v>
      </c>
      <c r="CN8" s="8" t="str">
        <f>BL17</f>
        <v>3#9#21|3#10#42|3#11#21|3#12#42|0#1#420|0#2#175|1#1#126|1#2#1750|2#1#252|2#2#1400</v>
      </c>
      <c r="CO8" s="8" t="str">
        <f>BL18</f>
        <v>3#9#22|3#10#44|3#11#22|3#12#44|0#1#450|0#2#187|1#1#135|1#2#1875|2#1#270|2#2#1500</v>
      </c>
      <c r="CP8" s="8" t="str">
        <f>BL19</f>
        <v>3#9#24|3#10#48|3#11#24|3#12#48|0#1#480|0#2#200|1#1#144|1#2#2000|2#1#288|2#2#1600</v>
      </c>
      <c r="CQ8" s="8" t="str">
        <f>BL20</f>
        <v>3#9#26|3#10#52|3#11#26|3#12#52|0#1#528|0#2#220|1#1#158|1#2#2200|2#1#316|2#2#1760</v>
      </c>
      <c r="CR8" s="8" t="str">
        <f>BL21</f>
        <v>3#9#28|3#10#57|3#11#28|3#12#57|0#1#576|0#2#240|1#1#172|1#2#2400|2#1#345|2#2#1920</v>
      </c>
      <c r="CS8" s="8" t="str">
        <f>BL22</f>
        <v>3#9#31|3#10#63|3#11#31|3#12#63|0#1#636|0#2#265|1#1#190|1#2#2650|2#1#381|2#2#2120</v>
      </c>
      <c r="CT8" s="8" t="str">
        <f>BL23</f>
        <v>3#9#34|3#10#69|3#11#34|3#12#69|0#1#696|0#2#290|1#1#208|1#2#2900|2#1#417|2#2#2320</v>
      </c>
      <c r="CU8" s="8" t="str">
        <f>BL24</f>
        <v>3#9#38|3#10#76|3#11#38|3#12#76|0#1#768|0#2#320|1#1#230|1#2#3200|2#1#460|2#2#2560</v>
      </c>
      <c r="CV8" s="8" t="str">
        <f>BL25</f>
        <v>3#9#42|3#10#84|3#11#42|3#12#84|0#1#840|0#2#350|1#1#252|1#2#3500|2#1#504|2#2#2800</v>
      </c>
      <c r="CW8" s="8" t="str">
        <f>BL26</f>
        <v>3#9#45|3#10#90|3#11#45|3#12#90|0#1#900|0#2#375|1#1#270|1#2#3750|2#1#540|2#2#3000</v>
      </c>
      <c r="CX8" s="8" t="str">
        <f>BL27</f>
        <v>3#9#48|3#10#96|3#11#48|3#12#96|0#1#960|0#2#400|1#1#288|1#2#4000|2#1#576|2#2#3200</v>
      </c>
      <c r="CY8" s="8" t="str">
        <f>BL28</f>
        <v>3#9#54|3#10#108|3#11#54|3#12#108|0#1#1080|0#2#450|1#1#324|1#2#4500|2#1#648|2#2#3600</v>
      </c>
      <c r="CZ8" s="8" t="str">
        <f>BL29</f>
        <v>3#9#60|3#10#120|3#11#60|3#12#120|0#1#1200|0#2#500|1#1#360|1#2#5000|2#1#720|2#2#4000</v>
      </c>
    </row>
    <row r="9" spans="1:104" x14ac:dyDescent="0.3">
      <c r="A9" s="22" t="s">
        <v>174</v>
      </c>
      <c r="B9" s="22" t="s">
        <v>753</v>
      </c>
      <c r="C9" s="22" t="s">
        <v>213</v>
      </c>
      <c r="D9" s="23"/>
      <c r="E9" s="23" t="s">
        <v>770</v>
      </c>
      <c r="F9" s="29">
        <v>1</v>
      </c>
      <c r="G9" s="69">
        <v>35</v>
      </c>
      <c r="H9" s="64"/>
      <c r="I9" s="22" t="s">
        <v>771</v>
      </c>
      <c r="J9" s="22" t="s">
        <v>772</v>
      </c>
      <c r="K9" s="90">
        <v>7</v>
      </c>
      <c r="L9" s="91">
        <f>INT(14.25/150*L29)</f>
        <v>1425</v>
      </c>
      <c r="M9" s="91">
        <f t="shared" ref="M9:W9" si="41">INT(14.25/150*M29)</f>
        <v>5700</v>
      </c>
      <c r="N9" s="91">
        <f t="shared" si="41"/>
        <v>95</v>
      </c>
      <c r="O9" s="91">
        <f t="shared" si="41"/>
        <v>190</v>
      </c>
      <c r="P9" s="91">
        <f t="shared" si="41"/>
        <v>95</v>
      </c>
      <c r="Q9" s="91">
        <f t="shared" si="41"/>
        <v>190</v>
      </c>
      <c r="R9" s="91">
        <f t="shared" si="41"/>
        <v>95</v>
      </c>
      <c r="S9" s="91">
        <f t="shared" si="41"/>
        <v>190</v>
      </c>
      <c r="T9" s="91">
        <f t="shared" si="41"/>
        <v>71</v>
      </c>
      <c r="U9" s="91">
        <f t="shared" si="41"/>
        <v>142</v>
      </c>
      <c r="V9" s="91">
        <f t="shared" si="41"/>
        <v>71</v>
      </c>
      <c r="W9" s="91">
        <f t="shared" si="41"/>
        <v>142</v>
      </c>
      <c r="X9" s="91">
        <f>L9*属性价值参考!C$5+基本装备!M9*属性价值参考!C$6+基本装备!N9*属性价值参考!C$7+基本装备!O9*属性价值参考!C$8+基本装备!T9*属性价值参考!C$9+基本装备!U9*属性价值参考!C$10+基本装备!V9*属性价值参考!C$11+基本装备!W9*属性价值参考!C$12</f>
        <v>33369</v>
      </c>
      <c r="Y9" s="91">
        <f>基本装备!AG9*属性价值参考!C$13+基本装备!AH9*属性价值参考!C$36+基本装备!AI9*属性价值参考!C$19+基本装备!AJ9*属性价值参考!C$15+基本装备!AK9*属性价值参考!C$27+基本装备!AP9*属性价值参考!C$20+基本装备!AQ9*属性价值参考!C$21+基本装备!AR9*属性价值参考!C$26+8*(基本装备!AW9*属性价值参考!C$26+基本装备!BB9*属性价值参考!C$27+基本装备!BC9*(属性价值参考!C$28+属性价值参考!C$29))</f>
        <v>21466</v>
      </c>
      <c r="Z9" s="9"/>
      <c r="AA9" s="81">
        <f t="shared" si="1"/>
        <v>1425</v>
      </c>
      <c r="AB9" s="81">
        <f t="shared" si="2"/>
        <v>5700</v>
      </c>
      <c r="AC9" s="81">
        <f t="shared" si="3"/>
        <v>190</v>
      </c>
      <c r="AD9" s="81">
        <f t="shared" si="4"/>
        <v>142</v>
      </c>
      <c r="AE9" s="9"/>
      <c r="AF9" s="82">
        <f t="shared" si="5"/>
        <v>47.5</v>
      </c>
      <c r="AG9" s="82">
        <v>35</v>
      </c>
      <c r="AH9" s="82">
        <v>2</v>
      </c>
      <c r="AI9" s="82">
        <v>2</v>
      </c>
      <c r="AJ9" s="82">
        <v>1</v>
      </c>
      <c r="AK9" s="82">
        <v>8</v>
      </c>
      <c r="AL9" s="82">
        <f t="shared" si="6"/>
        <v>380</v>
      </c>
      <c r="AM9" s="82">
        <f t="shared" si="7"/>
        <v>1520</v>
      </c>
      <c r="AN9" s="82">
        <f t="shared" si="8"/>
        <v>15.200000000000001</v>
      </c>
      <c r="AO9" s="82">
        <f t="shared" si="9"/>
        <v>39.760000000000005</v>
      </c>
      <c r="AP9" s="82">
        <v>1</v>
      </c>
      <c r="AQ9" s="82">
        <v>1</v>
      </c>
      <c r="AR9" s="82">
        <v>10</v>
      </c>
      <c r="AS9" s="82">
        <f t="shared" si="10"/>
        <v>133</v>
      </c>
      <c r="AT9" s="82">
        <f t="shared" si="11"/>
        <v>380</v>
      </c>
      <c r="AU9" s="82">
        <f t="shared" si="12"/>
        <v>13.3</v>
      </c>
      <c r="AV9" s="82">
        <f t="shared" si="13"/>
        <v>11.36</v>
      </c>
      <c r="AW9" s="82">
        <v>7</v>
      </c>
      <c r="AX9" s="82">
        <f t="shared" si="14"/>
        <v>114</v>
      </c>
      <c r="AY9" s="82">
        <f t="shared" si="15"/>
        <v>475</v>
      </c>
      <c r="AZ9" s="82">
        <f t="shared" si="16"/>
        <v>14.25</v>
      </c>
      <c r="BA9" s="82">
        <f t="shared" si="17"/>
        <v>11.36</v>
      </c>
      <c r="BB9" s="89">
        <v>2</v>
      </c>
      <c r="BC9" s="89">
        <v>3</v>
      </c>
      <c r="BE9" s="83">
        <v>7</v>
      </c>
      <c r="BF9" s="83" t="str">
        <f t="shared" si="37"/>
        <v>3#3#23|3#4#47|3#5#23|3#6#47|3#7#23|3#8#47|3#13#35|3#20#2|3#25#2|3#21#1</v>
      </c>
      <c r="BG9" s="83" t="str">
        <f t="shared" si="18"/>
        <v>3#35#800</v>
      </c>
      <c r="BH9" s="83" t="str">
        <f t="shared" si="38"/>
        <v>3#9#19|3#10#39|3#11#19|3#12#39|3#3#7|3#4#15|3#5#7|3#6#15|3#7#7|3#8#15|0#1#380|0#2#152|1#1#114|1#2#1520|2#1#228|2#2#1216|3#26#1|3#27#1</v>
      </c>
      <c r="BI9" s="83" t="str">
        <f t="shared" si="19"/>
        <v>3#30#10|3#31#10</v>
      </c>
      <c r="BJ9" s="83" t="str">
        <f t="shared" si="20"/>
        <v>3#9#5|3#10#11|3#11#5|3#12#11|0#1#114|0#2#47|1#1#34|1#2#475|2#1#68|2#2#380</v>
      </c>
      <c r="BK9" s="83" t="str">
        <f t="shared" si="21"/>
        <v>3#35#200|3#36#300</v>
      </c>
      <c r="BL9" s="83" t="str">
        <f t="shared" si="22"/>
        <v>3#9#5|3#10#11|3#11#5|3#12#11|0#1#114|0#2#47|1#1#34|1#2#475|2#1#68|2#2#380</v>
      </c>
      <c r="BM9" s="83" t="str">
        <f t="shared" si="23"/>
        <v>3#35#200|3#36#300</v>
      </c>
      <c r="BN9" s="83" t="str">
        <f t="shared" si="24"/>
        <v>3#9#5|3#10#11|3#11#5|3#12#11|0#1#114|0#2#47|1#1#34|1#2#475|2#1#68|2#2#380</v>
      </c>
      <c r="BO9" s="83" t="str">
        <f t="shared" si="25"/>
        <v>3#35#200|3#37#300</v>
      </c>
      <c r="BP9" s="83" t="str">
        <f t="shared" si="26"/>
        <v>3#9#5|3#10#11|3#11#5|3#12#11|0#1#114|0#2#47|1#1#34|1#2#475|2#1#68|2#2#380</v>
      </c>
      <c r="BQ9" s="83" t="str">
        <f t="shared" si="27"/>
        <v>3#35#200|3#37#300</v>
      </c>
      <c r="BR9" s="83" t="str">
        <f t="shared" si="28"/>
        <v>3#9#5|3#10#11|3#11#5|3#12#11|0#1#114|0#2#47|1#1#34|1#2#475|2#1#68|2#2#380</v>
      </c>
      <c r="BS9" s="83" t="str">
        <f t="shared" si="29"/>
        <v>3#35#200|3#36#300</v>
      </c>
      <c r="BT9" s="83" t="str">
        <f t="shared" si="30"/>
        <v>3#9#5|3#10#11|3#11#5|3#12#11|0#1#114|0#2#47|1#1#34|1#2#475|2#1#68|2#2#380</v>
      </c>
      <c r="BU9" s="83" t="str">
        <f t="shared" si="31"/>
        <v>3#35#200|3#36#300</v>
      </c>
      <c r="BV9" s="83" t="str">
        <f t="shared" si="32"/>
        <v>3#9#5|3#10#11|3#11#5|3#12#11|3#3#6|3#4#13|3#5#6|3#6#13|3#7#6|3#8#13|0#1#133|0#2#38|1#1#39|1#2#380|2#1#79|2#2#304</v>
      </c>
      <c r="BW9" s="83" t="str">
        <f t="shared" si="33"/>
        <v>3#30#7|3#31#7</v>
      </c>
      <c r="BY9" s="8" t="s">
        <v>1919</v>
      </c>
      <c r="BZ9" s="8" t="str">
        <f>BN3</f>
        <v>3#9#1|3#10#2|3#11#1|3#12#2|0#1#24|0#2#10|1#1#7|1#2#100|2#1#14|2#2#80</v>
      </c>
      <c r="CA9" s="8" t="str">
        <f>BN4</f>
        <v>3#9#1|3#10#3|3#11#1|3#12#3|0#1#36|0#2#15|1#1#10|1#2#150|2#1#21|2#2#120</v>
      </c>
      <c r="CB9" s="8" t="str">
        <f>BN5</f>
        <v>3#9#2|3#10#4|3#11#2|3#12#4|0#1#48|0#2#20|1#1#14|1#2#200|2#1#28|2#2#160</v>
      </c>
      <c r="CC9" s="8" t="str">
        <f>BN6</f>
        <v>3#9#3|3#10#6|3#11#3|3#12#6|0#1#60|0#2#25|1#1#18|1#2#250|2#1#36|2#2#200</v>
      </c>
      <c r="CD9" s="8" t="str">
        <f>BN7</f>
        <v>3#9#3|3#10#7|3#11#3|3#12#7|0#1#78|0#2#32|1#1#23|1#2#325|2#1#46|2#2#260</v>
      </c>
      <c r="CE9" s="8" t="str">
        <f>BN8</f>
        <v>3#9#4|3#10#9|3#11#4|3#12#9|0#1#96|0#2#40|1#1#28|1#2#400|2#1#57|2#2#320</v>
      </c>
      <c r="CF9" s="8" t="str">
        <f>BN9</f>
        <v>3#9#5|3#10#11|3#11#5|3#12#11|0#1#114|0#2#47|1#1#34|1#2#475|2#1#68|2#2#380</v>
      </c>
      <c r="CG9" s="8" t="str">
        <f>BN10</f>
        <v>3#9#6|3#10#13|3#11#6|3#12#13|0#1#132|0#2#55|1#1#39|1#2#550|2#1#79|2#2#440</v>
      </c>
      <c r="CH9" s="8" t="str">
        <f>BN11</f>
        <v>3#9#8|3#10#16|3#11#8|3#12#16|0#1#168|0#2#70|1#1#50|1#2#700|2#1#100|2#2#560</v>
      </c>
      <c r="CI9" s="8" t="str">
        <f>BN12</f>
        <v>3#9#10|3#10#21|3#11#10|3#12#21|0#1#216|0#2#90|1#1#64|1#2#900|2#1#129|2#2#720</v>
      </c>
      <c r="CJ9" s="8" t="str">
        <f>BN13</f>
        <v>3#9#13|3#10#26|3#11#13|3#12#26|0#1#264|0#2#110|1#1#79|1#2#1100|2#1#158|2#2#880</v>
      </c>
      <c r="CK9" s="8" t="str">
        <f>BN14</f>
        <v>3#9#15|3#10#30|3#11#15|3#12#30|0#1#306|0#2#127|1#1#91|1#2#1275|2#1#183|2#2#1020</v>
      </c>
      <c r="CL9" s="8" t="str">
        <f>BN15</f>
        <v>3#9#17|3#10#34|3#11#17|3#12#34|0#1#348|0#2#145|1#1#104|1#2#1450|2#1#208|2#2#1160</v>
      </c>
      <c r="CM9" s="8" t="str">
        <f>BN16</f>
        <v>3#9#19|3#10#38|3#11#19|3#12#38|0#1#384|0#2#160|1#1#115|1#2#1600|2#1#230|2#2#1280</v>
      </c>
      <c r="CN9" s="8" t="str">
        <f>BN17</f>
        <v>3#9#21|3#10#42|3#11#21|3#12#42|0#1#420|0#2#175|1#1#126|1#2#1750|2#1#252|2#2#1400</v>
      </c>
      <c r="CO9" s="8" t="str">
        <f>BN18</f>
        <v>3#9#22|3#10#44|3#11#22|3#12#44|0#1#450|0#2#187|1#1#135|1#2#1875|2#1#270|2#2#1500</v>
      </c>
      <c r="CP9" s="8" t="str">
        <f>BN19</f>
        <v>3#9#24|3#10#48|3#11#24|3#12#48|0#1#480|0#2#200|1#1#144|1#2#2000|2#1#288|2#2#1600</v>
      </c>
      <c r="CQ9" s="8" t="str">
        <f>BN20</f>
        <v>3#9#26|3#10#52|3#11#26|3#12#52|0#1#528|0#2#220|1#1#158|1#2#2200|2#1#316|2#2#1760</v>
      </c>
      <c r="CR9" s="8" t="str">
        <f>BN21</f>
        <v>3#9#28|3#10#57|3#11#28|3#12#57|0#1#576|0#2#240|1#1#172|1#2#2400|2#1#345|2#2#1920</v>
      </c>
      <c r="CS9" s="8" t="str">
        <f>BN22</f>
        <v>3#9#31|3#10#63|3#11#31|3#12#63|0#1#636|0#2#265|1#1#190|1#2#2650|2#1#381|2#2#2120</v>
      </c>
      <c r="CT9" s="8" t="str">
        <f>BN23</f>
        <v>3#9#34|3#10#69|3#11#34|3#12#69|0#1#696|0#2#290|1#1#208|1#2#2900|2#1#417|2#2#2320</v>
      </c>
      <c r="CU9" s="8" t="str">
        <f>BN24</f>
        <v>3#9#38|3#10#76|3#11#38|3#12#76|0#1#768|0#2#320|1#1#230|1#2#3200|2#1#460|2#2#2560</v>
      </c>
      <c r="CV9" s="8" t="str">
        <f>BN25</f>
        <v>3#9#42|3#10#84|3#11#42|3#12#84|0#1#840|0#2#350|1#1#252|1#2#3500|2#1#504|2#2#2800</v>
      </c>
      <c r="CW9" s="8" t="str">
        <f>BN26</f>
        <v>3#9#45|3#10#90|3#11#45|3#12#90|0#1#900|0#2#375|1#1#270|1#2#3750|2#1#540|2#2#3000</v>
      </c>
      <c r="CX9" s="8" t="str">
        <f>BN27</f>
        <v>3#9#48|3#10#96|3#11#48|3#12#96|0#1#960|0#2#400|1#1#288|1#2#4000|2#1#576|2#2#3200</v>
      </c>
      <c r="CY9" s="8" t="str">
        <f>BN28</f>
        <v>3#9#54|3#10#108|3#11#54|3#12#108|0#1#1080|0#2#450|1#1#324|1#2#4500|2#1#648|2#2#3600</v>
      </c>
      <c r="CZ9" s="8" t="str">
        <f>BN29</f>
        <v>3#9#60|3#10#120|3#11#60|3#12#120|0#1#1200|0#2#500|1#1#360|1#2#5000|2#1#720|2#2#4000</v>
      </c>
    </row>
    <row r="10" spans="1:104" x14ac:dyDescent="0.3">
      <c r="A10" s="22" t="s">
        <v>174</v>
      </c>
      <c r="B10" s="22" t="s">
        <v>753</v>
      </c>
      <c r="C10" s="22" t="s">
        <v>221</v>
      </c>
      <c r="D10" s="23"/>
      <c r="E10" s="23" t="s">
        <v>773</v>
      </c>
      <c r="F10" s="29">
        <v>1</v>
      </c>
      <c r="G10" s="69">
        <v>35</v>
      </c>
      <c r="H10" s="64"/>
      <c r="I10" s="22" t="s">
        <v>774</v>
      </c>
      <c r="J10" s="22" t="s">
        <v>772</v>
      </c>
      <c r="K10" s="90">
        <v>8</v>
      </c>
      <c r="L10" s="91">
        <f>INT(16.5/150*L29)</f>
        <v>1650</v>
      </c>
      <c r="M10" s="91">
        <f t="shared" ref="M10:W10" si="42">INT(16.5/150*M29)</f>
        <v>6600</v>
      </c>
      <c r="N10" s="91">
        <f t="shared" si="42"/>
        <v>110</v>
      </c>
      <c r="O10" s="91">
        <f t="shared" si="42"/>
        <v>220</v>
      </c>
      <c r="P10" s="91">
        <f t="shared" si="42"/>
        <v>110</v>
      </c>
      <c r="Q10" s="91">
        <f t="shared" si="42"/>
        <v>220</v>
      </c>
      <c r="R10" s="91">
        <f t="shared" si="42"/>
        <v>110</v>
      </c>
      <c r="S10" s="91">
        <f t="shared" si="42"/>
        <v>220</v>
      </c>
      <c r="T10" s="91">
        <f t="shared" si="42"/>
        <v>82</v>
      </c>
      <c r="U10" s="91">
        <f t="shared" si="42"/>
        <v>165</v>
      </c>
      <c r="V10" s="91">
        <f t="shared" si="42"/>
        <v>82</v>
      </c>
      <c r="W10" s="91">
        <f t="shared" si="42"/>
        <v>165</v>
      </c>
      <c r="X10" s="91">
        <f>L10*属性价值参考!C$5+基本装备!M10*属性价值参考!C$6+基本装备!N10*属性价值参考!C$7+基本装备!O10*属性价值参考!C$8+基本装备!T10*属性价值参考!C$9+基本装备!U10*属性价值参考!C$10+基本装备!V10*属性价值参考!C$11+基本装备!W10*属性价值参考!C$12</f>
        <v>38655.600000000006</v>
      </c>
      <c r="Y10" s="91">
        <f>基本装备!AG10*属性价值参考!C$13+基本装备!AH10*属性价值参考!C$36+基本装备!AI10*属性价值参考!C$19+基本装备!AJ10*属性价值参考!C$15+基本装备!AK10*属性价值参考!C$27+基本装备!AP10*属性价值参考!C$20+基本装备!AQ10*属性价值参考!C$21+基本装备!AR10*属性价值参考!C$26+8*(基本装备!AW10*属性价值参考!C$26+基本装备!BB10*属性价值参考!C$27+基本装备!BC10*(属性价值参考!C$28+属性价值参考!C$29))</f>
        <v>25808</v>
      </c>
      <c r="Z10" s="9"/>
      <c r="AA10" s="81">
        <f t="shared" si="1"/>
        <v>1650</v>
      </c>
      <c r="AB10" s="81">
        <f t="shared" si="2"/>
        <v>6600</v>
      </c>
      <c r="AC10" s="81">
        <f t="shared" si="3"/>
        <v>220</v>
      </c>
      <c r="AD10" s="81">
        <f t="shared" si="4"/>
        <v>165</v>
      </c>
      <c r="AE10" s="9"/>
      <c r="AF10" s="82">
        <f t="shared" si="5"/>
        <v>55</v>
      </c>
      <c r="AG10" s="82">
        <v>40</v>
      </c>
      <c r="AH10" s="82">
        <v>2</v>
      </c>
      <c r="AI10" s="82">
        <v>3</v>
      </c>
      <c r="AJ10" s="82">
        <v>2</v>
      </c>
      <c r="AK10" s="82">
        <v>10</v>
      </c>
      <c r="AL10" s="82">
        <f t="shared" si="6"/>
        <v>440</v>
      </c>
      <c r="AM10" s="82">
        <f t="shared" si="7"/>
        <v>1760</v>
      </c>
      <c r="AN10" s="82">
        <f t="shared" si="8"/>
        <v>17.600000000000001</v>
      </c>
      <c r="AO10" s="82">
        <f t="shared" si="9"/>
        <v>46.2</v>
      </c>
      <c r="AP10" s="82">
        <v>2</v>
      </c>
      <c r="AQ10" s="82">
        <v>2</v>
      </c>
      <c r="AR10" s="82">
        <v>13</v>
      </c>
      <c r="AS10" s="82">
        <f t="shared" si="10"/>
        <v>154</v>
      </c>
      <c r="AT10" s="82">
        <f t="shared" si="11"/>
        <v>440</v>
      </c>
      <c r="AU10" s="82">
        <f t="shared" si="12"/>
        <v>15.400000000000002</v>
      </c>
      <c r="AV10" s="82">
        <f t="shared" si="13"/>
        <v>13.200000000000001</v>
      </c>
      <c r="AW10" s="82">
        <v>8</v>
      </c>
      <c r="AX10" s="82">
        <f t="shared" si="14"/>
        <v>132</v>
      </c>
      <c r="AY10" s="82">
        <f t="shared" si="15"/>
        <v>550</v>
      </c>
      <c r="AZ10" s="82">
        <f t="shared" si="16"/>
        <v>16.5</v>
      </c>
      <c r="BA10" s="82">
        <f t="shared" si="17"/>
        <v>13.200000000000001</v>
      </c>
      <c r="BB10" s="89">
        <v>3</v>
      </c>
      <c r="BC10" s="89">
        <v>3</v>
      </c>
      <c r="BE10" s="83">
        <v>8</v>
      </c>
      <c r="BF10" s="83" t="str">
        <f t="shared" si="37"/>
        <v>3#3#27|3#4#55|3#5#27|3#6#55|3#7#27|3#8#55|3#13#40|3#20#2|3#25#3|3#21#2</v>
      </c>
      <c r="BG10" s="83" t="str">
        <f t="shared" si="18"/>
        <v>3#35#1000</v>
      </c>
      <c r="BH10" s="83" t="str">
        <f t="shared" si="38"/>
        <v>3#9#23|3#10#46|3#11#23|3#12#46|3#3#8|3#4#17|3#5#8|3#6#17|3#7#8|3#8#17|0#1#440|0#2#176|1#1#132|1#2#1760|2#1#264|2#2#1408|3#26#2|3#27#2</v>
      </c>
      <c r="BI10" s="83" t="str">
        <f t="shared" si="19"/>
        <v>3#30#13|3#31#13</v>
      </c>
      <c r="BJ10" s="83" t="str">
        <f t="shared" si="20"/>
        <v>3#9#6|3#10#13|3#11#6|3#12#13|0#1#132|0#2#55|1#1#39|1#2#550|2#1#79|2#2#440</v>
      </c>
      <c r="BK10" s="83" t="str">
        <f t="shared" si="21"/>
        <v>3#35#300|3#36#300</v>
      </c>
      <c r="BL10" s="83" t="str">
        <f t="shared" si="22"/>
        <v>3#9#6|3#10#13|3#11#6|3#12#13|0#1#132|0#2#55|1#1#39|1#2#550|2#1#79|2#2#440</v>
      </c>
      <c r="BM10" s="83" t="str">
        <f t="shared" si="23"/>
        <v>3#35#300|3#36#300</v>
      </c>
      <c r="BN10" s="83" t="str">
        <f t="shared" si="24"/>
        <v>3#9#6|3#10#13|3#11#6|3#12#13|0#1#132|0#2#55|1#1#39|1#2#550|2#1#79|2#2#440</v>
      </c>
      <c r="BO10" s="83" t="str">
        <f t="shared" si="25"/>
        <v>3#35#300|3#37#300</v>
      </c>
      <c r="BP10" s="83" t="str">
        <f t="shared" si="26"/>
        <v>3#9#6|3#10#13|3#11#6|3#12#13|0#1#132|0#2#55|1#1#39|1#2#550|2#1#79|2#2#440</v>
      </c>
      <c r="BQ10" s="83" t="str">
        <f t="shared" si="27"/>
        <v>3#35#300|3#37#300</v>
      </c>
      <c r="BR10" s="83" t="str">
        <f t="shared" si="28"/>
        <v>3#9#6|3#10#13|3#11#6|3#12#13|0#1#132|0#2#55|1#1#39|1#2#550|2#1#79|2#2#440</v>
      </c>
      <c r="BS10" s="83" t="str">
        <f t="shared" si="29"/>
        <v>3#35#300|3#36#300</v>
      </c>
      <c r="BT10" s="83" t="str">
        <f t="shared" si="30"/>
        <v>3#9#6|3#10#13|3#11#6|3#12#13|0#1#132|0#2#55|1#1#39|1#2#550|2#1#79|2#2#440</v>
      </c>
      <c r="BU10" s="83" t="str">
        <f t="shared" si="31"/>
        <v>3#35#300|3#36#300</v>
      </c>
      <c r="BV10" s="83" t="str">
        <f t="shared" si="32"/>
        <v>3#9#6|3#10#13|3#11#6|3#12#13|3#3#7|3#4#15|3#5#7|3#6#15|3#7#7|3#8#15|0#1#154|0#2#44|1#1#46|1#2#440|2#1#92|2#2#352</v>
      </c>
      <c r="BW10" s="83" t="str">
        <f t="shared" si="33"/>
        <v>3#30#8|3#31#8</v>
      </c>
      <c r="BY10" s="8" t="s">
        <v>1920</v>
      </c>
      <c r="BZ10" s="8" t="str">
        <f>BP3</f>
        <v>3#9#1|3#10#2|3#11#1|3#12#2|0#1#24|0#2#10|1#1#7|1#2#100|2#1#14|2#2#80</v>
      </c>
      <c r="CA10" s="8" t="str">
        <f>BP4</f>
        <v>3#9#1|3#10#3|3#11#1|3#12#3|0#1#36|0#2#15|1#1#10|1#2#150|2#1#21|2#2#120</v>
      </c>
      <c r="CB10" s="8" t="str">
        <f>BP5</f>
        <v>3#9#2|3#10#4|3#11#2|3#12#4|0#1#48|0#2#20|1#1#14|1#2#200|2#1#28|2#2#160</v>
      </c>
      <c r="CC10" s="8" t="str">
        <f>BP6</f>
        <v>3#9#3|3#10#6|3#11#3|3#12#6|0#1#60|0#2#25|1#1#18|1#2#250|2#1#36|2#2#200</v>
      </c>
      <c r="CD10" s="8" t="str">
        <f>BP7</f>
        <v>3#9#3|3#10#7|3#11#3|3#12#7|0#1#78|0#2#32|1#1#23|1#2#325|2#1#46|2#2#260</v>
      </c>
      <c r="CE10" s="8" t="str">
        <f>BP8</f>
        <v>3#9#4|3#10#9|3#11#4|3#12#9|0#1#96|0#2#40|1#1#28|1#2#400|2#1#57|2#2#320</v>
      </c>
      <c r="CF10" s="8" t="str">
        <f>BP9</f>
        <v>3#9#5|3#10#11|3#11#5|3#12#11|0#1#114|0#2#47|1#1#34|1#2#475|2#1#68|2#2#380</v>
      </c>
      <c r="CG10" s="8" t="str">
        <f>BP10</f>
        <v>3#9#6|3#10#13|3#11#6|3#12#13|0#1#132|0#2#55|1#1#39|1#2#550|2#1#79|2#2#440</v>
      </c>
      <c r="CH10" s="8" t="str">
        <f>BP11</f>
        <v>3#9#8|3#10#16|3#11#8|3#12#16|0#1#168|0#2#70|1#1#50|1#2#700|2#1#100|2#2#560</v>
      </c>
      <c r="CI10" s="8" t="str">
        <f>BP12</f>
        <v>3#9#10|3#10#21|3#11#10|3#12#21|0#1#216|0#2#90|1#1#64|1#2#900|2#1#129|2#2#720</v>
      </c>
      <c r="CJ10" s="8" t="str">
        <f>BP13</f>
        <v>3#9#13|3#10#26|3#11#13|3#12#26|0#1#264|0#2#110|1#1#79|1#2#1100|2#1#158|2#2#880</v>
      </c>
      <c r="CK10" s="8" t="str">
        <f>BP14</f>
        <v>3#9#15|3#10#30|3#11#15|3#12#30|0#1#306|0#2#127|1#1#91|1#2#1275|2#1#183|2#2#1020</v>
      </c>
      <c r="CL10" s="8" t="str">
        <f>BP15</f>
        <v>3#9#17|3#10#34|3#11#17|3#12#34|0#1#348|0#2#145|1#1#104|1#2#1450|2#1#208|2#2#1160</v>
      </c>
      <c r="CM10" s="8" t="str">
        <f>BP16</f>
        <v>3#9#19|3#10#38|3#11#19|3#12#38|0#1#384|0#2#160|1#1#115|1#2#1600|2#1#230|2#2#1280</v>
      </c>
      <c r="CN10" s="8" t="str">
        <f>BP17</f>
        <v>3#9#21|3#10#42|3#11#21|3#12#42|0#1#420|0#2#175|1#1#126|1#2#1750|2#1#252|2#2#1400</v>
      </c>
      <c r="CO10" s="8" t="str">
        <f>BP18</f>
        <v>3#9#22|3#10#44|3#11#22|3#12#44|0#1#450|0#2#187|1#1#135|1#2#1875|2#1#270|2#2#1500</v>
      </c>
      <c r="CP10" s="8" t="str">
        <f>BP19</f>
        <v>3#9#24|3#10#48|3#11#24|3#12#48|0#1#480|0#2#200|1#1#144|1#2#2000|2#1#288|2#2#1600</v>
      </c>
      <c r="CQ10" s="8" t="str">
        <f>BP20</f>
        <v>3#9#26|3#10#52|3#11#26|3#12#52|0#1#528|0#2#220|1#1#158|1#2#2200|2#1#316|2#2#1760</v>
      </c>
      <c r="CR10" s="8" t="str">
        <f>BP21</f>
        <v>3#9#28|3#10#57|3#11#28|3#12#57|0#1#576|0#2#240|1#1#172|1#2#2400|2#1#345|2#2#1920</v>
      </c>
      <c r="CS10" s="8" t="str">
        <f>BP22</f>
        <v>3#9#31|3#10#63|3#11#31|3#12#63|0#1#636|0#2#265|1#1#190|1#2#2650|2#1#381|2#2#2120</v>
      </c>
      <c r="CT10" s="8" t="str">
        <f>BP23</f>
        <v>3#9#34|3#10#69|3#11#34|3#12#69|0#1#696|0#2#290|1#1#208|1#2#2900|2#1#417|2#2#2320</v>
      </c>
      <c r="CU10" s="8" t="str">
        <f>BP24</f>
        <v>3#9#38|3#10#76|3#11#38|3#12#76|0#1#768|0#2#320|1#1#230|1#2#3200|2#1#460|2#2#2560</v>
      </c>
      <c r="CV10" s="8" t="str">
        <f>BP25</f>
        <v>3#9#42|3#10#84|3#11#42|3#12#84|0#1#840|0#2#350|1#1#252|1#2#3500|2#1#504|2#2#2800</v>
      </c>
      <c r="CW10" s="8" t="str">
        <f>BP26</f>
        <v>3#9#45|3#10#90|3#11#45|3#12#90|0#1#900|0#2#375|1#1#270|1#2#3750|2#1#540|2#2#3000</v>
      </c>
      <c r="CX10" s="8" t="str">
        <f>BP27</f>
        <v>3#9#48|3#10#96|3#11#48|3#12#96|0#1#960|0#2#400|1#1#288|1#2#4000|2#1#576|2#2#3200</v>
      </c>
      <c r="CY10" s="8" t="str">
        <f>BP28</f>
        <v>3#9#54|3#10#108|3#11#54|3#12#108|0#1#1080|0#2#450|1#1#324|1#2#4500|2#1#648|2#2#3600</v>
      </c>
      <c r="CZ10" s="8" t="str">
        <f>BP29</f>
        <v>3#9#60|3#10#120|3#11#60|3#12#120|0#1#1200|0#2#500|1#1#360|1#2#5000|2#1#720|2#2#4000</v>
      </c>
    </row>
    <row r="11" spans="1:104" x14ac:dyDescent="0.3">
      <c r="A11" s="22" t="s">
        <v>174</v>
      </c>
      <c r="B11" s="22" t="s">
        <v>753</v>
      </c>
      <c r="C11" s="22" t="s">
        <v>217</v>
      </c>
      <c r="D11" s="23"/>
      <c r="E11" s="23" t="s">
        <v>775</v>
      </c>
      <c r="F11" s="29">
        <v>1</v>
      </c>
      <c r="G11" s="69">
        <v>35</v>
      </c>
      <c r="H11" s="64"/>
      <c r="I11" s="22" t="s">
        <v>776</v>
      </c>
      <c r="J11" s="22" t="s">
        <v>772</v>
      </c>
      <c r="K11" s="90">
        <v>9</v>
      </c>
      <c r="L11" s="91">
        <f>INT(21/150*L29)</f>
        <v>2100</v>
      </c>
      <c r="M11" s="91">
        <f t="shared" ref="M11:W11" si="43">INT(21/150*M29)</f>
        <v>8400</v>
      </c>
      <c r="N11" s="91">
        <f t="shared" si="43"/>
        <v>140</v>
      </c>
      <c r="O11" s="91">
        <f t="shared" si="43"/>
        <v>280</v>
      </c>
      <c r="P11" s="91">
        <f t="shared" si="43"/>
        <v>140</v>
      </c>
      <c r="Q11" s="91">
        <f t="shared" si="43"/>
        <v>280</v>
      </c>
      <c r="R11" s="91">
        <f t="shared" si="43"/>
        <v>140</v>
      </c>
      <c r="S11" s="91">
        <f t="shared" si="43"/>
        <v>280</v>
      </c>
      <c r="T11" s="91">
        <f t="shared" si="43"/>
        <v>105</v>
      </c>
      <c r="U11" s="91">
        <f t="shared" si="43"/>
        <v>210</v>
      </c>
      <c r="V11" s="91">
        <f t="shared" si="43"/>
        <v>105</v>
      </c>
      <c r="W11" s="91">
        <f t="shared" si="43"/>
        <v>210</v>
      </c>
      <c r="X11" s="91">
        <f>L11*属性价值参考!C$5+基本装备!M11*属性价值参考!C$6+基本装备!N11*属性价值参考!C$7+基本装备!O11*属性价值参考!C$8+基本装备!T11*属性价值参考!C$9+基本装备!U11*属性价值参考!C$10+基本装备!V11*属性价值参考!C$11+基本装备!W11*属性价值参考!C$12</f>
        <v>49215.6</v>
      </c>
      <c r="Y11" s="91">
        <f>基本装备!AG11*属性价值参考!C$13+基本装备!AH11*属性价值参考!C$36+基本装备!AI11*属性价值参考!C$19+基本装备!AJ11*属性价值参考!C$15+基本装备!AK11*属性价值参考!C$27+基本装备!AP11*属性价值参考!C$20+基本装备!AQ11*属性价值参考!C$21+基本装备!AR11*属性价值参考!C$26+8*(基本装备!AW11*属性价值参考!C$26+基本装备!BB11*属性价值参考!C$27+基本装备!BC11*(属性价值参考!C$28+属性价值参考!C$29))</f>
        <v>27039.199999999997</v>
      </c>
      <c r="Z11" s="9"/>
      <c r="AA11" s="81">
        <f t="shared" si="1"/>
        <v>2100</v>
      </c>
      <c r="AB11" s="81">
        <f t="shared" si="2"/>
        <v>8400</v>
      </c>
      <c r="AC11" s="81">
        <f t="shared" si="3"/>
        <v>280</v>
      </c>
      <c r="AD11" s="81">
        <f t="shared" si="4"/>
        <v>210</v>
      </c>
      <c r="AE11" s="9"/>
      <c r="AF11" s="82">
        <f t="shared" si="5"/>
        <v>70</v>
      </c>
      <c r="AG11" s="82">
        <v>40</v>
      </c>
      <c r="AH11" s="82">
        <v>2</v>
      </c>
      <c r="AI11" s="82">
        <v>3</v>
      </c>
      <c r="AJ11" s="82">
        <v>2</v>
      </c>
      <c r="AK11" s="82">
        <v>12</v>
      </c>
      <c r="AL11" s="82">
        <f t="shared" si="6"/>
        <v>560</v>
      </c>
      <c r="AM11" s="82">
        <f t="shared" si="7"/>
        <v>2240</v>
      </c>
      <c r="AN11" s="82">
        <f t="shared" si="8"/>
        <v>22.400000000000002</v>
      </c>
      <c r="AO11" s="82">
        <f t="shared" si="9"/>
        <v>58.800000000000004</v>
      </c>
      <c r="AP11" s="82">
        <v>2</v>
      </c>
      <c r="AQ11" s="82">
        <v>2</v>
      </c>
      <c r="AR11" s="82">
        <v>16</v>
      </c>
      <c r="AS11" s="82">
        <f t="shared" si="10"/>
        <v>196</v>
      </c>
      <c r="AT11" s="82">
        <f t="shared" si="11"/>
        <v>560</v>
      </c>
      <c r="AU11" s="82">
        <f t="shared" si="12"/>
        <v>19.600000000000001</v>
      </c>
      <c r="AV11" s="82">
        <f t="shared" si="13"/>
        <v>16.8</v>
      </c>
      <c r="AW11" s="82">
        <v>9</v>
      </c>
      <c r="AX11" s="82">
        <f t="shared" si="14"/>
        <v>168</v>
      </c>
      <c r="AY11" s="82">
        <f t="shared" si="15"/>
        <v>700</v>
      </c>
      <c r="AZ11" s="82">
        <f t="shared" si="16"/>
        <v>21</v>
      </c>
      <c r="BA11" s="82">
        <f t="shared" si="17"/>
        <v>16.8</v>
      </c>
      <c r="BB11" s="89">
        <v>3</v>
      </c>
      <c r="BC11" s="89">
        <v>3</v>
      </c>
      <c r="BE11" s="83">
        <v>9</v>
      </c>
      <c r="BF11" s="83" t="str">
        <f t="shared" si="37"/>
        <v>3#3#35|3#4#70|3#5#35|3#6#70|3#7#35|3#8#70|3#13#40|3#20#2|3#25#3|3#21#2</v>
      </c>
      <c r="BG11" s="83" t="str">
        <f t="shared" si="18"/>
        <v>3#35#1200</v>
      </c>
      <c r="BH11" s="83" t="str">
        <f t="shared" si="38"/>
        <v>3#9#29|3#10#58|3#11#29|3#12#58|3#3#11|3#4#22|3#5#11|3#6#22|3#7#11|3#8#22|0#1#560|0#2#224|1#1#168|1#2#2240|2#1#336|2#2#1792|3#26#2|3#27#2</v>
      </c>
      <c r="BI11" s="83" t="str">
        <f t="shared" si="19"/>
        <v>3#30#16|3#31#16</v>
      </c>
      <c r="BJ11" s="83" t="str">
        <f t="shared" si="20"/>
        <v>3#9#8|3#10#16|3#11#8|3#12#16|0#1#168|0#2#70|1#1#50|1#2#700|2#1#100|2#2#560</v>
      </c>
      <c r="BK11" s="83" t="str">
        <f t="shared" si="21"/>
        <v>3#35#300|3#36#300</v>
      </c>
      <c r="BL11" s="83" t="str">
        <f t="shared" si="22"/>
        <v>3#9#8|3#10#16|3#11#8|3#12#16|0#1#168|0#2#70|1#1#50|1#2#700|2#1#100|2#2#560</v>
      </c>
      <c r="BM11" s="83" t="str">
        <f t="shared" si="23"/>
        <v>3#35#300|3#36#300</v>
      </c>
      <c r="BN11" s="83" t="str">
        <f t="shared" si="24"/>
        <v>3#9#8|3#10#16|3#11#8|3#12#16|0#1#168|0#2#70|1#1#50|1#2#700|2#1#100|2#2#560</v>
      </c>
      <c r="BO11" s="83" t="str">
        <f t="shared" si="25"/>
        <v>3#35#300|3#37#300</v>
      </c>
      <c r="BP11" s="83" t="str">
        <f t="shared" si="26"/>
        <v>3#9#8|3#10#16|3#11#8|3#12#16|0#1#168|0#2#70|1#1#50|1#2#700|2#1#100|2#2#560</v>
      </c>
      <c r="BQ11" s="83" t="str">
        <f t="shared" si="27"/>
        <v>3#35#300|3#37#300</v>
      </c>
      <c r="BR11" s="83" t="str">
        <f t="shared" si="28"/>
        <v>3#9#8|3#10#16|3#11#8|3#12#16|0#1#168|0#2#70|1#1#50|1#2#700|2#1#100|2#2#560</v>
      </c>
      <c r="BS11" s="83" t="str">
        <f t="shared" si="29"/>
        <v>3#35#300|3#36#300</v>
      </c>
      <c r="BT11" s="83" t="str">
        <f t="shared" si="30"/>
        <v>3#9#8|3#10#16|3#11#8|3#12#16|0#1#168|0#2#70|1#1#50|1#2#700|2#1#100|2#2#560</v>
      </c>
      <c r="BU11" s="83" t="str">
        <f t="shared" si="31"/>
        <v>3#35#300|3#36#300</v>
      </c>
      <c r="BV11" s="83" t="str">
        <f t="shared" si="32"/>
        <v>3#9#8|3#10#16|3#11#8|3#12#16|3#3#9|3#4#19|3#5#9|3#6#19|3#7#9|3#8#19|0#1#196|0#2#56|1#1#58|1#2#560|2#1#117|2#2#448</v>
      </c>
      <c r="BW11" s="83" t="str">
        <f t="shared" si="33"/>
        <v>3#30#9|3#31#9</v>
      </c>
      <c r="BY11" s="8" t="s">
        <v>1921</v>
      </c>
      <c r="BZ11" s="8" t="str">
        <f>BR3</f>
        <v>3#9#1|3#10#2|3#11#1|3#12#2|0#1#24|0#2#10|1#1#7|1#2#100|2#1#14|2#2#80</v>
      </c>
      <c r="CA11" s="8" t="str">
        <f>BR4</f>
        <v>3#9#1|3#10#3|3#11#1|3#12#3|0#1#36|0#2#15|1#1#10|1#2#150|2#1#21|2#2#120</v>
      </c>
      <c r="CB11" s="8" t="str">
        <f>BR5</f>
        <v>3#9#2|3#10#4|3#11#2|3#12#4|0#1#48|0#2#20|1#1#14|1#2#200|2#1#28|2#2#160</v>
      </c>
      <c r="CC11" s="8" t="str">
        <f>BR6</f>
        <v>3#9#3|3#10#6|3#11#3|3#12#6|0#1#60|0#2#25|1#1#18|1#2#250|2#1#36|2#2#200</v>
      </c>
      <c r="CD11" s="8" t="str">
        <f>BR7</f>
        <v>3#9#3|3#10#7|3#11#3|3#12#7|0#1#78|0#2#32|1#1#23|1#2#325|2#1#46|2#2#260</v>
      </c>
      <c r="CE11" s="8" t="str">
        <f>BR8</f>
        <v>3#9#4|3#10#9|3#11#4|3#12#9|0#1#96|0#2#40|1#1#28|1#2#400|2#1#57|2#2#320</v>
      </c>
      <c r="CF11" s="8" t="str">
        <f>BR9</f>
        <v>3#9#5|3#10#11|3#11#5|3#12#11|0#1#114|0#2#47|1#1#34|1#2#475|2#1#68|2#2#380</v>
      </c>
      <c r="CG11" s="8" t="str">
        <f>BR10</f>
        <v>3#9#6|3#10#13|3#11#6|3#12#13|0#1#132|0#2#55|1#1#39|1#2#550|2#1#79|2#2#440</v>
      </c>
      <c r="CH11" s="8" t="str">
        <f>BR11</f>
        <v>3#9#8|3#10#16|3#11#8|3#12#16|0#1#168|0#2#70|1#1#50|1#2#700|2#1#100|2#2#560</v>
      </c>
      <c r="CI11" s="8" t="str">
        <f>BR12</f>
        <v>3#9#10|3#10#21|3#11#10|3#12#21|0#1#216|0#2#90|1#1#64|1#2#900|2#1#129|2#2#720</v>
      </c>
      <c r="CJ11" s="8" t="str">
        <f>BR13</f>
        <v>3#9#13|3#10#26|3#11#13|3#12#26|0#1#264|0#2#110|1#1#79|1#2#1100|2#1#158|2#2#880</v>
      </c>
      <c r="CK11" s="8" t="str">
        <f>BR14</f>
        <v>3#9#15|3#10#30|3#11#15|3#12#30|0#1#306|0#2#127|1#1#91|1#2#1275|2#1#183|2#2#1020</v>
      </c>
      <c r="CL11" s="8" t="str">
        <f>BR15</f>
        <v>3#9#17|3#10#34|3#11#17|3#12#34|0#1#348|0#2#145|1#1#104|1#2#1450|2#1#208|2#2#1160</v>
      </c>
      <c r="CM11" s="8" t="str">
        <f>BR16</f>
        <v>3#9#19|3#10#38|3#11#19|3#12#38|0#1#384|0#2#160|1#1#115|1#2#1600|2#1#230|2#2#1280</v>
      </c>
      <c r="CN11" s="8" t="str">
        <f>BR17</f>
        <v>3#9#21|3#10#42|3#11#21|3#12#42|0#1#420|0#2#175|1#1#126|1#2#1750|2#1#252|2#2#1400</v>
      </c>
      <c r="CO11" s="8" t="str">
        <f>BR18</f>
        <v>3#9#22|3#10#44|3#11#22|3#12#44|0#1#450|0#2#187|1#1#135|1#2#1875|2#1#270|2#2#1500</v>
      </c>
      <c r="CP11" s="8" t="str">
        <f>BR19</f>
        <v>3#9#24|3#10#48|3#11#24|3#12#48|0#1#480|0#2#200|1#1#144|1#2#2000|2#1#288|2#2#1600</v>
      </c>
      <c r="CQ11" s="8" t="str">
        <f>BR20</f>
        <v>3#9#26|3#10#52|3#11#26|3#12#52|0#1#528|0#2#220|1#1#158|1#2#2200|2#1#316|2#2#1760</v>
      </c>
      <c r="CR11" s="8" t="str">
        <f>BR21</f>
        <v>3#9#28|3#10#57|3#11#28|3#12#57|0#1#576|0#2#240|1#1#172|1#2#2400|2#1#345|2#2#1920</v>
      </c>
      <c r="CS11" s="8" t="str">
        <f>BR22</f>
        <v>3#9#31|3#10#63|3#11#31|3#12#63|0#1#636|0#2#265|1#1#190|1#2#2650|2#1#381|2#2#2120</v>
      </c>
      <c r="CT11" s="8" t="str">
        <f>BR23</f>
        <v>3#9#34|3#10#69|3#11#34|3#12#69|0#1#696|0#2#290|1#1#208|1#2#2900|2#1#417|2#2#2320</v>
      </c>
      <c r="CU11" s="8" t="str">
        <f>BR24</f>
        <v>3#9#38|3#10#76|3#11#38|3#12#76|0#1#768|0#2#320|1#1#230|1#2#3200|2#1#460|2#2#2560</v>
      </c>
      <c r="CV11" s="8" t="str">
        <f>BR25</f>
        <v>3#9#42|3#10#84|3#11#42|3#12#84|0#1#840|0#2#350|1#1#252|1#2#3500|2#1#504|2#2#2800</v>
      </c>
      <c r="CW11" s="8" t="str">
        <f>BR26</f>
        <v>3#9#45|3#10#90|3#11#45|3#12#90|0#1#900|0#2#375|1#1#270|1#2#3750|2#1#540|2#2#3000</v>
      </c>
      <c r="CX11" s="8" t="str">
        <f>BR27</f>
        <v>3#9#48|3#10#96|3#11#48|3#12#96|0#1#960|0#2#400|1#1#288|1#2#4000|2#1#576|2#2#3200</v>
      </c>
      <c r="CY11" s="8" t="str">
        <f>BR28</f>
        <v>3#9#54|3#10#108|3#11#54|3#12#108|0#1#1080|0#2#450|1#1#324|1#2#4500|2#1#648|2#2#3600</v>
      </c>
      <c r="CZ11" s="8" t="str">
        <f>BR29</f>
        <v>3#9#60|3#10#120|3#11#60|3#12#120|0#1#1200|0#2#500|1#1#360|1#2#5000|2#1#720|2#2#4000</v>
      </c>
    </row>
    <row r="12" spans="1:104" x14ac:dyDescent="0.3">
      <c r="A12" s="22" t="s">
        <v>174</v>
      </c>
      <c r="B12" s="22" t="s">
        <v>942</v>
      </c>
      <c r="C12" s="22" t="s">
        <v>90</v>
      </c>
      <c r="D12" s="23"/>
      <c r="E12" s="22" t="s">
        <v>950</v>
      </c>
      <c r="F12" s="29">
        <v>1</v>
      </c>
      <c r="G12" s="22">
        <v>35</v>
      </c>
      <c r="H12" s="64"/>
      <c r="I12" s="22" t="s">
        <v>951</v>
      </c>
      <c r="J12" s="22" t="s">
        <v>220</v>
      </c>
      <c r="K12" s="90">
        <v>10</v>
      </c>
      <c r="L12" s="91">
        <f>INT(27/150*L29)</f>
        <v>2700</v>
      </c>
      <c r="M12" s="91">
        <f t="shared" ref="M12:W12" si="44">INT(27/150*M29)</f>
        <v>10800</v>
      </c>
      <c r="N12" s="91">
        <f t="shared" si="44"/>
        <v>180</v>
      </c>
      <c r="O12" s="91">
        <f t="shared" si="44"/>
        <v>360</v>
      </c>
      <c r="P12" s="91">
        <f t="shared" si="44"/>
        <v>180</v>
      </c>
      <c r="Q12" s="91">
        <f t="shared" si="44"/>
        <v>360</v>
      </c>
      <c r="R12" s="91">
        <f t="shared" si="44"/>
        <v>180</v>
      </c>
      <c r="S12" s="91">
        <f t="shared" si="44"/>
        <v>360</v>
      </c>
      <c r="T12" s="91">
        <f t="shared" si="44"/>
        <v>135</v>
      </c>
      <c r="U12" s="91">
        <f t="shared" si="44"/>
        <v>270</v>
      </c>
      <c r="V12" s="91">
        <f t="shared" si="44"/>
        <v>135</v>
      </c>
      <c r="W12" s="91">
        <f t="shared" si="44"/>
        <v>270</v>
      </c>
      <c r="X12" s="91">
        <f>L12*属性价值参考!C$5+基本装备!M12*属性价值参考!C$6+基本装备!N12*属性价值参考!C$7+基本装备!O12*属性价值参考!C$8+基本装备!T12*属性价值参考!C$9+基本装备!U12*属性价值参考!C$10+基本装备!V12*属性价值参考!C$11+基本装备!W12*属性价值参考!C$12</f>
        <v>63277.2</v>
      </c>
      <c r="Y12" s="91">
        <f>基本装备!AG12*属性价值参考!C$13+基本装备!AH12*属性价值参考!C$36+基本装备!AI12*属性价值参考!C$19+基本装备!AJ12*属性价值参考!C$15+基本装备!AK12*属性价值参考!C$27+基本装备!AP12*属性价值参考!C$20+基本装备!AQ12*属性价值参考!C$21+基本装备!AR12*属性价值参考!C$26+8*(基本装备!AW12*属性价值参考!C$26+基本装备!BB12*属性价值参考!C$27+基本装备!BC12*(属性价值参考!C$28+属性价值参考!C$29))</f>
        <v>29925.599999999999</v>
      </c>
      <c r="Z12" s="9"/>
      <c r="AA12" s="81">
        <f t="shared" si="1"/>
        <v>2700</v>
      </c>
      <c r="AB12" s="81">
        <f t="shared" si="2"/>
        <v>10800</v>
      </c>
      <c r="AC12" s="81">
        <f t="shared" si="3"/>
        <v>360</v>
      </c>
      <c r="AD12" s="81">
        <f t="shared" si="4"/>
        <v>270</v>
      </c>
      <c r="AE12" s="9"/>
      <c r="AF12" s="82">
        <f t="shared" si="5"/>
        <v>90</v>
      </c>
      <c r="AG12" s="82">
        <v>45</v>
      </c>
      <c r="AH12" s="82">
        <v>2</v>
      </c>
      <c r="AI12" s="82">
        <v>4</v>
      </c>
      <c r="AJ12" s="82">
        <v>2</v>
      </c>
      <c r="AK12" s="82">
        <v>14</v>
      </c>
      <c r="AL12" s="82">
        <f t="shared" si="6"/>
        <v>720</v>
      </c>
      <c r="AM12" s="82">
        <f t="shared" si="7"/>
        <v>2880</v>
      </c>
      <c r="AN12" s="82">
        <f t="shared" si="8"/>
        <v>28.8</v>
      </c>
      <c r="AO12" s="82">
        <f t="shared" si="9"/>
        <v>75.600000000000009</v>
      </c>
      <c r="AP12" s="82">
        <v>2</v>
      </c>
      <c r="AQ12" s="82">
        <v>2</v>
      </c>
      <c r="AR12" s="82">
        <v>19</v>
      </c>
      <c r="AS12" s="82">
        <f t="shared" si="10"/>
        <v>252</v>
      </c>
      <c r="AT12" s="82">
        <f t="shared" si="11"/>
        <v>720</v>
      </c>
      <c r="AU12" s="82">
        <f t="shared" si="12"/>
        <v>25.200000000000003</v>
      </c>
      <c r="AV12" s="82">
        <f t="shared" si="13"/>
        <v>21.6</v>
      </c>
      <c r="AW12" s="82">
        <v>10</v>
      </c>
      <c r="AX12" s="82">
        <f t="shared" si="14"/>
        <v>216</v>
      </c>
      <c r="AY12" s="82">
        <f t="shared" si="15"/>
        <v>900</v>
      </c>
      <c r="AZ12" s="82">
        <f t="shared" si="16"/>
        <v>27</v>
      </c>
      <c r="BA12" s="82">
        <f t="shared" si="17"/>
        <v>21.6</v>
      </c>
      <c r="BB12" s="89">
        <v>3</v>
      </c>
      <c r="BC12" s="89">
        <v>4</v>
      </c>
      <c r="BE12" s="83">
        <v>10</v>
      </c>
      <c r="BF12" s="83" t="str">
        <f t="shared" si="37"/>
        <v>3#3#45|3#4#90|3#5#45|3#6#90|3#7#45|3#8#90|3#13#45|3#20#2|3#25#4|3#21#2</v>
      </c>
      <c r="BG12" s="83" t="str">
        <f t="shared" si="18"/>
        <v>3#35#1400</v>
      </c>
      <c r="BH12" s="83" t="str">
        <f t="shared" si="38"/>
        <v>3#9#37|3#10#75|3#11#37|3#12#75|3#3#14|3#4#28|3#5#14|3#6#28|3#7#14|3#8#28|0#1#720|0#2#288|1#1#216|1#2#2880|2#1#432|2#2#2304|3#26#2|3#27#2</v>
      </c>
      <c r="BI12" s="83" t="str">
        <f t="shared" si="19"/>
        <v>3#30#19|3#31#19</v>
      </c>
      <c r="BJ12" s="83" t="str">
        <f t="shared" si="20"/>
        <v>3#9#10|3#10#21|3#11#10|3#12#21|0#1#216|0#2#90|1#1#64|1#2#900|2#1#129|2#2#720</v>
      </c>
      <c r="BK12" s="83" t="str">
        <f t="shared" si="21"/>
        <v>3#35#300|3#36#400</v>
      </c>
      <c r="BL12" s="83" t="str">
        <f t="shared" si="22"/>
        <v>3#9#10|3#10#21|3#11#10|3#12#21|0#1#216|0#2#90|1#1#64|1#2#900|2#1#129|2#2#720</v>
      </c>
      <c r="BM12" s="83" t="str">
        <f t="shared" si="23"/>
        <v>3#35#300|3#36#400</v>
      </c>
      <c r="BN12" s="83" t="str">
        <f t="shared" si="24"/>
        <v>3#9#10|3#10#21|3#11#10|3#12#21|0#1#216|0#2#90|1#1#64|1#2#900|2#1#129|2#2#720</v>
      </c>
      <c r="BO12" s="83" t="str">
        <f t="shared" si="25"/>
        <v>3#35#300|3#37#400</v>
      </c>
      <c r="BP12" s="83" t="str">
        <f t="shared" si="26"/>
        <v>3#9#10|3#10#21|3#11#10|3#12#21|0#1#216|0#2#90|1#1#64|1#2#900|2#1#129|2#2#720</v>
      </c>
      <c r="BQ12" s="83" t="str">
        <f t="shared" si="27"/>
        <v>3#35#300|3#37#400</v>
      </c>
      <c r="BR12" s="83" t="str">
        <f t="shared" si="28"/>
        <v>3#9#10|3#10#21|3#11#10|3#12#21|0#1#216|0#2#90|1#1#64|1#2#900|2#1#129|2#2#720</v>
      </c>
      <c r="BS12" s="83" t="str">
        <f t="shared" si="29"/>
        <v>3#35#300|3#36#400</v>
      </c>
      <c r="BT12" s="83" t="str">
        <f t="shared" si="30"/>
        <v>3#9#10|3#10#21|3#11#10|3#12#21|0#1#216|0#2#90|1#1#64|1#2#900|2#1#129|2#2#720</v>
      </c>
      <c r="BU12" s="83" t="str">
        <f t="shared" si="31"/>
        <v>3#35#300|3#36#400</v>
      </c>
      <c r="BV12" s="83" t="str">
        <f t="shared" si="32"/>
        <v>3#9#10|3#10#21|3#11#10|3#12#21|3#3#12|3#4#25|3#5#12|3#6#25|3#7#12|3#8#25|0#1#252|0#2#72|1#1#75|1#2#720|2#1#151|2#2#576</v>
      </c>
      <c r="BW12" s="83" t="str">
        <f t="shared" si="33"/>
        <v>3#30#10|3#31#10</v>
      </c>
      <c r="BY12" s="8" t="s">
        <v>1922</v>
      </c>
      <c r="BZ12" s="8" t="str">
        <f>BT3</f>
        <v>3#9#1|3#10#2|3#11#1|3#12#2|0#1#24|0#2#10|1#1#7|1#2#100|2#1#14|2#2#80</v>
      </c>
      <c r="CA12" s="8" t="str">
        <f>BT4</f>
        <v>3#9#1|3#10#3|3#11#1|3#12#3|0#1#36|0#2#15|1#1#10|1#2#150|2#1#21|2#2#120</v>
      </c>
      <c r="CB12" s="8" t="str">
        <f>BT5</f>
        <v>3#9#2|3#10#4|3#11#2|3#12#4|0#1#48|0#2#20|1#1#14|1#2#200|2#1#28|2#2#160</v>
      </c>
      <c r="CC12" s="8" t="str">
        <f>BT6</f>
        <v>3#9#3|3#10#6|3#11#3|3#12#6|0#1#60|0#2#25|1#1#18|1#2#250|2#1#36|2#2#200</v>
      </c>
      <c r="CD12" s="8" t="str">
        <f>BT7</f>
        <v>3#9#3|3#10#7|3#11#3|3#12#7|0#1#78|0#2#32|1#1#23|1#2#325|2#1#46|2#2#260</v>
      </c>
      <c r="CE12" s="8" t="str">
        <f>BT8</f>
        <v>3#9#4|3#10#9|3#11#4|3#12#9|0#1#96|0#2#40|1#1#28|1#2#400|2#1#57|2#2#320</v>
      </c>
      <c r="CF12" s="8" t="str">
        <f>BT9</f>
        <v>3#9#5|3#10#11|3#11#5|3#12#11|0#1#114|0#2#47|1#1#34|1#2#475|2#1#68|2#2#380</v>
      </c>
      <c r="CG12" s="8" t="str">
        <f>BT10</f>
        <v>3#9#6|3#10#13|3#11#6|3#12#13|0#1#132|0#2#55|1#1#39|1#2#550|2#1#79|2#2#440</v>
      </c>
      <c r="CH12" s="8" t="str">
        <f>BT11</f>
        <v>3#9#8|3#10#16|3#11#8|3#12#16|0#1#168|0#2#70|1#1#50|1#2#700|2#1#100|2#2#560</v>
      </c>
      <c r="CI12" s="8" t="str">
        <f>BT12</f>
        <v>3#9#10|3#10#21|3#11#10|3#12#21|0#1#216|0#2#90|1#1#64|1#2#900|2#1#129|2#2#720</v>
      </c>
      <c r="CJ12" s="8" t="str">
        <f>BT13</f>
        <v>3#9#13|3#10#26|3#11#13|3#12#26|0#1#264|0#2#110|1#1#79|1#2#1100|2#1#158|2#2#880</v>
      </c>
      <c r="CK12" s="8" t="str">
        <f>BT14</f>
        <v>3#9#15|3#10#30|3#11#15|3#12#30|0#1#306|0#2#127|1#1#91|1#2#1275|2#1#183|2#2#1020</v>
      </c>
      <c r="CL12" s="8" t="str">
        <f>BT15</f>
        <v>3#9#17|3#10#34|3#11#17|3#12#34|0#1#348|0#2#145|1#1#104|1#2#1450|2#1#208|2#2#1160</v>
      </c>
      <c r="CM12" s="8" t="str">
        <f>BT16</f>
        <v>3#9#19|3#10#38|3#11#19|3#12#38|0#1#384|0#2#160|1#1#115|1#2#1600|2#1#230|2#2#1280</v>
      </c>
      <c r="CN12" s="8" t="str">
        <f>BT17</f>
        <v>3#9#21|3#10#42|3#11#21|3#12#42|0#1#420|0#2#175|1#1#126|1#2#1750|2#1#252|2#2#1400</v>
      </c>
      <c r="CO12" s="8" t="str">
        <f>BT18</f>
        <v>3#9#22|3#10#44|3#11#22|3#12#44|0#1#450|0#2#187|1#1#135|1#2#1875|2#1#270|2#2#1500</v>
      </c>
      <c r="CP12" s="8" t="str">
        <f>BT19</f>
        <v>3#9#24|3#10#48|3#11#24|3#12#48|0#1#480|0#2#200|1#1#144|1#2#2000|2#1#288|2#2#1600</v>
      </c>
      <c r="CQ12" s="8" t="str">
        <f>BT20</f>
        <v>3#9#26|3#10#52|3#11#26|3#12#52|0#1#528|0#2#220|1#1#158|1#2#2200|2#1#316|2#2#1760</v>
      </c>
      <c r="CR12" s="8" t="str">
        <f>BT21</f>
        <v>3#9#28|3#10#57|3#11#28|3#12#57|0#1#576|0#2#240|1#1#172|1#2#2400|2#1#345|2#2#1920</v>
      </c>
      <c r="CS12" s="8" t="str">
        <f>BT22</f>
        <v>3#9#31|3#10#63|3#11#31|3#12#63|0#1#636|0#2#265|1#1#190|1#2#2650|2#1#381|2#2#2120</v>
      </c>
      <c r="CT12" s="8" t="str">
        <f>BT23</f>
        <v>3#9#34|3#10#69|3#11#34|3#12#69|0#1#696|0#2#290|1#1#208|1#2#2900|2#1#417|2#2#2320</v>
      </c>
      <c r="CU12" s="8" t="str">
        <f>BT24</f>
        <v>3#9#38|3#10#76|3#11#38|3#12#76|0#1#768|0#2#320|1#1#230|1#2#3200|2#1#460|2#2#2560</v>
      </c>
      <c r="CV12" s="8" t="str">
        <f>BT25</f>
        <v>3#9#42|3#10#84|3#11#42|3#12#84|0#1#840|0#2#350|1#1#252|1#2#3500|2#1#504|2#2#2800</v>
      </c>
      <c r="CW12" s="8" t="str">
        <f>BT26</f>
        <v>3#9#45|3#10#90|3#11#45|3#12#90|0#1#900|0#2#375|1#1#270|1#2#3750|2#1#540|2#2#3000</v>
      </c>
      <c r="CX12" s="8" t="str">
        <f>BT27</f>
        <v>3#9#48|3#10#96|3#11#48|3#12#96|0#1#960|0#2#400|1#1#288|1#2#4000|2#1#576|2#2#3200</v>
      </c>
      <c r="CY12" s="8" t="str">
        <f>BT28</f>
        <v>3#9#54|3#10#108|3#11#54|3#12#108|0#1#1080|0#2#450|1#1#324|1#2#4500|2#1#648|2#2#3600</v>
      </c>
      <c r="CZ12" s="8" t="str">
        <f>BT29</f>
        <v>3#9#60|3#10#120|3#11#60|3#12#120|0#1#1200|0#2#500|1#1#360|1#2#5000|2#1#720|2#2#4000</v>
      </c>
    </row>
    <row r="13" spans="1:104" x14ac:dyDescent="0.3">
      <c r="A13" s="22" t="s">
        <v>174</v>
      </c>
      <c r="B13" s="22" t="s">
        <v>942</v>
      </c>
      <c r="C13" s="22" t="s">
        <v>87</v>
      </c>
      <c r="D13" s="23"/>
      <c r="E13" s="22" t="s">
        <v>1134</v>
      </c>
      <c r="F13" s="29">
        <v>1</v>
      </c>
      <c r="G13" s="22">
        <v>35</v>
      </c>
      <c r="H13" s="64"/>
      <c r="I13" s="22" t="s">
        <v>183</v>
      </c>
      <c r="J13" s="22" t="s">
        <v>216</v>
      </c>
      <c r="K13" s="90">
        <v>11</v>
      </c>
      <c r="L13" s="91">
        <f>INT(33/150*L29)</f>
        <v>3300</v>
      </c>
      <c r="M13" s="91">
        <f t="shared" ref="M13:W13" si="45">INT(33/150*M29)</f>
        <v>13200</v>
      </c>
      <c r="N13" s="91">
        <f t="shared" si="45"/>
        <v>220</v>
      </c>
      <c r="O13" s="91">
        <f t="shared" si="45"/>
        <v>440</v>
      </c>
      <c r="P13" s="91">
        <f t="shared" si="45"/>
        <v>220</v>
      </c>
      <c r="Q13" s="91">
        <f t="shared" si="45"/>
        <v>440</v>
      </c>
      <c r="R13" s="91">
        <f t="shared" si="45"/>
        <v>220</v>
      </c>
      <c r="S13" s="91">
        <f t="shared" si="45"/>
        <v>440</v>
      </c>
      <c r="T13" s="91">
        <f t="shared" si="45"/>
        <v>165</v>
      </c>
      <c r="U13" s="91">
        <f t="shared" si="45"/>
        <v>330</v>
      </c>
      <c r="V13" s="91">
        <f t="shared" si="45"/>
        <v>165</v>
      </c>
      <c r="W13" s="91">
        <f t="shared" si="45"/>
        <v>330</v>
      </c>
      <c r="X13" s="91">
        <f>L13*属性价值参考!C$5+基本装备!M13*属性价值参考!C$6+基本装备!N13*属性价值参考!C$7+基本装备!O13*属性价值参考!C$8+基本装备!T13*属性价值参考!C$9+基本装备!U13*属性价值参考!C$10+基本装备!V13*属性价值参考!C$11+基本装备!W13*属性价值参考!C$12</f>
        <v>77338.799999999988</v>
      </c>
      <c r="Y13" s="91">
        <f>基本装备!AG13*属性价值参考!C$13+基本装备!AH13*属性价值参考!C$36+基本装备!AI13*属性价值参考!C$19+基本装备!AJ13*属性价值参考!C$15+基本装备!AK13*属性价值参考!C$27+基本装备!AP13*属性价值参考!C$20+基本装备!AQ13*属性价值参考!C$21+基本装备!AR13*属性价值参考!C$26+8*(基本装备!AW13*属性价值参考!C$26+基本装备!BB13*属性价值参考!C$27+基本装备!BC13*(属性价值参考!C$28+属性价值参考!C$29))</f>
        <v>36500.399999999994</v>
      </c>
      <c r="Z13" s="9"/>
      <c r="AA13" s="81">
        <f t="shared" si="1"/>
        <v>3300</v>
      </c>
      <c r="AB13" s="81">
        <f t="shared" si="2"/>
        <v>13200</v>
      </c>
      <c r="AC13" s="81">
        <f t="shared" si="3"/>
        <v>440</v>
      </c>
      <c r="AD13" s="81">
        <f t="shared" si="4"/>
        <v>330</v>
      </c>
      <c r="AE13" s="9"/>
      <c r="AF13" s="82">
        <f t="shared" si="5"/>
        <v>110</v>
      </c>
      <c r="AG13" s="82">
        <v>45</v>
      </c>
      <c r="AH13" s="82">
        <v>3</v>
      </c>
      <c r="AI13" s="82">
        <v>4</v>
      </c>
      <c r="AJ13" s="82">
        <v>3</v>
      </c>
      <c r="AK13" s="82">
        <v>16</v>
      </c>
      <c r="AL13" s="82">
        <f t="shared" si="6"/>
        <v>880</v>
      </c>
      <c r="AM13" s="82">
        <f t="shared" si="7"/>
        <v>3520</v>
      </c>
      <c r="AN13" s="82">
        <f t="shared" si="8"/>
        <v>35.200000000000003</v>
      </c>
      <c r="AO13" s="82">
        <f t="shared" si="9"/>
        <v>92.4</v>
      </c>
      <c r="AP13" s="82">
        <v>2</v>
      </c>
      <c r="AQ13" s="82">
        <v>2</v>
      </c>
      <c r="AR13" s="82">
        <v>22</v>
      </c>
      <c r="AS13" s="82">
        <f t="shared" si="10"/>
        <v>308</v>
      </c>
      <c r="AT13" s="82">
        <f t="shared" si="11"/>
        <v>880</v>
      </c>
      <c r="AU13" s="82">
        <f t="shared" si="12"/>
        <v>30.800000000000004</v>
      </c>
      <c r="AV13" s="82">
        <f t="shared" si="13"/>
        <v>26.400000000000002</v>
      </c>
      <c r="AW13" s="82">
        <v>12</v>
      </c>
      <c r="AX13" s="82">
        <f t="shared" si="14"/>
        <v>264</v>
      </c>
      <c r="AY13" s="82">
        <f t="shared" si="15"/>
        <v>1100</v>
      </c>
      <c r="AZ13" s="82">
        <f t="shared" si="16"/>
        <v>33</v>
      </c>
      <c r="BA13" s="82">
        <f t="shared" si="17"/>
        <v>26.400000000000002</v>
      </c>
      <c r="BB13" s="89">
        <v>4</v>
      </c>
      <c r="BC13" s="89">
        <v>4</v>
      </c>
      <c r="BE13" s="83">
        <v>11</v>
      </c>
      <c r="BF13" s="83" t="str">
        <f t="shared" si="37"/>
        <v>3#3#55|3#4#110|3#5#55|3#6#110|3#7#55|3#8#110|3#13#45|3#20#3|3#25#4|3#21#3</v>
      </c>
      <c r="BG13" s="83" t="str">
        <f t="shared" si="18"/>
        <v>3#35#1600</v>
      </c>
      <c r="BH13" s="83" t="str">
        <f t="shared" si="38"/>
        <v>3#9#46|3#10#92|3#11#46|3#12#92|3#3#17|3#4#35|3#5#17|3#6#35|3#7#17|3#8#35|0#1#880|0#2#352|1#1#264|1#2#3520|2#1#528|2#2#2816|3#26#2|3#27#2</v>
      </c>
      <c r="BI13" s="83" t="str">
        <f t="shared" si="19"/>
        <v>3#30#22|3#31#22</v>
      </c>
      <c r="BJ13" s="83" t="str">
        <f t="shared" si="20"/>
        <v>3#9#13|3#10#26|3#11#13|3#12#26|0#1#264|0#2#110|1#1#79|1#2#1100|2#1#158|2#2#880</v>
      </c>
      <c r="BK13" s="83" t="str">
        <f t="shared" si="21"/>
        <v>3#35#400|3#36#400</v>
      </c>
      <c r="BL13" s="83" t="str">
        <f t="shared" si="22"/>
        <v>3#9#13|3#10#26|3#11#13|3#12#26|0#1#264|0#2#110|1#1#79|1#2#1100|2#1#158|2#2#880</v>
      </c>
      <c r="BM13" s="83" t="str">
        <f t="shared" si="23"/>
        <v>3#35#400|3#36#400</v>
      </c>
      <c r="BN13" s="83" t="str">
        <f t="shared" si="24"/>
        <v>3#9#13|3#10#26|3#11#13|3#12#26|0#1#264|0#2#110|1#1#79|1#2#1100|2#1#158|2#2#880</v>
      </c>
      <c r="BO13" s="83" t="str">
        <f t="shared" si="25"/>
        <v>3#35#400|3#37#400</v>
      </c>
      <c r="BP13" s="83" t="str">
        <f t="shared" si="26"/>
        <v>3#9#13|3#10#26|3#11#13|3#12#26|0#1#264|0#2#110|1#1#79|1#2#1100|2#1#158|2#2#880</v>
      </c>
      <c r="BQ13" s="83" t="str">
        <f t="shared" si="27"/>
        <v>3#35#400|3#37#400</v>
      </c>
      <c r="BR13" s="83" t="str">
        <f t="shared" si="28"/>
        <v>3#9#13|3#10#26|3#11#13|3#12#26|0#1#264|0#2#110|1#1#79|1#2#1100|2#1#158|2#2#880</v>
      </c>
      <c r="BS13" s="83" t="str">
        <f t="shared" si="29"/>
        <v>3#35#400|3#36#400</v>
      </c>
      <c r="BT13" s="83" t="str">
        <f t="shared" si="30"/>
        <v>3#9#13|3#10#26|3#11#13|3#12#26|0#1#264|0#2#110|1#1#79|1#2#1100|2#1#158|2#2#880</v>
      </c>
      <c r="BU13" s="83" t="str">
        <f t="shared" si="31"/>
        <v>3#35#400|3#36#400</v>
      </c>
      <c r="BV13" s="83" t="str">
        <f t="shared" si="32"/>
        <v>3#9#13|3#10#26|3#11#13|3#12#26|3#3#15|3#4#30|3#5#15|3#6#30|3#7#15|3#8#30|0#1#308|0#2#88|1#1#92|1#2#880|2#1#184|2#2#704</v>
      </c>
      <c r="BW13" s="83" t="str">
        <f t="shared" si="33"/>
        <v>3#30#12|3#31#12</v>
      </c>
      <c r="BY13" s="8" t="s">
        <v>1915</v>
      </c>
      <c r="BZ13" s="8" t="str">
        <f>BV3</f>
        <v>3#9#1|3#10#2|3#11#1|3#12#2|3#3#1|3#4#2|3#5#1|3#6#2|3#7#1|3#8#2|0#1#28|0#2#8|1#1#8|1#2#80|2#1#16|2#2#64</v>
      </c>
      <c r="CA13" s="8" t="str">
        <f>BV4</f>
        <v>3#9#1|3#10#3|3#11#1|3#12#3|3#3#2|3#4#4|3#5#2|3#6#4|3#7#2|3#8#4|0#1#42|0#2#12|1#1#12|1#2#120|2#1#25|2#2#96</v>
      </c>
      <c r="CB13" s="8" t="str">
        <f>BV5</f>
        <v>3#9#2|3#10#4|3#11#2|3#12#4|3#3#2|3#4#5|3#5#2|3#6#5|3#7#2|3#8#5|0#1#56|0#2#16|1#1#16|1#2#160|2#1#33|2#2#128</v>
      </c>
      <c r="CC13" s="8" t="str">
        <f>BV6</f>
        <v>3#9#3|3#10#6|3#11#3|3#12#6|3#3#3|3#4#7|3#5#3|3#6#7|3#7#3|3#8#7|0#1#70|0#2#20|1#1#21|1#2#200|2#1#42|2#2#160</v>
      </c>
      <c r="CD13" s="8" t="str">
        <f>BV7</f>
        <v>3#9#3|3#10#7|3#11#3|3#12#7|3#3#4|3#4#9|3#5#4|3#6#9|3#7#4|3#8#9|0#1#91|0#2#26|1#1#27|1#2#260|2#1#54|2#2#208</v>
      </c>
      <c r="CE13" s="8" t="str">
        <f>BV8</f>
        <v>3#9#4|3#10#9|3#11#4|3#12#9|3#3#5|3#4#11|3#5#5|3#6#11|3#7#5|3#8#11|0#1#112|0#2#32|1#1#33|1#2#320|2#1#67|2#2#256</v>
      </c>
      <c r="CF13" s="8" t="str">
        <f>BV9</f>
        <v>3#9#5|3#10#11|3#11#5|3#12#11|3#3#6|3#4#13|3#5#6|3#6#13|3#7#6|3#8#13|0#1#133|0#2#38|1#1#39|1#2#380|2#1#79|2#2#304</v>
      </c>
      <c r="CG13" s="8" t="str">
        <f>BV10</f>
        <v>3#9#6|3#10#13|3#11#6|3#12#13|3#3#7|3#4#15|3#5#7|3#6#15|3#7#7|3#8#15|0#1#154|0#2#44|1#1#46|1#2#440|2#1#92|2#2#352</v>
      </c>
      <c r="CH13" s="8" t="str">
        <f>BV11</f>
        <v>3#9#8|3#10#16|3#11#8|3#12#16|3#3#9|3#4#19|3#5#9|3#6#19|3#7#9|3#8#19|0#1#196|0#2#56|1#1#58|1#2#560|2#1#117|2#2#448</v>
      </c>
      <c r="CI13" s="8" t="str">
        <f>BV12</f>
        <v>3#9#10|3#10#21|3#11#10|3#12#21|3#3#12|3#4#25|3#5#12|3#6#25|3#7#12|3#8#25|0#1#252|0#2#72|1#1#75|1#2#720|2#1#151|2#2#576</v>
      </c>
      <c r="CJ13" s="8" t="str">
        <f>BV13</f>
        <v>3#9#13|3#10#26|3#11#13|3#12#26|3#3#15|3#4#30|3#5#15|3#6#30|3#7#15|3#8#30|0#1#308|0#2#88|1#1#92|1#2#880|2#1#184|2#2#704</v>
      </c>
      <c r="CK13" s="8" t="str">
        <f>BV14</f>
        <v>3#9#15|3#10#30|3#11#15|3#12#30|3#3#17|3#4#35|3#5#17|3#6#35|3#7#17|3#8#35|0#1#357|0#2#102|1#1#107|1#2#1020|2#1#214|2#2#816</v>
      </c>
      <c r="CL13" s="8" t="str">
        <f>BV15</f>
        <v>3#9#17|3#10#34|3#11#17|3#12#34|3#3#20|3#4#40|3#5#20|3#6#40|3#7#20|3#8#40|0#1#406|0#2#116|1#1#121|1#2#1160|2#1#243|2#2#928</v>
      </c>
      <c r="CM13" s="8" t="str">
        <f>BV16</f>
        <v>3#9#19|3#10#38|3#11#19|3#12#38|3#3#22|3#4#44|3#5#22|3#6#44|3#7#22|3#8#44|0#1#448|0#2#128|1#1#134|1#2#1280|2#1#268|2#2#1024</v>
      </c>
      <c r="CN13" s="8" t="str">
        <f>BV17</f>
        <v>3#9#21|3#10#42|3#11#21|3#12#42|3#3#24|3#4#49|3#5#24|3#6#49|3#7#24|3#8#49|0#1#490|0#2#140|1#1#147|1#2#1400|2#1#294|2#2#1120</v>
      </c>
      <c r="CO13" s="8" t="str">
        <f>BV18</f>
        <v>3#9#22|3#10#44|3#11#22|3#12#44|3#3#26|3#4#52|3#5#26|3#6#52|3#7#26|3#8#52|0#1#525|0#2#150|1#1#157|1#2#1500|2#1#315|2#2#1200</v>
      </c>
      <c r="CP13" s="8" t="str">
        <f>BV19</f>
        <v>3#9#24|3#10#48|3#11#24|3#12#48|3#3#28|3#4#56|3#5#28|3#6#56|3#7#28|3#8#56|0#1#560|0#2#160|1#1#168|1#2#1600|2#1#336|2#2#1280</v>
      </c>
      <c r="CQ13" s="8" t="str">
        <f>BV20</f>
        <v>3#9#26|3#10#52|3#11#26|3#12#52|3#3#30|3#4#61|3#5#30|3#6#61|3#7#30|3#8#61|0#1#616|0#2#176|1#1#184|1#2#1760|2#1#369|2#2#1408</v>
      </c>
      <c r="CR13" s="8" t="str">
        <f>BV21</f>
        <v>3#9#28|3#10#57|3#11#28|3#12#57|3#3#33|3#4#67|3#5#33|3#6#67|3#7#33|3#8#67|0#1#672|0#2#192|1#1#201|1#2#1920|2#1#403|2#2#1536</v>
      </c>
      <c r="CS13" s="8" t="str">
        <f>BV22</f>
        <v>3#9#31|3#10#63|3#11#31|3#12#63|3#3#37|3#4#74|3#5#37|3#6#74|3#7#37|3#8#74|0#1#742|0#2#212|1#1#222|1#2#2120|2#1#445|2#2#1696</v>
      </c>
      <c r="CT13" s="8" t="str">
        <f>BV23</f>
        <v>3#9#34|3#10#69|3#11#34|3#12#69|3#3#40|3#4#81|3#5#40|3#6#81|3#7#40|3#8#81|0#1#812|0#2#232|1#1#243|1#2#2320|2#1#487|2#2#1856</v>
      </c>
      <c r="CU13" s="8" t="str">
        <f>BV24</f>
        <v>3#9#38|3#10#76|3#11#38|3#12#76|3#3#44|3#4#89|3#5#44|3#6#89|3#7#44|3#8#89|0#1#896|0#2#256|1#1#268|1#2#2560|2#1#537|2#2#2048</v>
      </c>
      <c r="CV13" s="8" t="str">
        <f>BV25</f>
        <v>3#9#42|3#10#84|3#11#42|3#12#84|3#3#49|3#4#98|3#5#49|3#6#98|3#7#49|3#8#98|0#1#980|0#2#280|1#1#294|1#2#2800|2#1#588|2#2#2240</v>
      </c>
      <c r="CW13" s="8" t="str">
        <f>BV26</f>
        <v>3#9#45|3#10#90|3#11#45|3#12#90|3#3#52|3#4#105|3#5#52|3#6#105|3#7#52|3#8#105|0#1#1050|0#2#300|1#1#315|1#2#3000|2#1#630|2#2#2400</v>
      </c>
      <c r="CX13" s="8" t="str">
        <f>BV27</f>
        <v>3#9#48|3#10#96|3#11#48|3#12#96|3#3#56|3#4#112|3#5#56|3#6#112|3#7#56|3#8#112|0#1#1120|0#2#320|1#1#336|1#2#3200|2#1#672|2#2#2560</v>
      </c>
      <c r="CY13" s="8" t="str">
        <f>BV28</f>
        <v>3#9#54|3#10#108|3#11#54|3#12#108|3#3#63|3#4#126|3#5#63|3#6#126|3#7#63|3#8#126|0#1#1260|0#2#360|1#1#378|1#2#3600|2#1#756|2#2#2880</v>
      </c>
      <c r="CZ13" s="8" t="str">
        <f>BV29</f>
        <v>3#9#60|3#10#120|3#11#60|3#12#120|3#3#70|3#4#140|3#5#70|3#6#140|3#7#70|3#8#140|0#1#1400|0#2#400|1#1#420|1#2#4000|2#1#840|2#2#3200</v>
      </c>
    </row>
    <row r="14" spans="1:104" ht="18" x14ac:dyDescent="0.3">
      <c r="A14" s="22" t="s">
        <v>174</v>
      </c>
      <c r="B14" s="22" t="s">
        <v>942</v>
      </c>
      <c r="C14" s="22" t="s">
        <v>93</v>
      </c>
      <c r="D14" s="23"/>
      <c r="E14" s="22" t="s">
        <v>1135</v>
      </c>
      <c r="F14" s="29">
        <v>1</v>
      </c>
      <c r="G14" s="22">
        <v>35</v>
      </c>
      <c r="H14" s="64"/>
      <c r="I14" s="22" t="s">
        <v>1136</v>
      </c>
      <c r="J14" s="22" t="s">
        <v>224</v>
      </c>
      <c r="K14" s="90">
        <v>12</v>
      </c>
      <c r="L14" s="91">
        <f>INT(38.25/150*L29)</f>
        <v>3825</v>
      </c>
      <c r="M14" s="91">
        <f t="shared" ref="M14:W14" si="46">INT(38.25/150*M29)</f>
        <v>15300</v>
      </c>
      <c r="N14" s="91">
        <f t="shared" si="46"/>
        <v>255</v>
      </c>
      <c r="O14" s="91">
        <f t="shared" si="46"/>
        <v>510</v>
      </c>
      <c r="P14" s="91">
        <f t="shared" si="46"/>
        <v>255</v>
      </c>
      <c r="Q14" s="91">
        <f t="shared" si="46"/>
        <v>510</v>
      </c>
      <c r="R14" s="91">
        <f t="shared" si="46"/>
        <v>255</v>
      </c>
      <c r="S14" s="91">
        <f t="shared" si="46"/>
        <v>510</v>
      </c>
      <c r="T14" s="91">
        <f t="shared" si="46"/>
        <v>191</v>
      </c>
      <c r="U14" s="91">
        <f t="shared" si="46"/>
        <v>382</v>
      </c>
      <c r="V14" s="91">
        <f t="shared" si="46"/>
        <v>191</v>
      </c>
      <c r="W14" s="91">
        <f t="shared" si="46"/>
        <v>382</v>
      </c>
      <c r="X14" s="91">
        <f>L14*属性价值参考!C$5+基本装备!M14*属性价值参考!C$6+基本装备!N14*属性价值参考!C$7+基本装备!O14*属性价值参考!C$8+基本装备!T14*属性价值参考!C$9+基本装备!U14*属性价值参考!C$10+基本装备!V14*属性价值参考!C$11+基本装备!W14*属性价值参考!C$12</f>
        <v>89615.39999999998</v>
      </c>
      <c r="Y14" s="91">
        <f>基本装备!AG14*属性价值参考!C$13+基本装备!AH14*属性价值参考!C$36+基本装备!AI14*属性价值参考!C$19+基本装备!AJ14*属性价值参考!C$15+基本装备!AK14*属性价值参考!C$27+基本装备!AP14*属性价值参考!C$20+基本装备!AQ14*属性价值参考!C$21+基本装备!AR14*属性价值参考!C$26+8*(基本装备!AW14*属性价值参考!C$26+基本装备!BB14*属性价值参考!C$27+基本装备!BC14*(属性价值参考!C$28+属性价值参考!C$29))</f>
        <v>39127.599999999999</v>
      </c>
      <c r="Z14" s="9"/>
      <c r="AA14" s="81">
        <f t="shared" si="1"/>
        <v>3825</v>
      </c>
      <c r="AB14" s="81">
        <f t="shared" si="2"/>
        <v>15300</v>
      </c>
      <c r="AC14" s="81">
        <f t="shared" si="3"/>
        <v>510</v>
      </c>
      <c r="AD14" s="81">
        <f t="shared" si="4"/>
        <v>382</v>
      </c>
      <c r="AE14" s="9"/>
      <c r="AF14" s="82">
        <f t="shared" si="5"/>
        <v>127.5</v>
      </c>
      <c r="AG14" s="82">
        <v>50</v>
      </c>
      <c r="AH14" s="82">
        <v>3</v>
      </c>
      <c r="AI14" s="82">
        <v>5</v>
      </c>
      <c r="AJ14" s="82">
        <v>3</v>
      </c>
      <c r="AK14" s="82">
        <v>18</v>
      </c>
      <c r="AL14" s="82">
        <f t="shared" si="6"/>
        <v>1020</v>
      </c>
      <c r="AM14" s="82">
        <f t="shared" si="7"/>
        <v>4080</v>
      </c>
      <c r="AN14" s="82">
        <f t="shared" si="8"/>
        <v>40.800000000000004</v>
      </c>
      <c r="AO14" s="82">
        <f t="shared" si="9"/>
        <v>106.96000000000001</v>
      </c>
      <c r="AP14" s="82">
        <v>3</v>
      </c>
      <c r="AQ14" s="82">
        <v>3</v>
      </c>
      <c r="AR14" s="82">
        <v>25</v>
      </c>
      <c r="AS14" s="82">
        <f t="shared" si="10"/>
        <v>357</v>
      </c>
      <c r="AT14" s="82">
        <f t="shared" si="11"/>
        <v>1020</v>
      </c>
      <c r="AU14" s="82">
        <f t="shared" si="12"/>
        <v>35.700000000000003</v>
      </c>
      <c r="AV14" s="82">
        <f t="shared" si="13"/>
        <v>30.560000000000002</v>
      </c>
      <c r="AW14" s="82">
        <v>14</v>
      </c>
      <c r="AX14" s="82">
        <f t="shared" si="14"/>
        <v>306</v>
      </c>
      <c r="AY14" s="82">
        <f t="shared" si="15"/>
        <v>1275</v>
      </c>
      <c r="AZ14" s="82">
        <f t="shared" si="16"/>
        <v>38.25</v>
      </c>
      <c r="BA14" s="82">
        <f t="shared" si="17"/>
        <v>30.560000000000002</v>
      </c>
      <c r="BB14" s="89">
        <v>4</v>
      </c>
      <c r="BC14" s="89">
        <v>4</v>
      </c>
      <c r="BE14" s="83">
        <v>12</v>
      </c>
      <c r="BF14" s="83" t="str">
        <f t="shared" si="37"/>
        <v>3#3#63|3#4#127|3#5#63|3#6#127|3#7#63|3#8#127|3#13#50|3#20#3|3#25#5|3#21#3</v>
      </c>
      <c r="BG14" s="83" t="str">
        <f t="shared" si="18"/>
        <v>3#35#1800</v>
      </c>
      <c r="BH14" s="83" t="str">
        <f t="shared" si="38"/>
        <v>3#9#53|3#10#106|3#11#53|3#12#106|3#3#20|3#4#40|3#5#20|3#6#40|3#7#20|3#8#40|0#1#1020|0#2#408|1#1#306|1#2#4080|2#1#612|2#2#3264|3#26#3|3#27#3</v>
      </c>
      <c r="BI14" s="83" t="str">
        <f t="shared" si="19"/>
        <v>3#30#25|3#31#25</v>
      </c>
      <c r="BJ14" s="83" t="str">
        <f t="shared" si="20"/>
        <v>3#9#15|3#10#30|3#11#15|3#12#30|0#1#306|0#2#127|1#1#91|1#2#1275|2#1#183|2#2#1020</v>
      </c>
      <c r="BK14" s="83" t="str">
        <f t="shared" si="21"/>
        <v>3#35#400|3#36#400</v>
      </c>
      <c r="BL14" s="83" t="str">
        <f t="shared" si="22"/>
        <v>3#9#15|3#10#30|3#11#15|3#12#30|0#1#306|0#2#127|1#1#91|1#2#1275|2#1#183|2#2#1020</v>
      </c>
      <c r="BM14" s="83" t="str">
        <f t="shared" si="23"/>
        <v>3#35#400|3#36#400</v>
      </c>
      <c r="BN14" s="83" t="str">
        <f t="shared" si="24"/>
        <v>3#9#15|3#10#30|3#11#15|3#12#30|0#1#306|0#2#127|1#1#91|1#2#1275|2#1#183|2#2#1020</v>
      </c>
      <c r="BO14" s="83" t="str">
        <f t="shared" si="25"/>
        <v>3#35#400|3#37#400</v>
      </c>
      <c r="BP14" s="83" t="str">
        <f t="shared" si="26"/>
        <v>3#9#15|3#10#30|3#11#15|3#12#30|0#1#306|0#2#127|1#1#91|1#2#1275|2#1#183|2#2#1020</v>
      </c>
      <c r="BQ14" s="83" t="str">
        <f t="shared" si="27"/>
        <v>3#35#400|3#37#400</v>
      </c>
      <c r="BR14" s="83" t="str">
        <f t="shared" si="28"/>
        <v>3#9#15|3#10#30|3#11#15|3#12#30|0#1#306|0#2#127|1#1#91|1#2#1275|2#1#183|2#2#1020</v>
      </c>
      <c r="BS14" s="83" t="str">
        <f t="shared" si="29"/>
        <v>3#35#400|3#36#400</v>
      </c>
      <c r="BT14" s="83" t="str">
        <f t="shared" si="30"/>
        <v>3#9#15|3#10#30|3#11#15|3#12#30|0#1#306|0#2#127|1#1#91|1#2#1275|2#1#183|2#2#1020</v>
      </c>
      <c r="BU14" s="83" t="str">
        <f t="shared" si="31"/>
        <v>3#35#400|3#36#400</v>
      </c>
      <c r="BV14" s="83" t="str">
        <f t="shared" si="32"/>
        <v>3#9#15|3#10#30|3#11#15|3#12#30|3#3#17|3#4#35|3#5#17|3#6#35|3#7#17|3#8#35|0#1#357|0#2#102|1#1#107|1#2#1020|2#1#214|2#2#816</v>
      </c>
      <c r="BW14" s="83" t="str">
        <f t="shared" si="33"/>
        <v>3#30#14|3#31#14</v>
      </c>
      <c r="BY14" s="80" t="s">
        <v>1958</v>
      </c>
      <c r="BZ14" s="88">
        <v>1</v>
      </c>
      <c r="CA14" s="88">
        <v>2</v>
      </c>
      <c r="CB14" s="88">
        <v>3</v>
      </c>
      <c r="CC14" s="88">
        <v>4</v>
      </c>
      <c r="CD14" s="88">
        <v>5</v>
      </c>
      <c r="CE14" s="88">
        <v>6</v>
      </c>
      <c r="CF14" s="88">
        <v>7</v>
      </c>
      <c r="CG14" s="88">
        <v>8</v>
      </c>
      <c r="CH14" s="88">
        <v>9</v>
      </c>
      <c r="CI14" s="88">
        <v>10</v>
      </c>
      <c r="CJ14" s="88">
        <v>11</v>
      </c>
      <c r="CK14" s="88">
        <v>12</v>
      </c>
      <c r="CL14" s="88">
        <v>13</v>
      </c>
      <c r="CM14" s="88">
        <v>14</v>
      </c>
      <c r="CN14" s="88">
        <v>15</v>
      </c>
      <c r="CO14" s="88">
        <v>16</v>
      </c>
      <c r="CP14" s="88">
        <v>17</v>
      </c>
      <c r="CQ14" s="88">
        <v>18</v>
      </c>
      <c r="CR14" s="88">
        <v>19</v>
      </c>
      <c r="CS14" s="88">
        <v>20</v>
      </c>
      <c r="CT14" s="88">
        <v>21</v>
      </c>
      <c r="CU14" s="88">
        <v>22</v>
      </c>
      <c r="CV14" s="88">
        <v>23</v>
      </c>
      <c r="CW14" s="88">
        <v>24</v>
      </c>
      <c r="CX14" s="88">
        <v>25</v>
      </c>
      <c r="CY14" s="88">
        <v>26</v>
      </c>
      <c r="CZ14" s="88">
        <v>27</v>
      </c>
    </row>
    <row r="15" spans="1:104" x14ac:dyDescent="0.3">
      <c r="A15" s="22" t="s">
        <v>174</v>
      </c>
      <c r="B15" s="22" t="s">
        <v>1151</v>
      </c>
      <c r="C15" s="22" t="s">
        <v>87</v>
      </c>
      <c r="D15" s="23"/>
      <c r="E15" s="22" t="s">
        <v>1179</v>
      </c>
      <c r="F15" s="29">
        <v>1</v>
      </c>
      <c r="G15" s="69">
        <v>35</v>
      </c>
      <c r="H15" s="64"/>
      <c r="I15" s="22" t="s">
        <v>1180</v>
      </c>
      <c r="J15" s="22" t="s">
        <v>216</v>
      </c>
      <c r="K15" s="90">
        <v>13</v>
      </c>
      <c r="L15" s="91">
        <f>INT(43.5/150*L29)</f>
        <v>4350</v>
      </c>
      <c r="M15" s="91">
        <f t="shared" ref="M15:W15" si="47">INT(43.5/150*M29)</f>
        <v>17400</v>
      </c>
      <c r="N15" s="91">
        <f t="shared" si="47"/>
        <v>290</v>
      </c>
      <c r="O15" s="91">
        <f t="shared" si="47"/>
        <v>580</v>
      </c>
      <c r="P15" s="91">
        <f t="shared" si="47"/>
        <v>290</v>
      </c>
      <c r="Q15" s="91">
        <f t="shared" si="47"/>
        <v>580</v>
      </c>
      <c r="R15" s="91">
        <f t="shared" si="47"/>
        <v>290</v>
      </c>
      <c r="S15" s="91">
        <f t="shared" si="47"/>
        <v>580</v>
      </c>
      <c r="T15" s="91">
        <f t="shared" si="47"/>
        <v>217</v>
      </c>
      <c r="U15" s="91">
        <f t="shared" si="47"/>
        <v>435</v>
      </c>
      <c r="V15" s="91">
        <f t="shared" si="47"/>
        <v>217</v>
      </c>
      <c r="W15" s="91">
        <f t="shared" si="47"/>
        <v>435</v>
      </c>
      <c r="X15" s="91">
        <f>L15*属性价值参考!C$5+基本装备!M15*属性价值参考!C$6+基本装备!N15*属性价值参考!C$7+基本装备!O15*属性价值参考!C$8+基本装备!T15*属性价值参考!C$9+基本装备!U15*属性价值参考!C$10+基本装备!V15*属性价值参考!C$11+基本装备!W15*属性价值参考!C$12</f>
        <v>101932.8</v>
      </c>
      <c r="Y15" s="91">
        <f>基本装备!AG15*属性价值参考!C$13+基本装备!AH15*属性价值参考!C$36+基本装备!AI15*属性价值参考!C$19+基本装备!AJ15*属性价值参考!C$15+基本装备!AK15*属性价值参考!C$27+基本装备!AP15*属性价值参考!C$20+基本装备!AQ15*属性价值参考!C$21+基本装备!AR15*属性价值参考!C$26+8*(基本装备!AW15*属性价值参考!C$26+基本装备!BB15*属性价值参考!C$27+基本装备!BC15*(属性价值参考!C$28+属性价值参考!C$29))</f>
        <v>42173.2</v>
      </c>
      <c r="Z15" s="9"/>
      <c r="AA15" s="81">
        <f t="shared" si="1"/>
        <v>4350</v>
      </c>
      <c r="AB15" s="81">
        <f t="shared" si="2"/>
        <v>17400</v>
      </c>
      <c r="AC15" s="81">
        <f t="shared" si="3"/>
        <v>580</v>
      </c>
      <c r="AD15" s="81">
        <f t="shared" si="4"/>
        <v>435.00000000000006</v>
      </c>
      <c r="AE15" s="9"/>
      <c r="AF15" s="82">
        <f t="shared" si="5"/>
        <v>145</v>
      </c>
      <c r="AG15" s="82">
        <v>50</v>
      </c>
      <c r="AH15" s="82">
        <v>3</v>
      </c>
      <c r="AI15" s="82">
        <v>5</v>
      </c>
      <c r="AJ15" s="82">
        <v>3</v>
      </c>
      <c r="AK15" s="82">
        <v>20</v>
      </c>
      <c r="AL15" s="82">
        <f t="shared" si="6"/>
        <v>1160</v>
      </c>
      <c r="AM15" s="82">
        <f t="shared" si="7"/>
        <v>4640</v>
      </c>
      <c r="AN15" s="82">
        <f t="shared" si="8"/>
        <v>46.4</v>
      </c>
      <c r="AO15" s="82">
        <f t="shared" si="9"/>
        <v>121.80000000000001</v>
      </c>
      <c r="AP15" s="82">
        <v>3</v>
      </c>
      <c r="AQ15" s="82">
        <v>3</v>
      </c>
      <c r="AR15" s="82">
        <v>28</v>
      </c>
      <c r="AS15" s="82">
        <f t="shared" si="10"/>
        <v>406</v>
      </c>
      <c r="AT15" s="82">
        <f t="shared" si="11"/>
        <v>1160</v>
      </c>
      <c r="AU15" s="82">
        <f t="shared" si="12"/>
        <v>40.6</v>
      </c>
      <c r="AV15" s="82">
        <f t="shared" si="13"/>
        <v>34.800000000000004</v>
      </c>
      <c r="AW15" s="82">
        <v>16</v>
      </c>
      <c r="AX15" s="82">
        <f t="shared" si="14"/>
        <v>348</v>
      </c>
      <c r="AY15" s="82">
        <f t="shared" si="15"/>
        <v>1450</v>
      </c>
      <c r="AZ15" s="82">
        <f t="shared" si="16"/>
        <v>43.5</v>
      </c>
      <c r="BA15" s="82">
        <f t="shared" si="17"/>
        <v>34.800000000000004</v>
      </c>
      <c r="BB15" s="89">
        <v>4</v>
      </c>
      <c r="BC15" s="89">
        <v>5</v>
      </c>
      <c r="BE15" s="83">
        <v>13</v>
      </c>
      <c r="BF15" s="83" t="str">
        <f t="shared" si="37"/>
        <v>3#3#72|3#4#145|3#5#72|3#6#145|3#7#72|3#8#145|3#13#50|3#20#3|3#25#5|3#21#3</v>
      </c>
      <c r="BG15" s="83" t="str">
        <f t="shared" si="18"/>
        <v>3#35#2000</v>
      </c>
      <c r="BH15" s="83" t="str">
        <f t="shared" si="38"/>
        <v>3#9#60|3#10#121|3#11#60|3#12#121|3#3#23|3#4#46|3#5#23|3#6#46|3#7#23|3#8#46|0#1#1160|0#2#464|1#1#348|1#2#4640|2#1#696|2#2#3712|3#26#3|3#27#3</v>
      </c>
      <c r="BI15" s="83" t="str">
        <f t="shared" si="19"/>
        <v>3#30#28|3#31#28</v>
      </c>
      <c r="BJ15" s="83" t="str">
        <f t="shared" si="20"/>
        <v>3#9#17|3#10#34|3#11#17|3#12#34|0#1#348|0#2#145|1#1#104|1#2#1450|2#1#208|2#2#1160</v>
      </c>
      <c r="BK15" s="83" t="str">
        <f t="shared" si="21"/>
        <v>3#35#400|3#36#500</v>
      </c>
      <c r="BL15" s="83" t="str">
        <f t="shared" si="22"/>
        <v>3#9#17|3#10#34|3#11#17|3#12#34|0#1#348|0#2#145|1#1#104|1#2#1450|2#1#208|2#2#1160</v>
      </c>
      <c r="BM15" s="83" t="str">
        <f t="shared" si="23"/>
        <v>3#35#400|3#36#500</v>
      </c>
      <c r="BN15" s="83" t="str">
        <f t="shared" si="24"/>
        <v>3#9#17|3#10#34|3#11#17|3#12#34|0#1#348|0#2#145|1#1#104|1#2#1450|2#1#208|2#2#1160</v>
      </c>
      <c r="BO15" s="83" t="str">
        <f t="shared" si="25"/>
        <v>3#35#400|3#37#500</v>
      </c>
      <c r="BP15" s="83" t="str">
        <f t="shared" si="26"/>
        <v>3#9#17|3#10#34|3#11#17|3#12#34|0#1#348|0#2#145|1#1#104|1#2#1450|2#1#208|2#2#1160</v>
      </c>
      <c r="BQ15" s="83" t="str">
        <f t="shared" si="27"/>
        <v>3#35#400|3#37#500</v>
      </c>
      <c r="BR15" s="83" t="str">
        <f t="shared" si="28"/>
        <v>3#9#17|3#10#34|3#11#17|3#12#34|0#1#348|0#2#145|1#1#104|1#2#1450|2#1#208|2#2#1160</v>
      </c>
      <c r="BS15" s="83" t="str">
        <f t="shared" si="29"/>
        <v>3#35#400|3#36#500</v>
      </c>
      <c r="BT15" s="83" t="str">
        <f t="shared" si="30"/>
        <v>3#9#17|3#10#34|3#11#17|3#12#34|0#1#348|0#2#145|1#1#104|1#2#1450|2#1#208|2#2#1160</v>
      </c>
      <c r="BU15" s="83" t="str">
        <f t="shared" si="31"/>
        <v>3#35#400|3#36#500</v>
      </c>
      <c r="BV15" s="83" t="str">
        <f t="shared" si="32"/>
        <v>3#9#17|3#10#34|3#11#17|3#12#34|3#3#20|3#4#40|3#5#20|3#6#40|3#7#20|3#8#40|0#1#406|0#2#116|1#1#121|1#2#1160|2#1#243|2#2#928</v>
      </c>
      <c r="BW15" s="83" t="str">
        <f t="shared" si="33"/>
        <v>3#30#16|3#31#16</v>
      </c>
      <c r="BY15" s="8" t="s">
        <v>1911</v>
      </c>
      <c r="BZ15" s="8" t="str">
        <f>"&lt;[单件触发]/FCOLOR=253&gt;\&lt; 攻魔道 +"&amp;AK3&amp;"%/FCOLOR=58&gt;\"</f>
        <v>&lt;[单件触发]/FCOLOR=253&gt;\&lt; 攻魔道 +1%/FCOLOR=58&gt;\</v>
      </c>
      <c r="CA15" s="8" t="str">
        <f>"&lt;[单件触发]/FCOLOR=253&gt;\&lt; 攻魔道 +"&amp;AK4&amp;"%/FCOLOR=58&gt;\"</f>
        <v>&lt;[单件触发]/FCOLOR=253&gt;\&lt; 攻魔道 +2%/FCOLOR=58&gt;\</v>
      </c>
      <c r="CB15" s="8" t="str">
        <f>"&lt;[单件触发]/FCOLOR=253&gt;\&lt; 攻魔道 +"&amp;AK5&amp;"%/FCOLOR=58&gt;\"</f>
        <v>&lt;[单件触发]/FCOLOR=253&gt;\&lt; 攻魔道 +3%/FCOLOR=58&gt;\</v>
      </c>
      <c r="CC15" s="8" t="str">
        <f>"&lt;[单件触发]/FCOLOR=253&gt;\&lt; 攻魔道 +"&amp;AK6&amp;"%/FCOLOR=58&gt;\"</f>
        <v>&lt;[单件触发]/FCOLOR=253&gt;\&lt; 攻魔道 +4%/FCOLOR=58&gt;\</v>
      </c>
      <c r="CD15" s="8" t="str">
        <f>"&lt;[单件触发]/FCOLOR=253&gt;\&lt; 攻魔道 +"&amp;AK7&amp;"%/FCOLOR=58&gt;\"</f>
        <v>&lt;[单件触发]/FCOLOR=253&gt;\&lt; 攻魔道 +5%/FCOLOR=58&gt;\</v>
      </c>
      <c r="CE15" s="8" t="str">
        <f>"&lt;[单件触发]/FCOLOR=253&gt;\&lt; 攻魔道 +"&amp;AK8&amp;"%/FCOLOR=58&gt;\"</f>
        <v>&lt;[单件触发]/FCOLOR=253&gt;\&lt; 攻魔道 +6%/FCOLOR=58&gt;\</v>
      </c>
      <c r="CF15" s="8" t="str">
        <f>"&lt;[单件触发]/FCOLOR=253&gt;\&lt; 攻魔道 +"&amp;AK9&amp;"%/FCOLOR=58&gt;\"</f>
        <v>&lt;[单件触发]/FCOLOR=253&gt;\&lt; 攻魔道 +8%/FCOLOR=58&gt;\</v>
      </c>
      <c r="CG15" s="8" t="str">
        <f>"&lt;[单件触发]/FCOLOR=253&gt;\&lt; 攻魔道 +"&amp;AK10&amp;"%/FCOLOR=58&gt;\"</f>
        <v>&lt;[单件触发]/FCOLOR=253&gt;\&lt; 攻魔道 +10%/FCOLOR=58&gt;\</v>
      </c>
      <c r="CH15" s="8" t="str">
        <f>"&lt;[单件触发]/FCOLOR=253&gt;\&lt; 攻魔道 +"&amp;AK11&amp;"%/FCOLOR=58&gt;\"</f>
        <v>&lt;[单件触发]/FCOLOR=253&gt;\&lt; 攻魔道 +12%/FCOLOR=58&gt;\</v>
      </c>
      <c r="CI15" s="8" t="str">
        <f>"&lt;[单件触发]/FCOLOR=253&gt;\&lt; 攻魔道 +"&amp;AK12&amp;"%/FCOLOR=58&gt;\"</f>
        <v>&lt;[单件触发]/FCOLOR=253&gt;\&lt; 攻魔道 +14%/FCOLOR=58&gt;\</v>
      </c>
      <c r="CJ15" s="8" t="str">
        <f>"&lt;[单件触发]/FCOLOR=253&gt;\&lt; 攻魔道 +"&amp;AK13&amp;"%/FCOLOR=58&gt;\"</f>
        <v>&lt;[单件触发]/FCOLOR=253&gt;\&lt; 攻魔道 +16%/FCOLOR=58&gt;\</v>
      </c>
      <c r="CK15" s="8" t="str">
        <f>"&lt;[单件触发]/FCOLOR=253&gt;\&lt; 攻魔道 +"&amp;AK14&amp;"%/FCOLOR=58&gt;\"</f>
        <v>&lt;[单件触发]/FCOLOR=253&gt;\&lt; 攻魔道 +18%/FCOLOR=58&gt;\</v>
      </c>
      <c r="CL15" s="8" t="str">
        <f>"&lt;[单件触发]/FCOLOR=253&gt;\&lt; 攻魔道 +"&amp;AK15&amp;"%/FCOLOR=58&gt;\"</f>
        <v>&lt;[单件触发]/FCOLOR=253&gt;\&lt; 攻魔道 +20%/FCOLOR=58&gt;\</v>
      </c>
      <c r="CM15" s="8" t="str">
        <f>"&lt;[单件触发]/FCOLOR=253&gt;\&lt; 攻魔道 +"&amp;AK16&amp;"%/FCOLOR=58&gt;\"</f>
        <v>&lt;[单件触发]/FCOLOR=253&gt;\&lt; 攻魔道 +22%/FCOLOR=58&gt;\</v>
      </c>
      <c r="CN15" s="8" t="str">
        <f>"&lt;[单件触发]/FCOLOR=253&gt;\&lt; 攻魔道 +"&amp;AK17&amp;"%/FCOLOR=58&gt;\"</f>
        <v>&lt;[单件触发]/FCOLOR=253&gt;\&lt; 攻魔道 +24%/FCOLOR=58&gt;\</v>
      </c>
      <c r="CO15" s="8" t="str">
        <f>"&lt;[单件触发]/FCOLOR=253&gt;\&lt; 攻魔道 +"&amp;AK18&amp;"%/FCOLOR=58&gt;\"</f>
        <v>&lt;[单件触发]/FCOLOR=253&gt;\&lt; 攻魔道 +26%/FCOLOR=58&gt;\</v>
      </c>
      <c r="CP15" s="8" t="str">
        <f>"&lt;[单件触发]/FCOLOR=253&gt;\&lt; 攻魔道 +"&amp;AK19&amp;"%/FCOLOR=58&gt;\"</f>
        <v>&lt;[单件触发]/FCOLOR=253&gt;\&lt; 攻魔道 +28%/FCOLOR=58&gt;\</v>
      </c>
      <c r="CQ15" s="8" t="str">
        <f>"&lt;[单件触发]/FCOLOR=253&gt;\&lt; 攻魔道 +"&amp;AK20&amp;"%/FCOLOR=58&gt;\"</f>
        <v>&lt;[单件触发]/FCOLOR=253&gt;\&lt; 攻魔道 +30%/FCOLOR=58&gt;\</v>
      </c>
      <c r="CR15" s="8" t="str">
        <f>"&lt;[单件触发]/FCOLOR=253&gt;\&lt; 攻魔道 +"&amp;AK21&amp;"%/FCOLOR=58&gt;\"</f>
        <v>&lt;[单件触发]/FCOLOR=253&gt;\&lt; 攻魔道 +32%/FCOLOR=58&gt;\</v>
      </c>
      <c r="CS15" s="8" t="str">
        <f>"&lt;[单件触发]/FCOLOR=253&gt;\&lt; 攻魔道 +"&amp;AK22&amp;"%/FCOLOR=58&gt;\"</f>
        <v>&lt;[单件触发]/FCOLOR=253&gt;\&lt; 攻魔道 +34%/FCOLOR=58&gt;\</v>
      </c>
      <c r="CT15" s="8" t="str">
        <f>"&lt;[单件触发]/FCOLOR=253&gt;\&lt; 攻魔道 +"&amp;AK23&amp;"%/FCOLOR=58&gt;\"</f>
        <v>&lt;[单件触发]/FCOLOR=253&gt;\&lt; 攻魔道 +36%/FCOLOR=58&gt;\</v>
      </c>
      <c r="CU15" s="8" t="str">
        <f>"&lt;[单件触发]/FCOLOR=253&gt;\&lt; 攻魔道 +"&amp;AK24&amp;"%/FCOLOR=58&gt;\"</f>
        <v>&lt;[单件触发]/FCOLOR=253&gt;\&lt; 攻魔道 +38%/FCOLOR=58&gt;\</v>
      </c>
      <c r="CV15" s="8" t="str">
        <f>"&lt;[单件触发]/FCOLOR=253&gt;\&lt; 攻魔道 +"&amp;AK25&amp;"%/FCOLOR=58&gt;\"</f>
        <v>&lt;[单件触发]/FCOLOR=253&gt;\&lt; 攻魔道 +40%/FCOLOR=58&gt;\</v>
      </c>
      <c r="CW15" s="8" t="str">
        <f>"&lt;[单件触发]/FCOLOR=253&gt;\&lt; 攻魔道 +"&amp;AK26&amp;"%/FCOLOR=58&gt;\"</f>
        <v>&lt;[单件触发]/FCOLOR=253&gt;\&lt; 攻魔道 +43%/FCOLOR=58&gt;\</v>
      </c>
      <c r="CX15" s="8" t="str">
        <f>"&lt;[单件触发]/FCOLOR=253&gt;\&lt; 攻魔道 +"&amp;AK27&amp;"%/FCOLOR=58&gt;\"</f>
        <v>&lt;[单件触发]/FCOLOR=253&gt;\&lt; 攻魔道 +46%/FCOLOR=58&gt;\</v>
      </c>
      <c r="CY15" s="8" t="str">
        <f>"&lt;[单件触发]/FCOLOR=253&gt;\&lt; 攻魔道 +"&amp;AK28&amp;"%/FCOLOR=58&gt;\"</f>
        <v>&lt;[单件触发]/FCOLOR=253&gt;\&lt; 攻魔道 +49%/FCOLOR=58&gt;\</v>
      </c>
      <c r="CZ15" s="8" t="str">
        <f>"&lt;[单件触发]/FCOLOR=253&gt;\&lt; 攻魔道 +"&amp;AK29&amp;"%/FCOLOR=58&gt;\"</f>
        <v>&lt;[单件触发]/FCOLOR=253&gt;\&lt; 攻魔道 +52%/FCOLOR=58&gt;\</v>
      </c>
    </row>
    <row r="16" spans="1:104" x14ac:dyDescent="0.3">
      <c r="A16" s="22" t="s">
        <v>174</v>
      </c>
      <c r="B16" s="22" t="s">
        <v>1151</v>
      </c>
      <c r="C16" s="22" t="s">
        <v>93</v>
      </c>
      <c r="D16" s="23"/>
      <c r="E16" s="22" t="s">
        <v>1181</v>
      </c>
      <c r="F16" s="29">
        <v>1</v>
      </c>
      <c r="G16" s="69">
        <v>35</v>
      </c>
      <c r="H16" s="64"/>
      <c r="I16" s="22" t="s">
        <v>1182</v>
      </c>
      <c r="J16" s="22" t="s">
        <v>224</v>
      </c>
      <c r="K16" s="90">
        <v>14</v>
      </c>
      <c r="L16" s="91">
        <f>INT(48/150*L29)</f>
        <v>4800</v>
      </c>
      <c r="M16" s="91">
        <f t="shared" ref="M16:W16" si="48">INT(48/150*M29)</f>
        <v>19200</v>
      </c>
      <c r="N16" s="91">
        <f t="shared" si="48"/>
        <v>320</v>
      </c>
      <c r="O16" s="91">
        <f t="shared" si="48"/>
        <v>640</v>
      </c>
      <c r="P16" s="91">
        <f t="shared" si="48"/>
        <v>320</v>
      </c>
      <c r="Q16" s="91">
        <f t="shared" si="48"/>
        <v>640</v>
      </c>
      <c r="R16" s="91">
        <f t="shared" si="48"/>
        <v>320</v>
      </c>
      <c r="S16" s="91">
        <f t="shared" si="48"/>
        <v>640</v>
      </c>
      <c r="T16" s="91">
        <f t="shared" si="48"/>
        <v>240</v>
      </c>
      <c r="U16" s="91">
        <f t="shared" si="48"/>
        <v>480</v>
      </c>
      <c r="V16" s="91">
        <f t="shared" si="48"/>
        <v>240</v>
      </c>
      <c r="W16" s="91">
        <f t="shared" si="48"/>
        <v>480</v>
      </c>
      <c r="X16" s="91">
        <f>L16*属性价值参考!C$5+基本装备!M16*属性价值参考!C$6+基本装备!N16*属性价值参考!C$7+基本装备!O16*属性价值参考!C$8+基本装备!T16*属性价值参考!C$9+基本装备!U16*属性价值参考!C$10+基本装备!V16*属性价值参考!C$11+基本装备!W16*属性价值参考!C$12</f>
        <v>112492.8</v>
      </c>
      <c r="Y16" s="91">
        <f>基本装备!AG16*属性价值参考!C$13+基本装备!AH16*属性价值参考!C$36+基本装备!AI16*属性价值参考!C$19+基本装备!AJ16*属性价值参考!C$15+基本装备!AK16*属性价值参考!C$27+基本装备!AP16*属性价值参考!C$20+基本装备!AQ16*属性价值参考!C$21+基本装备!AR16*属性价值参考!C$26+8*(基本装备!AW16*属性价值参考!C$26+基本装备!BB16*属性价值参考!C$27+基本装备!BC16*(属性价值参考!C$28+属性价值参考!C$29))</f>
        <v>46515.199999999997</v>
      </c>
      <c r="Z16" s="9"/>
      <c r="AA16" s="81">
        <f t="shared" si="1"/>
        <v>4800</v>
      </c>
      <c r="AB16" s="81">
        <f t="shared" si="2"/>
        <v>19200</v>
      </c>
      <c r="AC16" s="81">
        <f t="shared" si="3"/>
        <v>640</v>
      </c>
      <c r="AD16" s="81">
        <f t="shared" si="4"/>
        <v>480</v>
      </c>
      <c r="AE16" s="9"/>
      <c r="AF16" s="82">
        <f t="shared" si="5"/>
        <v>160</v>
      </c>
      <c r="AG16" s="82">
        <v>55</v>
      </c>
      <c r="AH16" s="82">
        <v>3</v>
      </c>
      <c r="AI16" s="82">
        <v>6</v>
      </c>
      <c r="AJ16" s="82">
        <v>4</v>
      </c>
      <c r="AK16" s="82">
        <v>22</v>
      </c>
      <c r="AL16" s="82">
        <f t="shared" si="6"/>
        <v>1280</v>
      </c>
      <c r="AM16" s="82">
        <f t="shared" si="7"/>
        <v>5120</v>
      </c>
      <c r="AN16" s="82">
        <f t="shared" si="8"/>
        <v>51.2</v>
      </c>
      <c r="AO16" s="82">
        <f t="shared" si="9"/>
        <v>134.4</v>
      </c>
      <c r="AP16" s="82">
        <v>3</v>
      </c>
      <c r="AQ16" s="82">
        <v>3</v>
      </c>
      <c r="AR16" s="82">
        <v>31</v>
      </c>
      <c r="AS16" s="82">
        <f t="shared" si="10"/>
        <v>448</v>
      </c>
      <c r="AT16" s="82">
        <f t="shared" si="11"/>
        <v>1280</v>
      </c>
      <c r="AU16" s="82">
        <f t="shared" si="12"/>
        <v>44.800000000000004</v>
      </c>
      <c r="AV16" s="82">
        <f t="shared" si="13"/>
        <v>38.4</v>
      </c>
      <c r="AW16" s="82">
        <v>18</v>
      </c>
      <c r="AX16" s="82">
        <f t="shared" si="14"/>
        <v>384</v>
      </c>
      <c r="AY16" s="82">
        <f t="shared" si="15"/>
        <v>1600</v>
      </c>
      <c r="AZ16" s="82">
        <f t="shared" si="16"/>
        <v>48</v>
      </c>
      <c r="BA16" s="82">
        <f t="shared" si="17"/>
        <v>38.4</v>
      </c>
      <c r="BB16" s="89">
        <v>5</v>
      </c>
      <c r="BC16" s="89">
        <v>5</v>
      </c>
      <c r="BE16" s="83">
        <v>14</v>
      </c>
      <c r="BF16" s="83" t="str">
        <f t="shared" si="37"/>
        <v>3#3#80|3#4#160|3#5#80|3#6#160|3#7#80|3#8#160|3#13#55|3#20#3|3#25#6|3#21#4</v>
      </c>
      <c r="BG16" s="83" t="str">
        <f t="shared" si="18"/>
        <v>3#35#2200</v>
      </c>
      <c r="BH16" s="83" t="str">
        <f t="shared" si="38"/>
        <v>3#9#67|3#10#134|3#11#67|3#12#134|3#3#25|3#4#51|3#5#25|3#6#51|3#7#25|3#8#51|0#1#1280|0#2#512|1#1#384|1#2#5120|2#1#768|2#2#4096|3#26#3|3#27#3</v>
      </c>
      <c r="BI16" s="83" t="str">
        <f t="shared" si="19"/>
        <v>3#30#31|3#31#31</v>
      </c>
      <c r="BJ16" s="83" t="str">
        <f t="shared" si="20"/>
        <v>3#9#19|3#10#38|3#11#19|3#12#38|0#1#384|0#2#160|1#1#115|1#2#1600|2#1#230|2#2#1280</v>
      </c>
      <c r="BK16" s="83" t="str">
        <f t="shared" si="21"/>
        <v>3#35#500|3#36#500</v>
      </c>
      <c r="BL16" s="83" t="str">
        <f t="shared" si="22"/>
        <v>3#9#19|3#10#38|3#11#19|3#12#38|0#1#384|0#2#160|1#1#115|1#2#1600|2#1#230|2#2#1280</v>
      </c>
      <c r="BM16" s="83" t="str">
        <f t="shared" si="23"/>
        <v>3#35#500|3#36#500</v>
      </c>
      <c r="BN16" s="83" t="str">
        <f t="shared" si="24"/>
        <v>3#9#19|3#10#38|3#11#19|3#12#38|0#1#384|0#2#160|1#1#115|1#2#1600|2#1#230|2#2#1280</v>
      </c>
      <c r="BO16" s="83" t="str">
        <f t="shared" si="25"/>
        <v>3#35#500|3#37#500</v>
      </c>
      <c r="BP16" s="83" t="str">
        <f t="shared" si="26"/>
        <v>3#9#19|3#10#38|3#11#19|3#12#38|0#1#384|0#2#160|1#1#115|1#2#1600|2#1#230|2#2#1280</v>
      </c>
      <c r="BQ16" s="83" t="str">
        <f t="shared" si="27"/>
        <v>3#35#500|3#37#500</v>
      </c>
      <c r="BR16" s="83" t="str">
        <f t="shared" si="28"/>
        <v>3#9#19|3#10#38|3#11#19|3#12#38|0#1#384|0#2#160|1#1#115|1#2#1600|2#1#230|2#2#1280</v>
      </c>
      <c r="BS16" s="83" t="str">
        <f t="shared" si="29"/>
        <v>3#35#500|3#36#500</v>
      </c>
      <c r="BT16" s="83" t="str">
        <f t="shared" si="30"/>
        <v>3#9#19|3#10#38|3#11#19|3#12#38|0#1#384|0#2#160|1#1#115|1#2#1600|2#1#230|2#2#1280</v>
      </c>
      <c r="BU16" s="83" t="str">
        <f t="shared" si="31"/>
        <v>3#35#500|3#36#500</v>
      </c>
      <c r="BV16" s="83" t="str">
        <f t="shared" si="32"/>
        <v>3#9#19|3#10#38|3#11#19|3#12#38|3#3#22|3#4#44|3#5#22|3#6#44|3#7#22|3#8#44|0#1#448|0#2#128|1#1#134|1#2#1280|2#1#268|2#2#1024</v>
      </c>
      <c r="BW16" s="83" t="str">
        <f t="shared" si="33"/>
        <v>3#30#18|3#31#18</v>
      </c>
      <c r="BY16" s="8" t="s">
        <v>1926</v>
      </c>
      <c r="BZ16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6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6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6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6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6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6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6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6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6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6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6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6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6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6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6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6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6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6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6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6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6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6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6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6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6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6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1:104" x14ac:dyDescent="0.3">
      <c r="A17" s="22" t="s">
        <v>174</v>
      </c>
      <c r="B17" s="22" t="s">
        <v>1151</v>
      </c>
      <c r="C17" s="22" t="s">
        <v>90</v>
      </c>
      <c r="D17" s="23"/>
      <c r="E17" s="22" t="s">
        <v>1183</v>
      </c>
      <c r="F17" s="29">
        <v>1</v>
      </c>
      <c r="G17" s="69">
        <v>35</v>
      </c>
      <c r="H17" s="64"/>
      <c r="I17" s="22" t="s">
        <v>1184</v>
      </c>
      <c r="J17" s="22" t="s">
        <v>220</v>
      </c>
      <c r="K17" s="90">
        <v>15</v>
      </c>
      <c r="L17" s="91">
        <f>INT(52.5/150*L29)</f>
        <v>5250</v>
      </c>
      <c r="M17" s="91">
        <f t="shared" ref="M17:W17" si="49">INT(52.5/150*M29)</f>
        <v>21000</v>
      </c>
      <c r="N17" s="91">
        <f t="shared" si="49"/>
        <v>350</v>
      </c>
      <c r="O17" s="91">
        <f t="shared" si="49"/>
        <v>700</v>
      </c>
      <c r="P17" s="91">
        <f t="shared" si="49"/>
        <v>350</v>
      </c>
      <c r="Q17" s="91">
        <f t="shared" si="49"/>
        <v>700</v>
      </c>
      <c r="R17" s="91">
        <f t="shared" si="49"/>
        <v>350</v>
      </c>
      <c r="S17" s="91">
        <f t="shared" si="49"/>
        <v>700</v>
      </c>
      <c r="T17" s="91">
        <f t="shared" si="49"/>
        <v>262</v>
      </c>
      <c r="U17" s="91">
        <f t="shared" si="49"/>
        <v>525</v>
      </c>
      <c r="V17" s="91">
        <f t="shared" si="49"/>
        <v>262</v>
      </c>
      <c r="W17" s="91">
        <f t="shared" si="49"/>
        <v>525</v>
      </c>
      <c r="X17" s="91">
        <f>L17*属性价值参考!C$5+基本装备!M17*属性价值参考!C$6+基本装备!N17*属性价值参考!C$7+基本装备!O17*属性价值参考!C$8+基本装备!T17*属性价值参考!C$9+基本装备!U17*属性价值参考!C$10+基本装备!V17*属性价值参考!C$11+基本装备!W17*属性价值参考!C$12</f>
        <v>123025.2</v>
      </c>
      <c r="Y17" s="91">
        <f>基本装备!AG17*属性价值参考!C$13+基本装备!AH17*属性价值参考!C$36+基本装备!AI17*属性价值参考!C$19+基本装备!AJ17*属性价值参考!C$15+基本装备!AK17*属性价值参考!C$27+基本装备!AP17*属性价值参考!C$20+基本装备!AQ17*属性价值参考!C$21+基本装备!AR17*属性价值参考!C$26+8*(基本装备!AW17*属性价值参考!C$26+基本装备!BB17*属性价值参考!C$27+基本装备!BC17*(属性价值参考!C$28+属性价值参考!C$29))</f>
        <v>50856.800000000003</v>
      </c>
      <c r="Z17" s="9"/>
      <c r="AA17" s="81">
        <f t="shared" si="1"/>
        <v>5250</v>
      </c>
      <c r="AB17" s="81">
        <f t="shared" si="2"/>
        <v>21000</v>
      </c>
      <c r="AC17" s="81">
        <f t="shared" si="3"/>
        <v>700</v>
      </c>
      <c r="AD17" s="81">
        <f t="shared" si="4"/>
        <v>525</v>
      </c>
      <c r="AE17" s="9"/>
      <c r="AF17" s="82">
        <f t="shared" si="5"/>
        <v>175</v>
      </c>
      <c r="AG17" s="82">
        <v>55</v>
      </c>
      <c r="AH17" s="82">
        <v>4</v>
      </c>
      <c r="AI17" s="82">
        <v>6</v>
      </c>
      <c r="AJ17" s="82">
        <v>4</v>
      </c>
      <c r="AK17" s="82">
        <v>24</v>
      </c>
      <c r="AL17" s="82">
        <f t="shared" si="6"/>
        <v>1400</v>
      </c>
      <c r="AM17" s="82">
        <f t="shared" si="7"/>
        <v>5600</v>
      </c>
      <c r="AN17" s="82">
        <f t="shared" si="8"/>
        <v>56</v>
      </c>
      <c r="AO17" s="82">
        <f t="shared" si="9"/>
        <v>147</v>
      </c>
      <c r="AP17" s="82">
        <v>3</v>
      </c>
      <c r="AQ17" s="82">
        <v>3</v>
      </c>
      <c r="AR17" s="82">
        <v>34</v>
      </c>
      <c r="AS17" s="82">
        <f t="shared" si="10"/>
        <v>490</v>
      </c>
      <c r="AT17" s="82">
        <f t="shared" si="11"/>
        <v>1400</v>
      </c>
      <c r="AU17" s="82">
        <f t="shared" si="12"/>
        <v>49.000000000000007</v>
      </c>
      <c r="AV17" s="82">
        <f t="shared" si="13"/>
        <v>42</v>
      </c>
      <c r="AW17" s="82">
        <v>20</v>
      </c>
      <c r="AX17" s="82">
        <f t="shared" si="14"/>
        <v>420</v>
      </c>
      <c r="AY17" s="82">
        <f t="shared" si="15"/>
        <v>1750</v>
      </c>
      <c r="AZ17" s="82">
        <f t="shared" si="16"/>
        <v>52.5</v>
      </c>
      <c r="BA17" s="82">
        <f t="shared" si="17"/>
        <v>42</v>
      </c>
      <c r="BB17" s="89">
        <v>5</v>
      </c>
      <c r="BC17" s="89">
        <v>5</v>
      </c>
      <c r="BE17" s="83">
        <v>15</v>
      </c>
      <c r="BF17" s="83" t="str">
        <f t="shared" si="37"/>
        <v>3#3#87|3#4#175|3#5#87|3#6#175|3#7#87|3#8#175|3#13#55|3#20#4|3#25#6|3#21#4</v>
      </c>
      <c r="BG17" s="83" t="str">
        <f t="shared" si="18"/>
        <v>3#35#2400</v>
      </c>
      <c r="BH17" s="83" t="str">
        <f t="shared" si="38"/>
        <v>3#9#73|3#10#147|3#11#73|3#12#147|3#3#28|3#4#56|3#5#28|3#6#56|3#7#28|3#8#56|0#1#1400|0#2#560|1#1#420|1#2#5600|2#1#840|2#2#4480|3#26#3|3#27#3</v>
      </c>
      <c r="BI17" s="83" t="str">
        <f t="shared" si="19"/>
        <v>3#30#34|3#31#34</v>
      </c>
      <c r="BJ17" s="83" t="str">
        <f t="shared" si="20"/>
        <v>3#9#21|3#10#42|3#11#21|3#12#42|0#1#420|0#2#175|1#1#126|1#2#1750|2#1#252|2#2#1400</v>
      </c>
      <c r="BK17" s="83" t="str">
        <f t="shared" si="21"/>
        <v>3#35#500|3#36#500</v>
      </c>
      <c r="BL17" s="83" t="str">
        <f t="shared" si="22"/>
        <v>3#9#21|3#10#42|3#11#21|3#12#42|0#1#420|0#2#175|1#1#126|1#2#1750|2#1#252|2#2#1400</v>
      </c>
      <c r="BM17" s="83" t="str">
        <f t="shared" si="23"/>
        <v>3#35#500|3#36#500</v>
      </c>
      <c r="BN17" s="83" t="str">
        <f t="shared" si="24"/>
        <v>3#9#21|3#10#42|3#11#21|3#12#42|0#1#420|0#2#175|1#1#126|1#2#1750|2#1#252|2#2#1400</v>
      </c>
      <c r="BO17" s="83" t="str">
        <f t="shared" si="25"/>
        <v>3#35#500|3#37#500</v>
      </c>
      <c r="BP17" s="83" t="str">
        <f t="shared" si="26"/>
        <v>3#9#21|3#10#42|3#11#21|3#12#42|0#1#420|0#2#175|1#1#126|1#2#1750|2#1#252|2#2#1400</v>
      </c>
      <c r="BQ17" s="83" t="str">
        <f t="shared" si="27"/>
        <v>3#35#500|3#37#500</v>
      </c>
      <c r="BR17" s="83" t="str">
        <f t="shared" si="28"/>
        <v>3#9#21|3#10#42|3#11#21|3#12#42|0#1#420|0#2#175|1#1#126|1#2#1750|2#1#252|2#2#1400</v>
      </c>
      <c r="BS17" s="83" t="str">
        <f t="shared" si="29"/>
        <v>3#35#500|3#36#500</v>
      </c>
      <c r="BT17" s="83" t="str">
        <f t="shared" si="30"/>
        <v>3#9#21|3#10#42|3#11#21|3#12#42|0#1#420|0#2#175|1#1#126|1#2#1750|2#1#252|2#2#1400</v>
      </c>
      <c r="BU17" s="83" t="str">
        <f t="shared" si="31"/>
        <v>3#35#500|3#36#500</v>
      </c>
      <c r="BV17" s="83" t="str">
        <f t="shared" si="32"/>
        <v>3#9#21|3#10#42|3#11#21|3#12#42|3#3#24|3#4#49|3#5#24|3#6#49|3#7#24|3#8#49|0#1#490|0#2#140|1#1#147|1#2#1400|2#1#294|2#2#1120</v>
      </c>
      <c r="BW17" s="83" t="str">
        <f t="shared" si="33"/>
        <v>3#30#20|3#31#20</v>
      </c>
      <c r="BY17" s="8" t="s">
        <v>1927</v>
      </c>
      <c r="BZ17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7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7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7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7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7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7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7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7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7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7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7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7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7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7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7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7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7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7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7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7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7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7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7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7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7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7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1:104" x14ac:dyDescent="0.3">
      <c r="A18" s="22" t="s">
        <v>174</v>
      </c>
      <c r="B18" s="22" t="s">
        <v>1332</v>
      </c>
      <c r="C18" s="22" t="s">
        <v>87</v>
      </c>
      <c r="D18" s="23"/>
      <c r="E18" s="22" t="s">
        <v>1369</v>
      </c>
      <c r="F18" s="29">
        <v>1</v>
      </c>
      <c r="G18" s="69">
        <v>35</v>
      </c>
      <c r="H18" s="64"/>
      <c r="I18" s="22" t="s">
        <v>1370</v>
      </c>
      <c r="J18" s="22" t="s">
        <v>216</v>
      </c>
      <c r="K18" s="90">
        <v>16</v>
      </c>
      <c r="L18" s="91">
        <f>INT(56.25/150*L29)</f>
        <v>5625</v>
      </c>
      <c r="M18" s="91">
        <f t="shared" ref="M18:W18" si="50">INT(56.25/150*M29)</f>
        <v>22500</v>
      </c>
      <c r="N18" s="91">
        <f t="shared" si="50"/>
        <v>375</v>
      </c>
      <c r="O18" s="91">
        <f t="shared" si="50"/>
        <v>750</v>
      </c>
      <c r="P18" s="91">
        <f t="shared" si="50"/>
        <v>375</v>
      </c>
      <c r="Q18" s="91">
        <f t="shared" si="50"/>
        <v>750</v>
      </c>
      <c r="R18" s="91">
        <f t="shared" si="50"/>
        <v>375</v>
      </c>
      <c r="S18" s="91">
        <f t="shared" si="50"/>
        <v>750</v>
      </c>
      <c r="T18" s="91">
        <f t="shared" si="50"/>
        <v>281</v>
      </c>
      <c r="U18" s="91">
        <f t="shared" si="50"/>
        <v>562</v>
      </c>
      <c r="V18" s="91">
        <f t="shared" si="50"/>
        <v>281</v>
      </c>
      <c r="W18" s="91">
        <f t="shared" si="50"/>
        <v>562</v>
      </c>
      <c r="X18" s="91">
        <f>L18*属性价值参考!C$5+基本装备!M18*属性价值参考!C$6+基本装备!N18*属性价值参考!C$7+基本装备!O18*属性价值参考!C$8+基本装备!T18*属性价值参考!C$9+基本装备!U18*属性价值参考!C$10+基本装备!V18*属性价值参考!C$11+基本装备!W18*属性价值参考!C$12</f>
        <v>131800.19999999998</v>
      </c>
      <c r="Y18" s="91">
        <f>基本装备!AG18*属性价值参考!C$13+基本装备!AH18*属性价值参考!C$36+基本装备!AI18*属性价值参考!C$19+基本装备!AJ18*属性价值参考!C$15+基本装备!AK18*属性价值参考!C$27+基本装备!AP18*属性价值参考!C$20+基本装备!AQ18*属性价值参考!C$21+基本装备!AR18*属性价值参考!C$26+8*(基本装备!AW18*属性价值参考!C$26+基本装备!BB18*属性价值参考!C$27+基本装备!BC18*(属性价值参考!C$28+属性价值参考!C$29))</f>
        <v>56853.599999999991</v>
      </c>
      <c r="Z18" s="9"/>
      <c r="AA18" s="81">
        <f t="shared" si="1"/>
        <v>5625</v>
      </c>
      <c r="AB18" s="81">
        <f t="shared" si="2"/>
        <v>22500</v>
      </c>
      <c r="AC18" s="81">
        <f t="shared" si="3"/>
        <v>750</v>
      </c>
      <c r="AD18" s="81">
        <f t="shared" si="4"/>
        <v>562</v>
      </c>
      <c r="AE18" s="9"/>
      <c r="AF18" s="82">
        <f t="shared" si="5"/>
        <v>187.5</v>
      </c>
      <c r="AG18" s="82">
        <v>60</v>
      </c>
      <c r="AH18" s="82">
        <v>4</v>
      </c>
      <c r="AI18" s="82">
        <v>7</v>
      </c>
      <c r="AJ18" s="82">
        <v>4</v>
      </c>
      <c r="AK18" s="82">
        <v>26</v>
      </c>
      <c r="AL18" s="82">
        <f t="shared" si="6"/>
        <v>1500</v>
      </c>
      <c r="AM18" s="82">
        <f t="shared" si="7"/>
        <v>6000</v>
      </c>
      <c r="AN18" s="82">
        <f t="shared" si="8"/>
        <v>60</v>
      </c>
      <c r="AO18" s="82">
        <f t="shared" si="9"/>
        <v>157.36000000000001</v>
      </c>
      <c r="AP18" s="82">
        <v>4</v>
      </c>
      <c r="AQ18" s="82">
        <v>4</v>
      </c>
      <c r="AR18" s="82">
        <v>37</v>
      </c>
      <c r="AS18" s="82">
        <f t="shared" si="10"/>
        <v>525</v>
      </c>
      <c r="AT18" s="82">
        <f t="shared" si="11"/>
        <v>1500</v>
      </c>
      <c r="AU18" s="82">
        <f t="shared" si="12"/>
        <v>52.500000000000007</v>
      </c>
      <c r="AV18" s="82">
        <f t="shared" si="13"/>
        <v>44.96</v>
      </c>
      <c r="AW18" s="82">
        <v>22</v>
      </c>
      <c r="AX18" s="82">
        <f t="shared" si="14"/>
        <v>450</v>
      </c>
      <c r="AY18" s="82">
        <f t="shared" si="15"/>
        <v>1875</v>
      </c>
      <c r="AZ18" s="82">
        <f t="shared" si="16"/>
        <v>56.25</v>
      </c>
      <c r="BA18" s="82">
        <f t="shared" si="17"/>
        <v>44.96</v>
      </c>
      <c r="BB18" s="89">
        <v>6</v>
      </c>
      <c r="BC18" s="89">
        <v>6</v>
      </c>
      <c r="BE18" s="83">
        <v>16</v>
      </c>
      <c r="BF18" s="83" t="str">
        <f t="shared" si="37"/>
        <v>3#3#93|3#4#187|3#5#93|3#6#187|3#7#93|3#8#187|3#13#60|3#20#4|3#25#7|3#21#4</v>
      </c>
      <c r="BG18" s="83" t="str">
        <f t="shared" si="18"/>
        <v>3#35#2600</v>
      </c>
      <c r="BH18" s="83" t="str">
        <f t="shared" si="38"/>
        <v>3#9#78|3#10#157|3#11#78|3#12#157|3#3#30|3#4#60|3#5#30|3#6#60|3#7#30|3#8#60|0#1#1500|0#2#600|1#1#450|1#2#6000|2#1#900|2#2#4800|3#26#4|3#27#4</v>
      </c>
      <c r="BI18" s="83" t="str">
        <f t="shared" si="19"/>
        <v>3#30#37|3#31#37</v>
      </c>
      <c r="BJ18" s="83" t="str">
        <f t="shared" si="20"/>
        <v>3#9#22|3#10#44|3#11#22|3#12#44|0#1#450|0#2#187|1#1#135|1#2#1875|2#1#270|2#2#1500</v>
      </c>
      <c r="BK18" s="83" t="str">
        <f t="shared" si="21"/>
        <v>3#35#600|3#36#600</v>
      </c>
      <c r="BL18" s="83" t="str">
        <f t="shared" si="22"/>
        <v>3#9#22|3#10#44|3#11#22|3#12#44|0#1#450|0#2#187|1#1#135|1#2#1875|2#1#270|2#2#1500</v>
      </c>
      <c r="BM18" s="83" t="str">
        <f t="shared" si="23"/>
        <v>3#35#600|3#36#600</v>
      </c>
      <c r="BN18" s="83" t="str">
        <f t="shared" si="24"/>
        <v>3#9#22|3#10#44|3#11#22|3#12#44|0#1#450|0#2#187|1#1#135|1#2#1875|2#1#270|2#2#1500</v>
      </c>
      <c r="BO18" s="83" t="str">
        <f t="shared" si="25"/>
        <v>3#35#600|3#37#600</v>
      </c>
      <c r="BP18" s="83" t="str">
        <f t="shared" si="26"/>
        <v>3#9#22|3#10#44|3#11#22|3#12#44|0#1#450|0#2#187|1#1#135|1#2#1875|2#1#270|2#2#1500</v>
      </c>
      <c r="BQ18" s="83" t="str">
        <f t="shared" si="27"/>
        <v>3#35#600|3#37#600</v>
      </c>
      <c r="BR18" s="83" t="str">
        <f t="shared" si="28"/>
        <v>3#9#22|3#10#44|3#11#22|3#12#44|0#1#450|0#2#187|1#1#135|1#2#1875|2#1#270|2#2#1500</v>
      </c>
      <c r="BS18" s="83" t="str">
        <f t="shared" si="29"/>
        <v>3#35#600|3#36#600</v>
      </c>
      <c r="BT18" s="83" t="str">
        <f t="shared" si="30"/>
        <v>3#9#22|3#10#44|3#11#22|3#12#44|0#1#450|0#2#187|1#1#135|1#2#1875|2#1#270|2#2#1500</v>
      </c>
      <c r="BU18" s="83" t="str">
        <f t="shared" si="31"/>
        <v>3#35#600|3#36#600</v>
      </c>
      <c r="BV18" s="83" t="str">
        <f t="shared" si="32"/>
        <v>3#9#22|3#10#44|3#11#22|3#12#44|3#3#26|3#4#52|3#5#26|3#6#52|3#7#26|3#8#52|0#1#525|0#2#150|1#1#157|1#2#1500|2#1#315|2#2#1200</v>
      </c>
      <c r="BW18" s="83" t="str">
        <f t="shared" si="33"/>
        <v>3#30#22|3#31#22</v>
      </c>
      <c r="BY18" s="8" t="s">
        <v>1917</v>
      </c>
      <c r="BZ18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8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8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8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8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8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8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8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8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8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8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8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8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8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8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8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8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8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8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8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1:104" x14ac:dyDescent="0.3">
      <c r="A19" s="22" t="s">
        <v>174</v>
      </c>
      <c r="B19" s="22" t="s">
        <v>1332</v>
      </c>
      <c r="C19" s="22" t="s">
        <v>93</v>
      </c>
      <c r="D19" s="23"/>
      <c r="E19" s="22" t="s">
        <v>1371</v>
      </c>
      <c r="F19" s="29">
        <v>1</v>
      </c>
      <c r="G19" s="69">
        <v>35</v>
      </c>
      <c r="H19" s="64"/>
      <c r="I19" s="22" t="s">
        <v>1372</v>
      </c>
      <c r="J19" s="22" t="s">
        <v>224</v>
      </c>
      <c r="K19" s="90">
        <v>17</v>
      </c>
      <c r="L19" s="91">
        <f>INT(60/150*L29)</f>
        <v>6000</v>
      </c>
      <c r="M19" s="91">
        <f t="shared" ref="M19:W19" si="51">INT(60/150*M29)</f>
        <v>24000</v>
      </c>
      <c r="N19" s="91">
        <f t="shared" si="51"/>
        <v>400</v>
      </c>
      <c r="O19" s="91">
        <f t="shared" si="51"/>
        <v>800</v>
      </c>
      <c r="P19" s="91">
        <f t="shared" si="51"/>
        <v>400</v>
      </c>
      <c r="Q19" s="91">
        <f t="shared" si="51"/>
        <v>800</v>
      </c>
      <c r="R19" s="91">
        <f t="shared" si="51"/>
        <v>400</v>
      </c>
      <c r="S19" s="91">
        <f t="shared" si="51"/>
        <v>800</v>
      </c>
      <c r="T19" s="91">
        <f t="shared" si="51"/>
        <v>300</v>
      </c>
      <c r="U19" s="91">
        <f t="shared" si="51"/>
        <v>600</v>
      </c>
      <c r="V19" s="91">
        <f t="shared" si="51"/>
        <v>300</v>
      </c>
      <c r="W19" s="91">
        <f t="shared" si="51"/>
        <v>600</v>
      </c>
      <c r="X19" s="91">
        <f>L19*属性价值参考!C$5+基本装备!M19*属性价值参考!C$6+基本装备!N19*属性价值参考!C$7+基本装备!O19*属性价值参考!C$8+基本装备!T19*属性价值参考!C$9+基本装备!U19*属性价值参考!C$10+基本装备!V19*属性价值参考!C$11+基本装备!W19*属性价值参考!C$12</f>
        <v>140616</v>
      </c>
      <c r="Y19" s="91">
        <f>基本装备!AG19*属性价值参考!C$13+基本装备!AH19*属性价值参考!C$36+基本装备!AI19*属性价值参考!C$19+基本装备!AJ19*属性价值参考!C$15+基本装备!AK19*属性价值参考!C$27+基本装备!AP19*属性价值参考!C$20+基本装备!AQ19*属性价值参考!C$21+基本装备!AR19*属性价值参考!C$26+8*(基本装备!AW19*属性价值参考!C$26+基本装备!BB19*属性价值参考!C$27+基本装备!BC19*(属性价值参考!C$28+属性价值参考!C$29))</f>
        <v>59022</v>
      </c>
      <c r="Z19" s="9"/>
      <c r="AA19" s="81">
        <f t="shared" si="1"/>
        <v>6000</v>
      </c>
      <c r="AB19" s="81">
        <f t="shared" si="2"/>
        <v>24000</v>
      </c>
      <c r="AC19" s="81">
        <f t="shared" si="3"/>
        <v>800</v>
      </c>
      <c r="AD19" s="81">
        <f t="shared" si="4"/>
        <v>600</v>
      </c>
      <c r="AE19" s="9"/>
      <c r="AF19" s="82">
        <f t="shared" si="5"/>
        <v>200</v>
      </c>
      <c r="AG19" s="82">
        <v>60</v>
      </c>
      <c r="AH19" s="82">
        <v>4</v>
      </c>
      <c r="AI19" s="82">
        <v>8</v>
      </c>
      <c r="AJ19" s="82">
        <v>5</v>
      </c>
      <c r="AK19" s="82">
        <v>28</v>
      </c>
      <c r="AL19" s="82">
        <f t="shared" si="6"/>
        <v>1600</v>
      </c>
      <c r="AM19" s="82">
        <f t="shared" si="7"/>
        <v>6400</v>
      </c>
      <c r="AN19" s="82">
        <f t="shared" si="8"/>
        <v>64</v>
      </c>
      <c r="AO19" s="82">
        <f t="shared" si="9"/>
        <v>168.00000000000003</v>
      </c>
      <c r="AP19" s="82">
        <v>4</v>
      </c>
      <c r="AQ19" s="82">
        <v>4</v>
      </c>
      <c r="AR19" s="82">
        <v>40</v>
      </c>
      <c r="AS19" s="82">
        <f t="shared" si="10"/>
        <v>560</v>
      </c>
      <c r="AT19" s="82">
        <f t="shared" si="11"/>
        <v>1600</v>
      </c>
      <c r="AU19" s="82">
        <f t="shared" si="12"/>
        <v>56.000000000000007</v>
      </c>
      <c r="AV19" s="82">
        <f t="shared" si="13"/>
        <v>48</v>
      </c>
      <c r="AW19" s="82">
        <v>24</v>
      </c>
      <c r="AX19" s="82">
        <f t="shared" si="14"/>
        <v>480</v>
      </c>
      <c r="AY19" s="82">
        <f t="shared" si="15"/>
        <v>2000</v>
      </c>
      <c r="AZ19" s="82">
        <f t="shared" si="16"/>
        <v>60</v>
      </c>
      <c r="BA19" s="82">
        <f t="shared" si="17"/>
        <v>48</v>
      </c>
      <c r="BB19" s="89">
        <v>6</v>
      </c>
      <c r="BC19" s="89">
        <v>6</v>
      </c>
      <c r="BE19" s="83">
        <v>17</v>
      </c>
      <c r="BF19" s="83" t="str">
        <f t="shared" si="37"/>
        <v>3#3#100|3#4#200|3#5#100|3#6#200|3#7#100|3#8#200|3#13#60|3#20#4|3#25#8|3#21#5</v>
      </c>
      <c r="BG19" s="83" t="str">
        <f t="shared" si="18"/>
        <v>3#35#2800</v>
      </c>
      <c r="BH19" s="83" t="str">
        <f t="shared" si="38"/>
        <v>3#9#84|3#10#168|3#11#84|3#12#168|3#3#32|3#4#64|3#5#32|3#6#64|3#7#32|3#8#64|0#1#1600|0#2#640|1#1#480|1#2#6400|2#1#960|2#2#5120|3#26#4|3#27#4</v>
      </c>
      <c r="BI19" s="83" t="str">
        <f t="shared" si="19"/>
        <v>3#30#40|3#31#40</v>
      </c>
      <c r="BJ19" s="83" t="str">
        <f t="shared" si="20"/>
        <v>3#9#24|3#10#48|3#11#24|3#12#48|0#1#480|0#2#200|1#1#144|1#2#2000|2#1#288|2#2#1600</v>
      </c>
      <c r="BK19" s="83" t="str">
        <f t="shared" si="21"/>
        <v>3#35#600|3#36#600</v>
      </c>
      <c r="BL19" s="83" t="str">
        <f t="shared" si="22"/>
        <v>3#9#24|3#10#48|3#11#24|3#12#48|0#1#480|0#2#200|1#1#144|1#2#2000|2#1#288|2#2#1600</v>
      </c>
      <c r="BM19" s="83" t="str">
        <f t="shared" si="23"/>
        <v>3#35#600|3#36#600</v>
      </c>
      <c r="BN19" s="83" t="str">
        <f t="shared" si="24"/>
        <v>3#9#24|3#10#48|3#11#24|3#12#48|0#1#480|0#2#200|1#1#144|1#2#2000|2#1#288|2#2#1600</v>
      </c>
      <c r="BO19" s="83" t="str">
        <f t="shared" si="25"/>
        <v>3#35#600|3#37#600</v>
      </c>
      <c r="BP19" s="83" t="str">
        <f t="shared" si="26"/>
        <v>3#9#24|3#10#48|3#11#24|3#12#48|0#1#480|0#2#200|1#1#144|1#2#2000|2#1#288|2#2#1600</v>
      </c>
      <c r="BQ19" s="83" t="str">
        <f t="shared" si="27"/>
        <v>3#35#600|3#37#600</v>
      </c>
      <c r="BR19" s="83" t="str">
        <f t="shared" si="28"/>
        <v>3#9#24|3#10#48|3#11#24|3#12#48|0#1#480|0#2#200|1#1#144|1#2#2000|2#1#288|2#2#1600</v>
      </c>
      <c r="BS19" s="83" t="str">
        <f t="shared" si="29"/>
        <v>3#35#600|3#36#600</v>
      </c>
      <c r="BT19" s="83" t="str">
        <f t="shared" si="30"/>
        <v>3#9#24|3#10#48|3#11#24|3#12#48|0#1#480|0#2#200|1#1#144|1#2#2000|2#1#288|2#2#1600</v>
      </c>
      <c r="BU19" s="83" t="str">
        <f t="shared" si="31"/>
        <v>3#35#600|3#36#600</v>
      </c>
      <c r="BV19" s="83" t="str">
        <f t="shared" si="32"/>
        <v>3#9#24|3#10#48|3#11#24|3#12#48|3#3#28|3#4#56|3#5#28|3#6#56|3#7#28|3#8#56|0#1#560|0#2#160|1#1#168|1#2#1600|2#1#336|2#2#1280</v>
      </c>
      <c r="BW19" s="83" t="str">
        <f t="shared" si="33"/>
        <v>3#30#24|3#31#24</v>
      </c>
      <c r="BY19" s="8" t="s">
        <v>1918</v>
      </c>
      <c r="BZ19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9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9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9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9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9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9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9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9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9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9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9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9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9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9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9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9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9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9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9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1:104" x14ac:dyDescent="0.3">
      <c r="A20" s="22" t="s">
        <v>174</v>
      </c>
      <c r="B20" s="22" t="s">
        <v>1332</v>
      </c>
      <c r="C20" s="22" t="s">
        <v>90</v>
      </c>
      <c r="D20" s="23"/>
      <c r="E20" s="22" t="s">
        <v>1373</v>
      </c>
      <c r="F20" s="29">
        <v>1</v>
      </c>
      <c r="G20" s="69">
        <v>35</v>
      </c>
      <c r="H20" s="64"/>
      <c r="I20" s="22" t="s">
        <v>1374</v>
      </c>
      <c r="J20" s="22" t="s">
        <v>220</v>
      </c>
      <c r="K20" s="90">
        <v>18</v>
      </c>
      <c r="L20" s="91">
        <f>INT(66/150*L29)</f>
        <v>6600</v>
      </c>
      <c r="M20" s="91">
        <f t="shared" ref="M20:W20" si="52">INT(66/150*M29)</f>
        <v>26400</v>
      </c>
      <c r="N20" s="91">
        <f t="shared" si="52"/>
        <v>440</v>
      </c>
      <c r="O20" s="91">
        <f t="shared" si="52"/>
        <v>880</v>
      </c>
      <c r="P20" s="91">
        <f t="shared" si="52"/>
        <v>440</v>
      </c>
      <c r="Q20" s="91">
        <f t="shared" si="52"/>
        <v>880</v>
      </c>
      <c r="R20" s="91">
        <f t="shared" si="52"/>
        <v>440</v>
      </c>
      <c r="S20" s="91">
        <f t="shared" si="52"/>
        <v>880</v>
      </c>
      <c r="T20" s="91">
        <f t="shared" si="52"/>
        <v>330</v>
      </c>
      <c r="U20" s="91">
        <f t="shared" si="52"/>
        <v>660</v>
      </c>
      <c r="V20" s="91">
        <f t="shared" si="52"/>
        <v>330</v>
      </c>
      <c r="W20" s="91">
        <f t="shared" si="52"/>
        <v>660</v>
      </c>
      <c r="X20" s="91">
        <f>L20*属性价值参考!C$5+基本装备!M20*属性价值参考!C$6+基本装备!N20*属性价值参考!C$7+基本装备!O20*属性价值参考!C$8+基本装备!T20*属性价值参考!C$9+基本装备!U20*属性价值参考!C$10+基本装备!V20*属性价值参考!C$11+基本装备!W20*属性价值参考!C$12</f>
        <v>154677.59999999998</v>
      </c>
      <c r="Y20" s="91">
        <f>基本装备!AG20*属性价值参考!C$13+基本装备!AH20*属性价值参考!C$36+基本装备!AI20*属性价值参考!C$19+基本装备!AJ20*属性价值参考!C$15+基本装备!AK20*属性价值参考!C$27+基本装备!AP20*属性价值参考!C$20+基本装备!AQ20*属性价值参考!C$21+基本装备!AR20*属性价值参考!C$26+8*(基本装备!AW20*属性价值参考!C$26+基本装备!BB20*属性价值参考!C$27+基本装备!BC20*(属性价值参考!C$28+属性价值参考!C$29))</f>
        <v>63334</v>
      </c>
      <c r="Z20" s="9"/>
      <c r="AA20" s="81">
        <f t="shared" si="1"/>
        <v>6600</v>
      </c>
      <c r="AB20" s="81">
        <f t="shared" si="2"/>
        <v>26400</v>
      </c>
      <c r="AC20" s="81">
        <f t="shared" si="3"/>
        <v>880</v>
      </c>
      <c r="AD20" s="81">
        <f t="shared" si="4"/>
        <v>660</v>
      </c>
      <c r="AE20" s="9"/>
      <c r="AF20" s="82">
        <f t="shared" si="5"/>
        <v>220</v>
      </c>
      <c r="AG20" s="82">
        <v>65</v>
      </c>
      <c r="AH20" s="82">
        <v>4</v>
      </c>
      <c r="AI20" s="82">
        <v>9</v>
      </c>
      <c r="AJ20" s="82">
        <v>5</v>
      </c>
      <c r="AK20" s="82">
        <v>30</v>
      </c>
      <c r="AL20" s="82">
        <f t="shared" si="6"/>
        <v>1760</v>
      </c>
      <c r="AM20" s="82">
        <f t="shared" si="7"/>
        <v>7040</v>
      </c>
      <c r="AN20" s="82">
        <f t="shared" si="8"/>
        <v>70.400000000000006</v>
      </c>
      <c r="AO20" s="82">
        <f t="shared" si="9"/>
        <v>184.8</v>
      </c>
      <c r="AP20" s="82">
        <v>4</v>
      </c>
      <c r="AQ20" s="82">
        <v>4</v>
      </c>
      <c r="AR20" s="82">
        <v>45</v>
      </c>
      <c r="AS20" s="82">
        <f t="shared" si="10"/>
        <v>616</v>
      </c>
      <c r="AT20" s="82">
        <f t="shared" si="11"/>
        <v>1760</v>
      </c>
      <c r="AU20" s="82">
        <f t="shared" si="12"/>
        <v>61.600000000000009</v>
      </c>
      <c r="AV20" s="82">
        <f t="shared" si="13"/>
        <v>52.800000000000004</v>
      </c>
      <c r="AW20" s="82">
        <v>26</v>
      </c>
      <c r="AX20" s="82">
        <f t="shared" si="14"/>
        <v>528</v>
      </c>
      <c r="AY20" s="82">
        <f t="shared" si="15"/>
        <v>2200</v>
      </c>
      <c r="AZ20" s="82">
        <f t="shared" si="16"/>
        <v>66</v>
      </c>
      <c r="BA20" s="82">
        <f t="shared" si="17"/>
        <v>52.800000000000004</v>
      </c>
      <c r="BB20" s="89">
        <v>7</v>
      </c>
      <c r="BC20" s="89">
        <v>6</v>
      </c>
      <c r="BE20" s="83">
        <v>18</v>
      </c>
      <c r="BF20" s="83" t="str">
        <f t="shared" si="37"/>
        <v>3#3#110|3#4#220|3#5#110|3#6#220|3#7#110|3#8#220|3#13#65|3#20#4|3#25#9|3#21#5</v>
      </c>
      <c r="BG20" s="83" t="str">
        <f t="shared" si="18"/>
        <v>3#35#3000</v>
      </c>
      <c r="BH20" s="83" t="str">
        <f t="shared" si="38"/>
        <v>3#9#92|3#10#184|3#11#92|3#12#184|3#3#35|3#4#70|3#5#35|3#6#70|3#7#35|3#8#70|0#1#1760|0#2#704|1#1#528|1#2#7040|2#1#1056|2#2#5632|3#26#4|3#27#4</v>
      </c>
      <c r="BI20" s="83" t="str">
        <f t="shared" si="19"/>
        <v>3#30#45|3#31#45</v>
      </c>
      <c r="BJ20" s="83" t="str">
        <f t="shared" si="20"/>
        <v>3#9#26|3#10#52|3#11#26|3#12#52|0#1#528|0#2#220|1#1#158|1#2#2200|2#1#316|2#2#1760</v>
      </c>
      <c r="BK20" s="83" t="str">
        <f t="shared" si="21"/>
        <v>3#35#700|3#36#600</v>
      </c>
      <c r="BL20" s="83" t="str">
        <f t="shared" si="22"/>
        <v>3#9#26|3#10#52|3#11#26|3#12#52|0#1#528|0#2#220|1#1#158|1#2#2200|2#1#316|2#2#1760</v>
      </c>
      <c r="BM20" s="83" t="str">
        <f t="shared" si="23"/>
        <v>3#35#700|3#36#600</v>
      </c>
      <c r="BN20" s="83" t="str">
        <f t="shared" si="24"/>
        <v>3#9#26|3#10#52|3#11#26|3#12#52|0#1#528|0#2#220|1#1#158|1#2#2200|2#1#316|2#2#1760</v>
      </c>
      <c r="BO20" s="83" t="str">
        <f t="shared" si="25"/>
        <v>3#35#700|3#37#600</v>
      </c>
      <c r="BP20" s="83" t="str">
        <f t="shared" si="26"/>
        <v>3#9#26|3#10#52|3#11#26|3#12#52|0#1#528|0#2#220|1#1#158|1#2#2200|2#1#316|2#2#1760</v>
      </c>
      <c r="BQ20" s="83" t="str">
        <f t="shared" si="27"/>
        <v>3#35#700|3#37#600</v>
      </c>
      <c r="BR20" s="83" t="str">
        <f t="shared" si="28"/>
        <v>3#9#26|3#10#52|3#11#26|3#12#52|0#1#528|0#2#220|1#1#158|1#2#2200|2#1#316|2#2#1760</v>
      </c>
      <c r="BS20" s="83" t="str">
        <f t="shared" si="29"/>
        <v>3#35#700|3#36#600</v>
      </c>
      <c r="BT20" s="83" t="str">
        <f t="shared" si="30"/>
        <v>3#9#26|3#10#52|3#11#26|3#12#52|0#1#528|0#2#220|1#1#158|1#2#2200|2#1#316|2#2#1760</v>
      </c>
      <c r="BU20" s="83" t="str">
        <f t="shared" si="31"/>
        <v>3#35#700|3#36#600</v>
      </c>
      <c r="BV20" s="83" t="str">
        <f t="shared" si="32"/>
        <v>3#9#26|3#10#52|3#11#26|3#12#52|3#3#30|3#4#61|3#5#30|3#6#61|3#7#30|3#8#61|0#1#616|0#2#176|1#1#184|1#2#1760|2#1#369|2#2#1408</v>
      </c>
      <c r="BW20" s="83" t="str">
        <f t="shared" si="33"/>
        <v>3#30#26|3#31#26</v>
      </c>
      <c r="BY20" s="8" t="s">
        <v>1919</v>
      </c>
      <c r="BZ20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0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0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0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0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0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0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0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0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0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0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0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0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0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0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0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0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0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0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0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1:104" x14ac:dyDescent="0.3">
      <c r="A21" s="22" t="s">
        <v>174</v>
      </c>
      <c r="B21" s="22" t="s">
        <v>1498</v>
      </c>
      <c r="C21" s="22" t="s">
        <v>176</v>
      </c>
      <c r="D21" s="23"/>
      <c r="E21" s="22" t="s">
        <v>1501</v>
      </c>
      <c r="F21" s="29">
        <v>1</v>
      </c>
      <c r="G21" s="22">
        <v>35</v>
      </c>
      <c r="H21" s="64"/>
      <c r="I21" s="22" t="s">
        <v>1502</v>
      </c>
      <c r="J21" s="22" t="s">
        <v>1503</v>
      </c>
      <c r="K21" s="90">
        <v>19</v>
      </c>
      <c r="L21" s="91">
        <f>INT(72/150*L29)</f>
        <v>7200</v>
      </c>
      <c r="M21" s="91">
        <f t="shared" ref="M21:W21" si="53">INT(72/150*M29)</f>
        <v>28800</v>
      </c>
      <c r="N21" s="91">
        <f t="shared" si="53"/>
        <v>480</v>
      </c>
      <c r="O21" s="91">
        <f t="shared" si="53"/>
        <v>960</v>
      </c>
      <c r="P21" s="91">
        <f t="shared" si="53"/>
        <v>480</v>
      </c>
      <c r="Q21" s="91">
        <f t="shared" si="53"/>
        <v>960</v>
      </c>
      <c r="R21" s="91">
        <f t="shared" si="53"/>
        <v>480</v>
      </c>
      <c r="S21" s="91">
        <f t="shared" si="53"/>
        <v>960</v>
      </c>
      <c r="T21" s="91">
        <f t="shared" si="53"/>
        <v>360</v>
      </c>
      <c r="U21" s="91">
        <f t="shared" si="53"/>
        <v>720</v>
      </c>
      <c r="V21" s="91">
        <f t="shared" si="53"/>
        <v>360</v>
      </c>
      <c r="W21" s="91">
        <f t="shared" si="53"/>
        <v>720</v>
      </c>
      <c r="X21" s="91">
        <f>L21*属性价值参考!C$5+基本装备!M21*属性价值参考!C$6+基本装备!N21*属性价值参考!C$7+基本装备!O21*属性价值参考!C$8+基本装备!T21*属性价值参考!C$9+基本装备!U21*属性价值参考!C$10+基本装备!V21*属性价值参考!C$11+基本装备!W21*属性价值参考!C$12</f>
        <v>168739.20000000001</v>
      </c>
      <c r="Y21" s="91">
        <f>基本装备!AG21*属性价值参考!C$13+基本装备!AH21*属性价值参考!C$36+基本装备!AI21*属性价值参考!C$19+基本装备!AJ21*属性价值参考!C$15+基本装备!AK21*属性价值参考!C$27+基本装备!AP21*属性价值参考!C$20+基本装备!AQ21*属性价值参考!C$21+基本装备!AR21*属性价值参考!C$26+8*(基本装备!AW21*属性价值参考!C$26+基本装备!BB21*属性价值参考!C$27+基本装备!BC21*(属性价值参考!C$28+属性价值参考!C$29))</f>
        <v>71693.600000000006</v>
      </c>
      <c r="Z21" s="9"/>
      <c r="AA21" s="81">
        <f t="shared" si="1"/>
        <v>7200</v>
      </c>
      <c r="AB21" s="81">
        <f t="shared" si="2"/>
        <v>28800</v>
      </c>
      <c r="AC21" s="81">
        <f t="shared" si="3"/>
        <v>960</v>
      </c>
      <c r="AD21" s="81">
        <f t="shared" si="4"/>
        <v>720</v>
      </c>
      <c r="AE21" s="9"/>
      <c r="AF21" s="82">
        <f t="shared" si="5"/>
        <v>240</v>
      </c>
      <c r="AG21" s="82">
        <v>70</v>
      </c>
      <c r="AH21" s="82">
        <v>5</v>
      </c>
      <c r="AI21" s="82">
        <v>10</v>
      </c>
      <c r="AJ21" s="82">
        <v>6</v>
      </c>
      <c r="AK21" s="82">
        <v>32</v>
      </c>
      <c r="AL21" s="82">
        <f t="shared" si="6"/>
        <v>1920</v>
      </c>
      <c r="AM21" s="82">
        <f t="shared" si="7"/>
        <v>7680</v>
      </c>
      <c r="AN21" s="82">
        <f t="shared" si="8"/>
        <v>76.8</v>
      </c>
      <c r="AO21" s="82">
        <f t="shared" si="9"/>
        <v>201.60000000000002</v>
      </c>
      <c r="AP21" s="82">
        <v>4</v>
      </c>
      <c r="AQ21" s="82">
        <v>4</v>
      </c>
      <c r="AR21" s="82">
        <v>50</v>
      </c>
      <c r="AS21" s="82">
        <f t="shared" si="10"/>
        <v>672</v>
      </c>
      <c r="AT21" s="82">
        <f t="shared" si="11"/>
        <v>1920</v>
      </c>
      <c r="AU21" s="82">
        <f t="shared" si="12"/>
        <v>67.2</v>
      </c>
      <c r="AV21" s="82">
        <f t="shared" si="13"/>
        <v>57.6</v>
      </c>
      <c r="AW21" s="82">
        <v>28</v>
      </c>
      <c r="AX21" s="82">
        <f t="shared" si="14"/>
        <v>576</v>
      </c>
      <c r="AY21" s="82">
        <f t="shared" si="15"/>
        <v>2400</v>
      </c>
      <c r="AZ21" s="82">
        <f t="shared" si="16"/>
        <v>72</v>
      </c>
      <c r="BA21" s="82">
        <f t="shared" si="17"/>
        <v>57.6</v>
      </c>
      <c r="BB21" s="89">
        <v>8</v>
      </c>
      <c r="BC21" s="89">
        <v>7</v>
      </c>
      <c r="BE21" s="83">
        <v>19</v>
      </c>
      <c r="BF21" s="83" t="str">
        <f t="shared" si="37"/>
        <v>3#3#120|3#4#240|3#5#120|3#6#240|3#7#120|3#8#240|3#13#70|3#20#5|3#25#10|3#21#6</v>
      </c>
      <c r="BG21" s="83" t="str">
        <f t="shared" si="18"/>
        <v>3#35#3200</v>
      </c>
      <c r="BH21" s="83" t="str">
        <f t="shared" si="38"/>
        <v>3#9#100|3#10#201|3#11#100|3#12#201|3#3#38|3#4#76|3#5#38|3#6#76|3#7#38|3#8#76|0#1#1920|0#2#768|1#1#576|1#2#7680|2#1#1152|2#2#6144|3#26#4|3#27#4</v>
      </c>
      <c r="BI21" s="83" t="str">
        <f t="shared" si="19"/>
        <v>3#30#50|3#31#50</v>
      </c>
      <c r="BJ21" s="83" t="str">
        <f t="shared" si="20"/>
        <v>3#9#28|3#10#57|3#11#28|3#12#57|0#1#576|0#2#240|1#1#172|1#2#2400|2#1#345|2#2#1920</v>
      </c>
      <c r="BK21" s="83" t="str">
        <f t="shared" si="21"/>
        <v>3#35#800|3#36#700</v>
      </c>
      <c r="BL21" s="83" t="str">
        <f t="shared" si="22"/>
        <v>3#9#28|3#10#57|3#11#28|3#12#57|0#1#576|0#2#240|1#1#172|1#2#2400|2#1#345|2#2#1920</v>
      </c>
      <c r="BM21" s="83" t="str">
        <f t="shared" si="23"/>
        <v>3#35#800|3#36#700</v>
      </c>
      <c r="BN21" s="83" t="str">
        <f t="shared" si="24"/>
        <v>3#9#28|3#10#57|3#11#28|3#12#57|0#1#576|0#2#240|1#1#172|1#2#2400|2#1#345|2#2#1920</v>
      </c>
      <c r="BO21" s="83" t="str">
        <f t="shared" si="25"/>
        <v>3#35#800|3#37#700</v>
      </c>
      <c r="BP21" s="83" t="str">
        <f t="shared" si="26"/>
        <v>3#9#28|3#10#57|3#11#28|3#12#57|0#1#576|0#2#240|1#1#172|1#2#2400|2#1#345|2#2#1920</v>
      </c>
      <c r="BQ21" s="83" t="str">
        <f t="shared" si="27"/>
        <v>3#35#800|3#37#700</v>
      </c>
      <c r="BR21" s="83" t="str">
        <f t="shared" si="28"/>
        <v>3#9#28|3#10#57|3#11#28|3#12#57|0#1#576|0#2#240|1#1#172|1#2#2400|2#1#345|2#2#1920</v>
      </c>
      <c r="BS21" s="83" t="str">
        <f t="shared" si="29"/>
        <v>3#35#800|3#36#700</v>
      </c>
      <c r="BT21" s="83" t="str">
        <f t="shared" si="30"/>
        <v>3#9#28|3#10#57|3#11#28|3#12#57|0#1#576|0#2#240|1#1#172|1#2#2400|2#1#345|2#2#1920</v>
      </c>
      <c r="BU21" s="83" t="str">
        <f t="shared" si="31"/>
        <v>3#35#800|3#36#700</v>
      </c>
      <c r="BV21" s="83" t="str">
        <f t="shared" si="32"/>
        <v>3#9#28|3#10#57|3#11#28|3#12#57|3#3#33|3#4#67|3#5#33|3#6#67|3#7#33|3#8#67|0#1#672|0#2#192|1#1#201|1#2#1920|2#1#403|2#2#1536</v>
      </c>
      <c r="BW21" s="83" t="str">
        <f t="shared" si="33"/>
        <v>3#30#28|3#31#28</v>
      </c>
      <c r="BY21" s="8" t="s">
        <v>1920</v>
      </c>
      <c r="BZ21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1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1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1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1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1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1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1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1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1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1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1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1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1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1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1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1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1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1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1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1:104" x14ac:dyDescent="0.3">
      <c r="A22" s="22" t="s">
        <v>174</v>
      </c>
      <c r="B22" s="22" t="s">
        <v>1617</v>
      </c>
      <c r="C22" s="22" t="s">
        <v>87</v>
      </c>
      <c r="D22" s="23"/>
      <c r="E22" s="22" t="s">
        <v>1618</v>
      </c>
      <c r="F22" s="29">
        <v>1</v>
      </c>
      <c r="G22" s="69">
        <v>35</v>
      </c>
      <c r="H22" s="64"/>
      <c r="I22" s="22" t="s">
        <v>1619</v>
      </c>
      <c r="J22" s="22" t="s">
        <v>772</v>
      </c>
      <c r="K22" s="90">
        <v>20</v>
      </c>
      <c r="L22" s="91">
        <f>INT(79.5/150*L29)</f>
        <v>7950</v>
      </c>
      <c r="M22" s="91">
        <f t="shared" ref="M22:W22" si="54">INT(79.5/150*M29)</f>
        <v>31800</v>
      </c>
      <c r="N22" s="91">
        <f t="shared" si="54"/>
        <v>530</v>
      </c>
      <c r="O22" s="91">
        <f t="shared" si="54"/>
        <v>1060</v>
      </c>
      <c r="P22" s="91">
        <f t="shared" si="54"/>
        <v>530</v>
      </c>
      <c r="Q22" s="91">
        <f t="shared" si="54"/>
        <v>1060</v>
      </c>
      <c r="R22" s="91">
        <f t="shared" si="54"/>
        <v>530</v>
      </c>
      <c r="S22" s="91">
        <f t="shared" si="54"/>
        <v>1060</v>
      </c>
      <c r="T22" s="91">
        <f t="shared" si="54"/>
        <v>397</v>
      </c>
      <c r="U22" s="91">
        <f t="shared" si="54"/>
        <v>795</v>
      </c>
      <c r="V22" s="91">
        <f t="shared" si="54"/>
        <v>397</v>
      </c>
      <c r="W22" s="91">
        <f t="shared" si="54"/>
        <v>795</v>
      </c>
      <c r="X22" s="91">
        <f>L22*属性价值参考!C$5+基本装备!M22*属性价值参考!C$6+基本装备!N22*属性价值参考!C$7+基本装备!O22*属性价值参考!C$8+基本装备!T22*属性价值参考!C$9+基本装备!U22*属性价值参考!C$10+基本装备!V22*属性价值参考!C$11+基本装备!W22*属性价值参考!C$12</f>
        <v>186302.4</v>
      </c>
      <c r="Y22" s="91">
        <f>基本装备!AG22*属性价值参考!C$13+基本装备!AH22*属性价值参考!C$36+基本装备!AI22*属性价值参考!C$19+基本装备!AJ22*属性价值参考!C$15+基本装备!AK22*属性价值参考!C$27+基本装备!AP22*属性价值参考!C$20+基本装备!AQ22*属性价值参考!C$21+基本装备!AR22*属性价值参考!C$26+8*(基本装备!AW22*属性价值参考!C$26+基本装备!BB22*属性价值参考!C$27+基本装备!BC22*(属性价值参考!C$28+属性价值参考!C$29))</f>
        <v>76424</v>
      </c>
      <c r="Z22" s="9"/>
      <c r="AA22" s="81">
        <f t="shared" si="1"/>
        <v>7950</v>
      </c>
      <c r="AB22" s="81">
        <f t="shared" si="2"/>
        <v>31800</v>
      </c>
      <c r="AC22" s="81">
        <f t="shared" si="3"/>
        <v>1060</v>
      </c>
      <c r="AD22" s="81">
        <f t="shared" si="4"/>
        <v>795</v>
      </c>
      <c r="AE22" s="9"/>
      <c r="AF22" s="82">
        <f t="shared" si="5"/>
        <v>265</v>
      </c>
      <c r="AG22" s="82">
        <v>70</v>
      </c>
      <c r="AH22" s="82">
        <v>5</v>
      </c>
      <c r="AI22" s="82">
        <v>11</v>
      </c>
      <c r="AJ22" s="82">
        <v>6</v>
      </c>
      <c r="AK22" s="82">
        <v>34</v>
      </c>
      <c r="AL22" s="82">
        <f t="shared" si="6"/>
        <v>2120</v>
      </c>
      <c r="AM22" s="82">
        <f t="shared" si="7"/>
        <v>8480</v>
      </c>
      <c r="AN22" s="82">
        <f t="shared" si="8"/>
        <v>84.8</v>
      </c>
      <c r="AO22" s="82">
        <f t="shared" si="9"/>
        <v>222.60000000000002</v>
      </c>
      <c r="AP22" s="82">
        <v>5</v>
      </c>
      <c r="AQ22" s="82">
        <v>5</v>
      </c>
      <c r="AR22" s="82">
        <v>55</v>
      </c>
      <c r="AS22" s="82">
        <f t="shared" si="10"/>
        <v>742</v>
      </c>
      <c r="AT22" s="82">
        <f t="shared" si="11"/>
        <v>2120</v>
      </c>
      <c r="AU22" s="82">
        <f t="shared" si="12"/>
        <v>74.2</v>
      </c>
      <c r="AV22" s="82">
        <f t="shared" si="13"/>
        <v>63.6</v>
      </c>
      <c r="AW22" s="82">
        <v>30</v>
      </c>
      <c r="AX22" s="82">
        <f t="shared" si="14"/>
        <v>636</v>
      </c>
      <c r="AY22" s="82">
        <f t="shared" si="15"/>
        <v>2650</v>
      </c>
      <c r="AZ22" s="82">
        <f t="shared" si="16"/>
        <v>79.5</v>
      </c>
      <c r="BA22" s="82">
        <f t="shared" si="17"/>
        <v>63.6</v>
      </c>
      <c r="BB22" s="89">
        <v>9</v>
      </c>
      <c r="BC22" s="89">
        <v>7</v>
      </c>
      <c r="BE22" s="83">
        <v>20</v>
      </c>
      <c r="BF22" s="83" t="str">
        <f t="shared" si="37"/>
        <v>3#3#132|3#4#265|3#5#132|3#6#265|3#7#132|3#8#265|3#13#70|3#20#5|3#25#11|3#21#6</v>
      </c>
      <c r="BG22" s="83" t="str">
        <f t="shared" si="18"/>
        <v>3#35#3400</v>
      </c>
      <c r="BH22" s="83" t="str">
        <f t="shared" si="38"/>
        <v>3#9#111|3#10#222|3#11#111|3#12#222|3#3#42|3#4#84|3#5#42|3#6#84|3#7#42|3#8#84|0#1#2120|0#2#848|1#1#636|1#2#8480|2#1#1272|2#2#6784|3#26#5|3#27#5</v>
      </c>
      <c r="BI22" s="83" t="str">
        <f t="shared" si="19"/>
        <v>3#30#55|3#31#55</v>
      </c>
      <c r="BJ22" s="83" t="str">
        <f t="shared" si="20"/>
        <v>3#9#31|3#10#63|3#11#31|3#12#63|0#1#636|0#2#265|1#1#190|1#2#2650|2#1#381|2#2#2120</v>
      </c>
      <c r="BK22" s="83" t="str">
        <f t="shared" si="21"/>
        <v>3#35#900|3#36#700</v>
      </c>
      <c r="BL22" s="83" t="str">
        <f t="shared" si="22"/>
        <v>3#9#31|3#10#63|3#11#31|3#12#63|0#1#636|0#2#265|1#1#190|1#2#2650|2#1#381|2#2#2120</v>
      </c>
      <c r="BM22" s="83" t="str">
        <f t="shared" si="23"/>
        <v>3#35#900|3#36#700</v>
      </c>
      <c r="BN22" s="83" t="str">
        <f t="shared" si="24"/>
        <v>3#9#31|3#10#63|3#11#31|3#12#63|0#1#636|0#2#265|1#1#190|1#2#2650|2#1#381|2#2#2120</v>
      </c>
      <c r="BO22" s="83" t="str">
        <f t="shared" si="25"/>
        <v>3#35#900|3#37#700</v>
      </c>
      <c r="BP22" s="83" t="str">
        <f t="shared" si="26"/>
        <v>3#9#31|3#10#63|3#11#31|3#12#63|0#1#636|0#2#265|1#1#190|1#2#2650|2#1#381|2#2#2120</v>
      </c>
      <c r="BQ22" s="83" t="str">
        <f t="shared" si="27"/>
        <v>3#35#900|3#37#700</v>
      </c>
      <c r="BR22" s="83" t="str">
        <f t="shared" si="28"/>
        <v>3#9#31|3#10#63|3#11#31|3#12#63|0#1#636|0#2#265|1#1#190|1#2#2650|2#1#381|2#2#2120</v>
      </c>
      <c r="BS22" s="83" t="str">
        <f t="shared" si="29"/>
        <v>3#35#900|3#36#700</v>
      </c>
      <c r="BT22" s="83" t="str">
        <f t="shared" si="30"/>
        <v>3#9#31|3#10#63|3#11#31|3#12#63|0#1#636|0#2#265|1#1#190|1#2#2650|2#1#381|2#2#2120</v>
      </c>
      <c r="BU22" s="83" t="str">
        <f t="shared" si="31"/>
        <v>3#35#900|3#36#700</v>
      </c>
      <c r="BV22" s="83" t="str">
        <f t="shared" si="32"/>
        <v>3#9#31|3#10#63|3#11#31|3#12#63|3#3#37|3#4#74|3#5#37|3#6#74|3#7#37|3#8#74|0#1#742|0#2#212|1#1#222|1#2#2120|2#1#445|2#2#1696</v>
      </c>
      <c r="BW22" s="83" t="str">
        <f t="shared" si="33"/>
        <v>3#30#30|3#31#30</v>
      </c>
      <c r="BY22" s="8" t="s">
        <v>1921</v>
      </c>
      <c r="BZ22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2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2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2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2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2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2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2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2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2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2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2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2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2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2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2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2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2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2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2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1:104" x14ac:dyDescent="0.3">
      <c r="A23" s="22" t="s">
        <v>174</v>
      </c>
      <c r="B23" s="22" t="s">
        <v>1617</v>
      </c>
      <c r="C23" s="22" t="s">
        <v>93</v>
      </c>
      <c r="D23" s="23"/>
      <c r="E23" s="22" t="s">
        <v>1620</v>
      </c>
      <c r="F23" s="29">
        <v>1</v>
      </c>
      <c r="G23" s="69">
        <v>35</v>
      </c>
      <c r="H23" s="64"/>
      <c r="I23" s="22" t="s">
        <v>1621</v>
      </c>
      <c r="J23" s="22" t="s">
        <v>772</v>
      </c>
      <c r="K23" s="90">
        <v>21</v>
      </c>
      <c r="L23" s="91">
        <f>INT(87/150*L29)</f>
        <v>8700</v>
      </c>
      <c r="M23" s="91">
        <f t="shared" ref="M23:W23" si="55">INT(87/150*M29)</f>
        <v>34800</v>
      </c>
      <c r="N23" s="91">
        <f t="shared" si="55"/>
        <v>580</v>
      </c>
      <c r="O23" s="91">
        <f t="shared" si="55"/>
        <v>1160</v>
      </c>
      <c r="P23" s="91">
        <f t="shared" si="55"/>
        <v>580</v>
      </c>
      <c r="Q23" s="91">
        <f t="shared" si="55"/>
        <v>1160</v>
      </c>
      <c r="R23" s="91">
        <f t="shared" si="55"/>
        <v>580</v>
      </c>
      <c r="S23" s="91">
        <f t="shared" si="55"/>
        <v>1160</v>
      </c>
      <c r="T23" s="91">
        <f t="shared" si="55"/>
        <v>435</v>
      </c>
      <c r="U23" s="91">
        <f t="shared" si="55"/>
        <v>870</v>
      </c>
      <c r="V23" s="91">
        <f t="shared" si="55"/>
        <v>435</v>
      </c>
      <c r="W23" s="91">
        <f t="shared" si="55"/>
        <v>870</v>
      </c>
      <c r="X23" s="91">
        <f>L23*属性价值参考!C$5+基本装备!M23*属性价值参考!C$6+基本装备!N23*属性价值参考!C$7+基本装备!O23*属性价值参考!C$8+基本装备!T23*属性价值参考!C$9+基本装备!U23*属性价值参考!C$10+基本装备!V23*属性价值参考!C$11+基本装备!W23*属性价值参考!C$12</f>
        <v>203893.2</v>
      </c>
      <c r="Y23" s="91">
        <f>基本装备!AG23*属性价值参考!C$13+基本装备!AH23*属性价值参考!C$36+基本装备!AI23*属性价值参考!C$19+基本装备!AJ23*属性价值参考!C$15+基本装备!AK23*属性价值参考!C$27+基本装备!AP23*属性价值参考!C$20+基本装备!AQ23*属性价值参考!C$21+基本装备!AR23*属性价值参考!C$26+8*(基本装备!AW23*属性价值参考!C$26+基本装备!BB23*属性价值参考!C$27+基本装备!BC23*(属性价值参考!C$28+属性价值参考!C$29))</f>
        <v>80795.600000000006</v>
      </c>
      <c r="Z23" s="9"/>
      <c r="AA23" s="81">
        <f t="shared" si="1"/>
        <v>8700</v>
      </c>
      <c r="AB23" s="81">
        <f t="shared" si="2"/>
        <v>34800</v>
      </c>
      <c r="AC23" s="81">
        <f t="shared" si="3"/>
        <v>1160</v>
      </c>
      <c r="AD23" s="81">
        <f t="shared" si="4"/>
        <v>870.00000000000011</v>
      </c>
      <c r="AE23" s="9"/>
      <c r="AF23" s="82">
        <f t="shared" si="5"/>
        <v>290</v>
      </c>
      <c r="AG23" s="82">
        <v>70</v>
      </c>
      <c r="AH23" s="82">
        <v>5</v>
      </c>
      <c r="AI23" s="82">
        <v>12</v>
      </c>
      <c r="AJ23" s="82">
        <v>7</v>
      </c>
      <c r="AK23" s="82">
        <v>36</v>
      </c>
      <c r="AL23" s="82">
        <f t="shared" si="6"/>
        <v>2320</v>
      </c>
      <c r="AM23" s="82">
        <f t="shared" si="7"/>
        <v>9280</v>
      </c>
      <c r="AN23" s="82">
        <f t="shared" si="8"/>
        <v>92.8</v>
      </c>
      <c r="AO23" s="82">
        <f t="shared" si="9"/>
        <v>243.60000000000002</v>
      </c>
      <c r="AP23" s="82">
        <v>5</v>
      </c>
      <c r="AQ23" s="82">
        <v>5</v>
      </c>
      <c r="AR23" s="82">
        <v>60</v>
      </c>
      <c r="AS23" s="82">
        <f t="shared" si="10"/>
        <v>812</v>
      </c>
      <c r="AT23" s="82">
        <f t="shared" si="11"/>
        <v>2320</v>
      </c>
      <c r="AU23" s="82">
        <f t="shared" si="12"/>
        <v>81.2</v>
      </c>
      <c r="AV23" s="82">
        <f t="shared" si="13"/>
        <v>69.600000000000009</v>
      </c>
      <c r="AW23" s="82">
        <v>32</v>
      </c>
      <c r="AX23" s="82">
        <f t="shared" si="14"/>
        <v>696</v>
      </c>
      <c r="AY23" s="82">
        <f t="shared" si="15"/>
        <v>2900</v>
      </c>
      <c r="AZ23" s="82">
        <f t="shared" si="16"/>
        <v>87</v>
      </c>
      <c r="BA23" s="82">
        <f t="shared" si="17"/>
        <v>69.600000000000009</v>
      </c>
      <c r="BB23" s="89">
        <v>10</v>
      </c>
      <c r="BC23" s="89">
        <v>7</v>
      </c>
      <c r="BE23" s="83">
        <v>21</v>
      </c>
      <c r="BF23" s="83" t="str">
        <f t="shared" si="37"/>
        <v>3#3#145|3#4#290|3#5#145|3#6#290|3#7#145|3#8#290|3#13#70|3#20#5|3#25#12|3#21#7</v>
      </c>
      <c r="BG23" s="83" t="str">
        <f t="shared" si="18"/>
        <v>3#35#3600</v>
      </c>
      <c r="BH23" s="83" t="str">
        <f t="shared" si="38"/>
        <v>3#9#121|3#10#243|3#11#121|3#12#243|3#3#46|3#4#92|3#5#46|3#6#92|3#7#46|3#8#92|0#1#2320|0#2#928|1#1#696|1#2#9280|2#1#1392|2#2#7424|3#26#5|3#27#5</v>
      </c>
      <c r="BI23" s="83" t="str">
        <f t="shared" si="19"/>
        <v>3#30#60|3#31#60</v>
      </c>
      <c r="BJ23" s="83" t="str">
        <f t="shared" si="20"/>
        <v>3#9#34|3#10#69|3#11#34|3#12#69|0#1#696|0#2#290|1#1#208|1#2#2900|2#1#417|2#2#2320</v>
      </c>
      <c r="BK23" s="83" t="str">
        <f t="shared" si="21"/>
        <v>3#35#1000|3#36#700</v>
      </c>
      <c r="BL23" s="83" t="str">
        <f t="shared" si="22"/>
        <v>3#9#34|3#10#69|3#11#34|3#12#69|0#1#696|0#2#290|1#1#208|1#2#2900|2#1#417|2#2#2320</v>
      </c>
      <c r="BM23" s="83" t="str">
        <f t="shared" si="23"/>
        <v>3#35#1000|3#36#700</v>
      </c>
      <c r="BN23" s="83" t="str">
        <f t="shared" si="24"/>
        <v>3#9#34|3#10#69|3#11#34|3#12#69|0#1#696|0#2#290|1#1#208|1#2#2900|2#1#417|2#2#2320</v>
      </c>
      <c r="BO23" s="83" t="str">
        <f t="shared" si="25"/>
        <v>3#35#1000|3#37#700</v>
      </c>
      <c r="BP23" s="83" t="str">
        <f t="shared" si="26"/>
        <v>3#9#34|3#10#69|3#11#34|3#12#69|0#1#696|0#2#290|1#1#208|1#2#2900|2#1#417|2#2#2320</v>
      </c>
      <c r="BQ23" s="83" t="str">
        <f t="shared" si="27"/>
        <v>3#35#1000|3#37#700</v>
      </c>
      <c r="BR23" s="83" t="str">
        <f t="shared" si="28"/>
        <v>3#9#34|3#10#69|3#11#34|3#12#69|0#1#696|0#2#290|1#1#208|1#2#2900|2#1#417|2#2#2320</v>
      </c>
      <c r="BS23" s="83" t="str">
        <f t="shared" si="29"/>
        <v>3#35#1000|3#36#700</v>
      </c>
      <c r="BT23" s="83" t="str">
        <f t="shared" si="30"/>
        <v>3#9#34|3#10#69|3#11#34|3#12#69|0#1#696|0#2#290|1#1#208|1#2#2900|2#1#417|2#2#2320</v>
      </c>
      <c r="BU23" s="83" t="str">
        <f t="shared" si="31"/>
        <v>3#35#1000|3#36#700</v>
      </c>
      <c r="BV23" s="83" t="str">
        <f t="shared" si="32"/>
        <v>3#9#34|3#10#69|3#11#34|3#12#69|3#3#40|3#4#81|3#5#40|3#6#81|3#7#40|3#8#81|0#1#812|0#2#232|1#1#243|1#2#2320|2#1#487|2#2#1856</v>
      </c>
      <c r="BW23" s="83" t="str">
        <f t="shared" si="33"/>
        <v>3#30#32|3#31#32</v>
      </c>
      <c r="BY23" s="8" t="s">
        <v>1922</v>
      </c>
      <c r="BZ23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3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3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3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3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3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3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3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3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3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3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3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3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3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3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3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3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3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3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3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1:104" x14ac:dyDescent="0.3">
      <c r="A24" s="22" t="s">
        <v>174</v>
      </c>
      <c r="B24" s="22" t="s">
        <v>1617</v>
      </c>
      <c r="C24" s="64" t="s">
        <v>90</v>
      </c>
      <c r="D24" s="23"/>
      <c r="E24" s="22" t="s">
        <v>1622</v>
      </c>
      <c r="F24" s="29">
        <v>1</v>
      </c>
      <c r="G24" s="69">
        <v>35</v>
      </c>
      <c r="H24" s="64"/>
      <c r="I24" s="22" t="s">
        <v>1623</v>
      </c>
      <c r="J24" s="22" t="s">
        <v>772</v>
      </c>
      <c r="K24" s="90">
        <v>22</v>
      </c>
      <c r="L24" s="91">
        <f>INT(96/150*L29)</f>
        <v>9600</v>
      </c>
      <c r="M24" s="91">
        <f t="shared" ref="M24:W24" si="56">INT(96/150*M29)</f>
        <v>38400</v>
      </c>
      <c r="N24" s="91">
        <f t="shared" si="56"/>
        <v>640</v>
      </c>
      <c r="O24" s="91">
        <f t="shared" si="56"/>
        <v>1280</v>
      </c>
      <c r="P24" s="91">
        <f t="shared" si="56"/>
        <v>640</v>
      </c>
      <c r="Q24" s="91">
        <f t="shared" si="56"/>
        <v>1280</v>
      </c>
      <c r="R24" s="91">
        <f t="shared" si="56"/>
        <v>640</v>
      </c>
      <c r="S24" s="91">
        <f t="shared" si="56"/>
        <v>1280</v>
      </c>
      <c r="T24" s="91">
        <f t="shared" si="56"/>
        <v>480</v>
      </c>
      <c r="U24" s="91">
        <f t="shared" si="56"/>
        <v>960</v>
      </c>
      <c r="V24" s="91">
        <f t="shared" si="56"/>
        <v>480</v>
      </c>
      <c r="W24" s="91">
        <f t="shared" si="56"/>
        <v>960</v>
      </c>
      <c r="X24" s="91">
        <f>L24*属性价值参考!C$5+基本装备!M24*属性价值参考!C$6+基本装备!N24*属性价值参考!C$7+基本装备!O24*属性价值参考!C$8+基本装备!T24*属性价值参考!C$9+基本装备!U24*属性价值参考!C$10+基本装备!V24*属性价值参考!C$11+基本装备!W24*属性价值参考!C$12</f>
        <v>224985.60000000001</v>
      </c>
      <c r="Y24" s="91">
        <f>基本装备!AG24*属性价值参考!C$13+基本装备!AH24*属性价值参考!C$36+基本装备!AI24*属性价值参考!C$19+基本装备!AJ24*属性价值参考!C$15+基本装备!AK24*属性价值参考!C$27+基本装备!AP24*属性价值参考!C$20+基本装备!AQ24*属性价值参考!C$21+基本装备!AR24*属性价值参考!C$26+8*(基本装备!AW24*属性价值参考!C$26+基本装备!BB24*属性价值参考!C$27+基本装备!BC24*(属性价值参考!C$28+属性价值参考!C$29))</f>
        <v>86303.6</v>
      </c>
      <c r="Z24" s="9"/>
      <c r="AA24" s="81">
        <f t="shared" si="1"/>
        <v>9600</v>
      </c>
      <c r="AB24" s="81">
        <f t="shared" si="2"/>
        <v>38400</v>
      </c>
      <c r="AC24" s="81">
        <f t="shared" si="3"/>
        <v>1280</v>
      </c>
      <c r="AD24" s="81">
        <f t="shared" si="4"/>
        <v>960</v>
      </c>
      <c r="AE24" s="9"/>
      <c r="AF24" s="82">
        <f t="shared" si="5"/>
        <v>320</v>
      </c>
      <c r="AG24" s="82">
        <v>70</v>
      </c>
      <c r="AH24" s="82">
        <v>5</v>
      </c>
      <c r="AI24" s="82">
        <v>13</v>
      </c>
      <c r="AJ24" s="82">
        <v>7</v>
      </c>
      <c r="AK24" s="82">
        <v>38</v>
      </c>
      <c r="AL24" s="82">
        <f t="shared" si="6"/>
        <v>2560</v>
      </c>
      <c r="AM24" s="82">
        <f t="shared" si="7"/>
        <v>10240</v>
      </c>
      <c r="AN24" s="82">
        <f t="shared" si="8"/>
        <v>102.4</v>
      </c>
      <c r="AO24" s="82">
        <f t="shared" si="9"/>
        <v>268.8</v>
      </c>
      <c r="AP24" s="82">
        <v>5</v>
      </c>
      <c r="AQ24" s="82">
        <v>5</v>
      </c>
      <c r="AR24" s="82">
        <v>65</v>
      </c>
      <c r="AS24" s="82">
        <f t="shared" si="10"/>
        <v>896</v>
      </c>
      <c r="AT24" s="82">
        <f t="shared" si="11"/>
        <v>2560</v>
      </c>
      <c r="AU24" s="82">
        <f t="shared" si="12"/>
        <v>89.600000000000009</v>
      </c>
      <c r="AV24" s="82">
        <f t="shared" si="13"/>
        <v>76.8</v>
      </c>
      <c r="AW24" s="82">
        <v>34</v>
      </c>
      <c r="AX24" s="82">
        <f t="shared" si="14"/>
        <v>768</v>
      </c>
      <c r="AY24" s="82">
        <f t="shared" si="15"/>
        <v>3200</v>
      </c>
      <c r="AZ24" s="82">
        <f t="shared" si="16"/>
        <v>96</v>
      </c>
      <c r="BA24" s="82">
        <f t="shared" si="17"/>
        <v>76.8</v>
      </c>
      <c r="BB24" s="89">
        <v>11</v>
      </c>
      <c r="BC24" s="89">
        <v>8</v>
      </c>
      <c r="BE24" s="83">
        <v>22</v>
      </c>
      <c r="BF24" s="83" t="str">
        <f t="shared" si="37"/>
        <v>3#3#160|3#4#320|3#5#160|3#6#320|3#7#160|3#8#320|3#13#70|3#20#5|3#25#13|3#21#7</v>
      </c>
      <c r="BG24" s="83" t="str">
        <f t="shared" si="18"/>
        <v>3#35#3800</v>
      </c>
      <c r="BH24" s="83" t="str">
        <f t="shared" si="38"/>
        <v>3#9#134|3#10#268|3#11#134|3#12#268|3#3#51|3#4#102|3#5#51|3#6#102|3#7#51|3#8#102|0#1#2560|0#2#1024|1#1#768|1#2#10240|2#1#1536|2#2#8192|3#26#5|3#27#5</v>
      </c>
      <c r="BI24" s="83" t="str">
        <f t="shared" si="19"/>
        <v>3#30#65|3#31#65</v>
      </c>
      <c r="BJ24" s="83" t="str">
        <f t="shared" si="20"/>
        <v>3#9#38|3#10#76|3#11#38|3#12#76|0#1#768|0#2#320|1#1#230|1#2#3200|2#1#460|2#2#2560</v>
      </c>
      <c r="BK24" s="83" t="str">
        <f t="shared" si="21"/>
        <v>3#35#1100|3#36#800</v>
      </c>
      <c r="BL24" s="83" t="str">
        <f t="shared" si="22"/>
        <v>3#9#38|3#10#76|3#11#38|3#12#76|0#1#768|0#2#320|1#1#230|1#2#3200|2#1#460|2#2#2560</v>
      </c>
      <c r="BM24" s="83" t="str">
        <f t="shared" si="23"/>
        <v>3#35#1100|3#36#800</v>
      </c>
      <c r="BN24" s="83" t="str">
        <f t="shared" si="24"/>
        <v>3#9#38|3#10#76|3#11#38|3#12#76|0#1#768|0#2#320|1#1#230|1#2#3200|2#1#460|2#2#2560</v>
      </c>
      <c r="BO24" s="83" t="str">
        <f t="shared" si="25"/>
        <v>3#35#1100|3#37#800</v>
      </c>
      <c r="BP24" s="83" t="str">
        <f t="shared" si="26"/>
        <v>3#9#38|3#10#76|3#11#38|3#12#76|0#1#768|0#2#320|1#1#230|1#2#3200|2#1#460|2#2#2560</v>
      </c>
      <c r="BQ24" s="83" t="str">
        <f t="shared" si="27"/>
        <v>3#35#1100|3#37#800</v>
      </c>
      <c r="BR24" s="83" t="str">
        <f t="shared" si="28"/>
        <v>3#9#38|3#10#76|3#11#38|3#12#76|0#1#768|0#2#320|1#1#230|1#2#3200|2#1#460|2#2#2560</v>
      </c>
      <c r="BS24" s="83" t="str">
        <f t="shared" si="29"/>
        <v>3#35#1100|3#36#800</v>
      </c>
      <c r="BT24" s="83" t="str">
        <f t="shared" si="30"/>
        <v>3#9#38|3#10#76|3#11#38|3#12#76|0#1#768|0#2#320|1#1#230|1#2#3200|2#1#460|2#2#2560</v>
      </c>
      <c r="BU24" s="83" t="str">
        <f t="shared" si="31"/>
        <v>3#35#1100|3#36#800</v>
      </c>
      <c r="BV24" s="83" t="str">
        <f t="shared" si="32"/>
        <v>3#9#38|3#10#76|3#11#38|3#12#76|3#3#44|3#4#89|3#5#44|3#6#89|3#7#44|3#8#89|0#1#896|0#2#256|1#1#268|1#2#2560|2#1#537|2#2#2048</v>
      </c>
      <c r="BW24" s="83" t="str">
        <f t="shared" si="33"/>
        <v>3#30#34|3#31#34</v>
      </c>
      <c r="BY24" s="8" t="s">
        <v>1915</v>
      </c>
      <c r="BZ24" s="8" t="str">
        <f>"&lt;[单件触发]/FCOLOR=253&gt;\&lt; HP +"&amp;AW3&amp;"%/FCOLOR=58&gt;\&lt; MP +"&amp;AW3&amp;"%/FCOLOR=58&gt;\&lt;不同职业所增加HPMP不同/FCOLOR=58&gt;\&lt;TEXIAO:25014#100#-10&amp;0&gt;"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24" s="8" t="str">
        <f>"&lt;[单件触发]/FCOLOR=253&gt;\&lt; HP +"&amp;AW4&amp;"%/FCOLOR=58&gt;\&lt; MP +"&amp;AW4&amp;"%/FCOLOR=58&gt;\&lt;不同职业所增加HPMP不同/FCOLOR=58&gt;\&lt;TEXIAO:25014#100#-10&amp;0&gt;"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24" s="8" t="str">
        <f>"&lt;[单件触发]/FCOLOR=253&gt;\&lt; HP +"&amp;AW5&amp;"%/FCOLOR=58&gt;\&lt; MP +"&amp;AW5&amp;"%/FCOLOR=58&gt;\&lt;不同职业所增加HPMP不同/FCOLOR=58&gt;\&lt;TEXIAO:25014#100#-10&amp;0&gt;"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24" s="8" t="str">
        <f>"&lt;[单件触发]/FCOLOR=253&gt;\&lt; HP +"&amp;AW6&amp;"%/FCOLOR=58&gt;\&lt; MP +"&amp;AW6&amp;"%/FCOLOR=58&gt;\&lt;不同职业所增加HPMP不同/FCOLOR=58&gt;\&lt;TEXIAO:25014#100#-10&amp;0&gt;"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24" s="8" t="str">
        <f>"&lt;[单件触发]/FCOLOR=253&gt;\&lt; HP +"&amp;AW7&amp;"%/FCOLOR=58&gt;\&lt; MP +"&amp;AW7&amp;"%/FCOLOR=58&gt;\&lt;不同职业所增加HPMP不同/FCOLOR=58&gt;\&lt;TEXIAO:25014#100#-10&amp;0&gt;"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24" s="8" t="str">
        <f>"&lt;[单件触发]/FCOLOR=253&gt;\&lt; HP +"&amp;AW8&amp;"%/FCOLOR=58&gt;\&lt; MP +"&amp;AW8&amp;"%/FCOLOR=58&gt;\&lt;不同职业所增加HPMP不同/FCOLOR=58&gt;\&lt;TEXIAO:25014#100#-10&amp;0&gt;"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F24" s="8" t="str">
        <f>"&lt;[单件触发]/FCOLOR=253&gt;\&lt; HP +"&amp;AW9&amp;"%/FCOLOR=58&gt;\&lt; MP +"&amp;AW9&amp;"%/FCOLOR=58&gt;\&lt;不同职业所增加HPMP不同/FCOLOR=58&gt;\&lt;TEXIAO:25014#100#-10&amp;0&gt;"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24" s="8" t="str">
        <f>"&lt;[单件触发]/FCOLOR=253&gt;\&lt; HP +"&amp;AW10&amp;"%/FCOLOR=58&gt;\&lt; MP +"&amp;AW10&amp;"%/FCOLOR=58&gt;\&lt;不同职业所增加HPMP不同/FCOLOR=58&gt;\&lt;TEXIAO:25014#100#-10&amp;0&gt;"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H24" s="8" t="str">
        <f>"&lt;[单件触发]/FCOLOR=253&gt;\&lt; HP +"&amp;AW11&amp;"%/FCOLOR=58&gt;\&lt; MP +"&amp;AW11&amp;"%/FCOLOR=58&gt;\&lt;不同职业所增加HPMP不同/FCOLOR=58&gt;\&lt;TEXIAO:25014#100#-10&amp;0&gt;"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I24" s="8" t="str">
        <f>"&lt;[单件触发]/FCOLOR=253&gt;\&lt; HP +"&amp;AW12&amp;"%/FCOLOR=58&gt;\&lt; MP +"&amp;AW12&amp;"%/FCOLOR=58&gt;\&lt;不同职业所增加HPMP不同/FCOLOR=58&gt;\&lt;TEXIAO:25014#100#-10&amp;0&gt;"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J24" s="8" t="str">
        <f>"&lt;[单件触发]/FCOLOR=253&gt;\&lt; HP +"&amp;AW13&amp;"%/FCOLOR=58&gt;\&lt; MP +"&amp;AW13&amp;"%/FCOLOR=58&gt;\&lt;不同职业所增加HPMP不同/FCOLOR=58&gt;\&lt;TEXIAO:25014#100#-10&amp;0&gt;"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K24" s="8" t="str">
        <f>"&lt;[单件触发]/FCOLOR=253&gt;\&lt; HP +"&amp;AW14&amp;"%/FCOLOR=58&gt;\&lt; MP +"&amp;AW14&amp;"%/FCOLOR=58&gt;\&lt;不同职业所增加HPMP不同/FCOLOR=58&gt;\&lt;TEXIAO:25014#100#-10&amp;0&gt;"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L24" s="8" t="str">
        <f>"&lt;[单件触发]/FCOLOR=253&gt;\&lt; HP +"&amp;AW15&amp;"%/FCOLOR=58&gt;\&lt; MP +"&amp;AW15&amp;"%/FCOLOR=58&gt;\&lt;不同职业所增加HPMP不同/FCOLOR=58&gt;\&lt;TEXIAO:25014#100#-10&amp;0&gt;"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M24" s="8" t="str">
        <f>"&lt;[单件触发]/FCOLOR=253&gt;\&lt; HP +"&amp;AW16&amp;"%/FCOLOR=58&gt;\&lt; MP +"&amp;AW16&amp;"%/FCOLOR=58&gt;\&lt;不同职业所增加HPMP不同/FCOLOR=58&gt;\&lt;TEXIAO:25014#100#-10&amp;0&gt;"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N24" s="8" t="str">
        <f>"&lt;[单件触发]/FCOLOR=253&gt;\&lt; HP +"&amp;AW17&amp;"%/FCOLOR=58&gt;\&lt; MP +"&amp;AW17&amp;"%/FCOLOR=58&gt;\&lt;不同职业所增加HPMP不同/FCOLOR=58&gt;\&lt;TEXIAO:25014#100#-10&amp;0&gt;"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O24" s="8" t="str">
        <f>"&lt;[单件触发]/FCOLOR=253&gt;\&lt; HP +"&amp;AW18&amp;"%/FCOLOR=58&gt;\&lt; MP +"&amp;AW18&amp;"%/FCOLOR=58&gt;\&lt;不同职业所增加HPMP不同/FCOLOR=58&gt;\&lt;TEXIAO:25014#100#-10&amp;0&gt;"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P24" s="8" t="str">
        <f>"&lt;[单件触发]/FCOLOR=253&gt;\&lt; HP +"&amp;AW19&amp;"%/FCOLOR=58&gt;\&lt; MP +"&amp;AW19&amp;"%/FCOLOR=58&gt;\&lt;不同职业所增加HPMP不同/FCOLOR=58&gt;\&lt;TEXIAO:25014#100#-10&amp;0&gt;"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Q24" s="8" t="str">
        <f>"&lt;[单件触发]/FCOLOR=253&gt;\&lt; HP +"&amp;AW20&amp;"%/FCOLOR=58&gt;\&lt; MP +"&amp;AW20&amp;"%/FCOLOR=58&gt;\&lt;不同职业所增加HPMP不同/FCOLOR=58&gt;\&lt;TEXIAO:25014#100#-10&amp;0&gt;"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R24" s="8" t="str">
        <f>"&lt;[单件触发]/FCOLOR=253&gt;\&lt; HP +"&amp;AW21&amp;"%/FCOLOR=58&gt;\&lt; MP +"&amp;AW21&amp;"%/FCOLOR=58&gt;\&lt;不同职业所增加HPMP不同/FCOLOR=58&gt;\&lt;TEXIAO:25014#100#-10&amp;0&gt;"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S24" s="8" t="str">
        <f>"&lt;[单件触发]/FCOLOR=253&gt;\&lt; HP +"&amp;AW22&amp;"%/FCOLOR=58&gt;\&lt; MP +"&amp;AW22&amp;"%/FCOLOR=58&gt;\&lt;不同职业所增加HPMP不同/FCOLOR=58&gt;\&lt;TEXIAO:25014#100#-10&amp;0&gt;"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T24" s="8" t="str">
        <f>"&lt;[单件触发]/FCOLOR=253&gt;\&lt; HP +"&amp;AW23&amp;"%/FCOLOR=58&gt;\&lt; MP +"&amp;AW23&amp;"%/FCOLOR=58&gt;\&lt;不同职业所增加HPMP不同/FCOLOR=58&gt;\&lt;TEXIAO:25014#100#-10&amp;0&gt;"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U24" s="8" t="str">
        <f>"&lt;[单件触发]/FCOLOR=253&gt;\&lt; HP +"&amp;AW24&amp;"%/FCOLOR=58&gt;\&lt; MP +"&amp;AW24&amp;"%/FCOLOR=58&gt;\&lt;不同职业所增加HPMP不同/FCOLOR=58&gt;\&lt;TEXIAO:25014#100#-10&amp;0&gt;"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V24" s="8" t="str">
        <f>"&lt;[单件触发]/FCOLOR=253&gt;\&lt; HP +"&amp;AW25&amp;"%/FCOLOR=58&gt;\&lt; MP +"&amp;AW25&amp;"%/FCOLOR=58&gt;\&lt;不同职业所增加HPMP不同/FCOLOR=58&gt;\&lt;TEXIAO:25014#100#-10&amp;0&gt;"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W24" s="8" t="str">
        <f>"&lt;[单件触发]/FCOLOR=253&gt;\&lt; HP +"&amp;AW26&amp;"%/FCOLOR=58&gt;\&lt; MP +"&amp;AW26&amp;"%/FCOLOR=58&gt;\&lt;不同职业所增加HPMP不同/FCOLOR=58&gt;\&lt;TEXIAO:25014#100#-10&amp;0&gt;"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X24" s="8" t="str">
        <f>"&lt;[单件触发]/FCOLOR=253&gt;\&lt; HP +"&amp;AW27&amp;"%/FCOLOR=58&gt;\&lt; MP +"&amp;AW27&amp;"%/FCOLOR=58&gt;\&lt;不同职业所增加HPMP不同/FCOLOR=58&gt;\&lt;TEXIAO:25014#100#-10&amp;0&gt;"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Y24" s="8" t="str">
        <f>"&lt;[单件触发]/FCOLOR=253&gt;\&lt; HP +"&amp;AW28&amp;"%/FCOLOR=58&gt;\&lt; MP +"&amp;AW28&amp;"%/FCOLOR=58&gt;\&lt;不同职业所增加HPMP不同/FCOLOR=58&gt;\&lt;TEXIAO:25014#100#-10&amp;0&gt;"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CZ24" s="8" t="str">
        <f>"&lt;[单件触发]/FCOLOR=253&gt;\&lt; HP +"&amp;AW29&amp;"%/FCOLOR=58&gt;\&lt; MP +"&amp;AW29&amp;"%/FCOLOR=58&gt;\&lt;不同职业所增加HPMP不同/FCOLOR=58&gt;\&lt;TEXIAO:25014#100#-10&amp;0&gt;"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1:104" x14ac:dyDescent="0.3">
      <c r="A25" s="22" t="s">
        <v>174</v>
      </c>
      <c r="B25" s="22" t="s">
        <v>1762</v>
      </c>
      <c r="C25" s="22" t="s">
        <v>87</v>
      </c>
      <c r="D25" s="23"/>
      <c r="E25" s="22" t="s">
        <v>1763</v>
      </c>
      <c r="F25" s="29">
        <v>1</v>
      </c>
      <c r="G25" s="69">
        <v>35</v>
      </c>
      <c r="H25" s="64"/>
      <c r="I25" s="22" t="s">
        <v>1764</v>
      </c>
      <c r="J25" s="22" t="s">
        <v>1765</v>
      </c>
      <c r="K25" s="90">
        <v>23</v>
      </c>
      <c r="L25" s="91">
        <f>INT(105/150*L29)</f>
        <v>10500</v>
      </c>
      <c r="M25" s="91">
        <f t="shared" ref="M25:W25" si="57">INT(105/150*M29)</f>
        <v>42000</v>
      </c>
      <c r="N25" s="91">
        <f t="shared" si="57"/>
        <v>700</v>
      </c>
      <c r="O25" s="91">
        <f t="shared" si="57"/>
        <v>1400</v>
      </c>
      <c r="P25" s="91">
        <f t="shared" si="57"/>
        <v>700</v>
      </c>
      <c r="Q25" s="91">
        <f t="shared" si="57"/>
        <v>1400</v>
      </c>
      <c r="R25" s="91">
        <f t="shared" si="57"/>
        <v>700</v>
      </c>
      <c r="S25" s="91">
        <f t="shared" si="57"/>
        <v>1400</v>
      </c>
      <c r="T25" s="91">
        <f t="shared" si="57"/>
        <v>525</v>
      </c>
      <c r="U25" s="91">
        <f t="shared" si="57"/>
        <v>1050</v>
      </c>
      <c r="V25" s="91">
        <f t="shared" si="57"/>
        <v>525</v>
      </c>
      <c r="W25" s="91">
        <f t="shared" si="57"/>
        <v>1050</v>
      </c>
      <c r="X25" s="91">
        <f>L25*属性价值参考!C$5+基本装备!M25*属性价值参考!C$6+基本装备!N25*属性价值参考!C$7+基本装备!O25*属性价值参考!C$8+基本装备!T25*属性价值参考!C$9+基本装备!U25*属性价值参考!C$10+基本装备!V25*属性价值参考!C$11+基本装备!W25*属性价值参考!C$12</f>
        <v>246078</v>
      </c>
      <c r="Y25" s="91">
        <f>基本装备!AG25*属性价值参考!C$13+基本装备!AH25*属性价值参考!C$36+基本装备!AI25*属性价值参考!C$19+基本装备!AJ25*属性价值参考!C$15+基本装备!AK25*属性价值参考!C$27+基本装备!AP25*属性价值参考!C$20+基本装备!AQ25*属性价值参考!C$21+基本装备!AR25*属性价值参考!C$26+8*(基本装备!AW25*属性价值参考!C$26+基本装备!BB25*属性价值参考!C$27+基本装备!BC25*(属性价值参考!C$28+属性价值参考!C$29))</f>
        <v>93467.199999999983</v>
      </c>
      <c r="Z25" s="9"/>
      <c r="AA25" s="81">
        <f t="shared" si="1"/>
        <v>10500</v>
      </c>
      <c r="AB25" s="81">
        <f t="shared" si="2"/>
        <v>42000</v>
      </c>
      <c r="AC25" s="81">
        <f t="shared" si="3"/>
        <v>1400</v>
      </c>
      <c r="AD25" s="81">
        <f t="shared" si="4"/>
        <v>1050</v>
      </c>
      <c r="AE25" s="9"/>
      <c r="AF25" s="82">
        <f t="shared" si="5"/>
        <v>350</v>
      </c>
      <c r="AG25" s="82">
        <v>80</v>
      </c>
      <c r="AH25" s="82">
        <v>6</v>
      </c>
      <c r="AI25" s="82">
        <v>14</v>
      </c>
      <c r="AJ25" s="82">
        <v>8</v>
      </c>
      <c r="AK25" s="82">
        <v>40</v>
      </c>
      <c r="AL25" s="82">
        <f t="shared" si="6"/>
        <v>2800</v>
      </c>
      <c r="AM25" s="82">
        <f t="shared" si="7"/>
        <v>11200</v>
      </c>
      <c r="AN25" s="82">
        <f t="shared" si="8"/>
        <v>112</v>
      </c>
      <c r="AO25" s="82">
        <f t="shared" si="9"/>
        <v>294</v>
      </c>
      <c r="AP25" s="82">
        <v>5</v>
      </c>
      <c r="AQ25" s="82">
        <v>5</v>
      </c>
      <c r="AR25" s="82">
        <v>70</v>
      </c>
      <c r="AS25" s="82">
        <f t="shared" si="10"/>
        <v>980</v>
      </c>
      <c r="AT25" s="82">
        <f t="shared" si="11"/>
        <v>2800</v>
      </c>
      <c r="AU25" s="82">
        <f t="shared" si="12"/>
        <v>98.000000000000014</v>
      </c>
      <c r="AV25" s="82">
        <f t="shared" si="13"/>
        <v>84</v>
      </c>
      <c r="AW25" s="82">
        <v>36</v>
      </c>
      <c r="AX25" s="82">
        <f t="shared" si="14"/>
        <v>840</v>
      </c>
      <c r="AY25" s="82">
        <f t="shared" si="15"/>
        <v>3500</v>
      </c>
      <c r="AZ25" s="82">
        <f t="shared" si="16"/>
        <v>105</v>
      </c>
      <c r="BA25" s="82">
        <f t="shared" si="17"/>
        <v>84</v>
      </c>
      <c r="BB25" s="89">
        <v>12</v>
      </c>
      <c r="BC25" s="89">
        <v>8</v>
      </c>
      <c r="BE25" s="83">
        <v>23</v>
      </c>
      <c r="BF25" s="83" t="str">
        <f t="shared" si="37"/>
        <v>3#3#175|3#4#350|3#5#175|3#6#350|3#7#175|3#8#350|3#13#80|3#20#6|3#25#14|3#21#8</v>
      </c>
      <c r="BG25" s="83" t="str">
        <f t="shared" si="18"/>
        <v>3#35#4000</v>
      </c>
      <c r="BH25" s="83" t="str">
        <f t="shared" si="38"/>
        <v>3#9#147|3#10#294|3#11#147|3#12#294|3#3#56|3#4#112|3#5#56|3#6#112|3#7#56|3#8#112|0#1#2800|0#2#1120|1#1#840|1#2#11200|2#1#1680|2#2#8960|3#26#5|3#27#5</v>
      </c>
      <c r="BI25" s="83" t="str">
        <f t="shared" si="19"/>
        <v>3#30#70|3#31#70</v>
      </c>
      <c r="BJ25" s="83" t="str">
        <f t="shared" si="20"/>
        <v>3#9#42|3#10#84|3#11#42|3#12#84|0#1#840|0#2#350|1#1#252|1#2#3500|2#1#504|2#2#2800</v>
      </c>
      <c r="BK25" s="83" t="str">
        <f t="shared" si="21"/>
        <v>3#35#1200|3#36#800</v>
      </c>
      <c r="BL25" s="83" t="str">
        <f t="shared" si="22"/>
        <v>3#9#42|3#10#84|3#11#42|3#12#84|0#1#840|0#2#350|1#1#252|1#2#3500|2#1#504|2#2#2800</v>
      </c>
      <c r="BM25" s="83" t="str">
        <f t="shared" si="23"/>
        <v>3#35#1200|3#36#800</v>
      </c>
      <c r="BN25" s="83" t="str">
        <f t="shared" si="24"/>
        <v>3#9#42|3#10#84|3#11#42|3#12#84|0#1#840|0#2#350|1#1#252|1#2#3500|2#1#504|2#2#2800</v>
      </c>
      <c r="BO25" s="83" t="str">
        <f t="shared" si="25"/>
        <v>3#35#1200|3#37#800</v>
      </c>
      <c r="BP25" s="83" t="str">
        <f t="shared" si="26"/>
        <v>3#9#42|3#10#84|3#11#42|3#12#84|0#1#840|0#2#350|1#1#252|1#2#3500|2#1#504|2#2#2800</v>
      </c>
      <c r="BQ25" s="83" t="str">
        <f t="shared" si="27"/>
        <v>3#35#1200|3#37#800</v>
      </c>
      <c r="BR25" s="83" t="str">
        <f t="shared" si="28"/>
        <v>3#9#42|3#10#84|3#11#42|3#12#84|0#1#840|0#2#350|1#1#252|1#2#3500|2#1#504|2#2#2800</v>
      </c>
      <c r="BS25" s="83" t="str">
        <f t="shared" si="29"/>
        <v>3#35#1200|3#36#800</v>
      </c>
      <c r="BT25" s="83" t="str">
        <f t="shared" si="30"/>
        <v>3#9#42|3#10#84|3#11#42|3#12#84|0#1#840|0#2#350|1#1#252|1#2#3500|2#1#504|2#2#2800</v>
      </c>
      <c r="BU25" s="83" t="str">
        <f t="shared" si="31"/>
        <v>3#35#1200|3#36#800</v>
      </c>
      <c r="BV25" s="83" t="str">
        <f t="shared" si="32"/>
        <v>3#9#42|3#10#84|3#11#42|3#12#84|3#3#49|3#4#98|3#5#49|3#6#98|3#7#49|3#8#98|0#1#980|0#2#280|1#1#294|1#2#2800|2#1#588|2#2#2240</v>
      </c>
      <c r="BW25" s="83" t="str">
        <f t="shared" si="33"/>
        <v>3#30#36|3#31#36</v>
      </c>
    </row>
    <row r="26" spans="1:104" x14ac:dyDescent="0.3">
      <c r="A26" s="22" t="s">
        <v>174</v>
      </c>
      <c r="B26" s="22" t="s">
        <v>1762</v>
      </c>
      <c r="C26" s="22" t="s">
        <v>93</v>
      </c>
      <c r="D26" s="23"/>
      <c r="E26" s="22" t="s">
        <v>1766</v>
      </c>
      <c r="F26" s="29">
        <v>1</v>
      </c>
      <c r="G26" s="69">
        <v>35</v>
      </c>
      <c r="H26" s="64"/>
      <c r="I26" s="22" t="s">
        <v>1767</v>
      </c>
      <c r="J26" s="22" t="s">
        <v>1765</v>
      </c>
      <c r="K26" s="90">
        <v>24</v>
      </c>
      <c r="L26" s="91">
        <f>INT(112.5/150*L29)</f>
        <v>11250</v>
      </c>
      <c r="M26" s="91">
        <f t="shared" ref="M26:W26" si="58">INT(112.5/150*M29)</f>
        <v>45000</v>
      </c>
      <c r="N26" s="91">
        <f t="shared" si="58"/>
        <v>750</v>
      </c>
      <c r="O26" s="91">
        <f t="shared" si="58"/>
        <v>1500</v>
      </c>
      <c r="P26" s="91">
        <f t="shared" si="58"/>
        <v>750</v>
      </c>
      <c r="Q26" s="91">
        <f t="shared" si="58"/>
        <v>1500</v>
      </c>
      <c r="R26" s="91">
        <f t="shared" si="58"/>
        <v>750</v>
      </c>
      <c r="S26" s="91">
        <f t="shared" si="58"/>
        <v>1500</v>
      </c>
      <c r="T26" s="91">
        <f t="shared" si="58"/>
        <v>562</v>
      </c>
      <c r="U26" s="91">
        <f t="shared" si="58"/>
        <v>1125</v>
      </c>
      <c r="V26" s="91">
        <f t="shared" si="58"/>
        <v>562</v>
      </c>
      <c r="W26" s="91">
        <f t="shared" si="58"/>
        <v>1125</v>
      </c>
      <c r="X26" s="91">
        <f>L26*属性价值参考!C$5+基本装备!M26*属性价值参考!C$6+基本装备!N26*属性价值参考!C$7+基本装备!O26*属性价值参考!C$8+基本装备!T26*属性价值参考!C$9+基本装备!U26*属性价值参考!C$10+基本装备!V26*属性价值参考!C$11+基本装备!W26*属性价值参考!C$12</f>
        <v>263641.19999999995</v>
      </c>
      <c r="Y26" s="91">
        <f>基本装备!AG26*属性价值参考!C$13+基本装备!AH26*属性价值参考!C$36+基本装备!AI26*属性价值参考!C$19+基本装备!AJ26*属性价值参考!C$15+基本装备!AK26*属性价值参考!C$27+基本装备!AP26*属性价值参考!C$20+基本装备!AQ26*属性价值参考!C$21+基本装备!AR26*属性价值参考!C$26+8*(基本装备!AW26*属性价值参考!C$26+基本装备!BB26*属性价值参考!C$27+基本装备!BC26*(属性价值参考!C$28+属性价值参考!C$29))</f>
        <v>98780.799999999988</v>
      </c>
      <c r="Z26" s="9"/>
      <c r="AA26" s="81">
        <f t="shared" si="1"/>
        <v>11250</v>
      </c>
      <c r="AB26" s="81">
        <f t="shared" si="2"/>
        <v>45000</v>
      </c>
      <c r="AC26" s="81">
        <f t="shared" si="3"/>
        <v>1500</v>
      </c>
      <c r="AD26" s="81">
        <f t="shared" si="4"/>
        <v>1125</v>
      </c>
      <c r="AE26" s="9"/>
      <c r="AF26" s="82">
        <f t="shared" si="5"/>
        <v>375</v>
      </c>
      <c r="AG26" s="82">
        <v>80</v>
      </c>
      <c r="AH26" s="82">
        <v>6</v>
      </c>
      <c r="AI26" s="82">
        <v>15</v>
      </c>
      <c r="AJ26" s="82">
        <v>8</v>
      </c>
      <c r="AK26" s="82">
        <v>43</v>
      </c>
      <c r="AL26" s="82">
        <f t="shared" si="6"/>
        <v>3000</v>
      </c>
      <c r="AM26" s="82">
        <f t="shared" si="7"/>
        <v>12000</v>
      </c>
      <c r="AN26" s="82">
        <f t="shared" si="8"/>
        <v>120</v>
      </c>
      <c r="AO26" s="82">
        <f t="shared" si="9"/>
        <v>315.00000000000006</v>
      </c>
      <c r="AP26" s="82">
        <v>6</v>
      </c>
      <c r="AQ26" s="82">
        <v>6</v>
      </c>
      <c r="AR26" s="82">
        <v>80</v>
      </c>
      <c r="AS26" s="82">
        <f t="shared" si="10"/>
        <v>1050</v>
      </c>
      <c r="AT26" s="82">
        <f t="shared" si="11"/>
        <v>3000</v>
      </c>
      <c r="AU26" s="82">
        <f t="shared" si="12"/>
        <v>105.00000000000001</v>
      </c>
      <c r="AV26" s="82">
        <f t="shared" si="13"/>
        <v>90</v>
      </c>
      <c r="AW26" s="82">
        <v>38</v>
      </c>
      <c r="AX26" s="82">
        <f t="shared" si="14"/>
        <v>900</v>
      </c>
      <c r="AY26" s="82">
        <f t="shared" si="15"/>
        <v>3750</v>
      </c>
      <c r="AZ26" s="82">
        <f t="shared" si="16"/>
        <v>112.5</v>
      </c>
      <c r="BA26" s="82">
        <f t="shared" si="17"/>
        <v>90</v>
      </c>
      <c r="BB26" s="89">
        <v>13</v>
      </c>
      <c r="BC26" s="89">
        <v>8</v>
      </c>
      <c r="BE26" s="83">
        <v>24</v>
      </c>
      <c r="BF26" s="83" t="str">
        <f t="shared" si="37"/>
        <v>3#3#187|3#4#375|3#5#187|3#6#375|3#7#187|3#8#375|3#13#80|3#20#6|3#25#15|3#21#8</v>
      </c>
      <c r="BG26" s="83" t="str">
        <f t="shared" si="18"/>
        <v>3#35#4300</v>
      </c>
      <c r="BH26" s="83" t="str">
        <f t="shared" si="38"/>
        <v>3#9#157|3#10#315|3#11#157|3#12#315|3#3#60|3#4#120|3#5#60|3#6#120|3#7#60|3#8#120|0#1#3000|0#2#1200|1#1#900|1#2#12000|2#1#1800|2#2#9600|3#26#6|3#27#6</v>
      </c>
      <c r="BI26" s="83" t="str">
        <f t="shared" si="19"/>
        <v>3#30#80|3#31#80</v>
      </c>
      <c r="BJ26" s="83" t="str">
        <f t="shared" si="20"/>
        <v>3#9#45|3#10#90|3#11#45|3#12#90|0#1#900|0#2#375|1#1#270|1#2#3750|2#1#540|2#2#3000</v>
      </c>
      <c r="BK26" s="83" t="str">
        <f t="shared" si="21"/>
        <v>3#35#1300|3#36#800</v>
      </c>
      <c r="BL26" s="83" t="str">
        <f t="shared" si="22"/>
        <v>3#9#45|3#10#90|3#11#45|3#12#90|0#1#900|0#2#375|1#1#270|1#2#3750|2#1#540|2#2#3000</v>
      </c>
      <c r="BM26" s="83" t="str">
        <f t="shared" si="23"/>
        <v>3#35#1300|3#36#800</v>
      </c>
      <c r="BN26" s="83" t="str">
        <f t="shared" si="24"/>
        <v>3#9#45|3#10#90|3#11#45|3#12#90|0#1#900|0#2#375|1#1#270|1#2#3750|2#1#540|2#2#3000</v>
      </c>
      <c r="BO26" s="83" t="str">
        <f t="shared" si="25"/>
        <v>3#35#1300|3#37#800</v>
      </c>
      <c r="BP26" s="83" t="str">
        <f t="shared" si="26"/>
        <v>3#9#45|3#10#90|3#11#45|3#12#90|0#1#900|0#2#375|1#1#270|1#2#3750|2#1#540|2#2#3000</v>
      </c>
      <c r="BQ26" s="83" t="str">
        <f t="shared" si="27"/>
        <v>3#35#1300|3#37#800</v>
      </c>
      <c r="BR26" s="83" t="str">
        <f t="shared" si="28"/>
        <v>3#9#45|3#10#90|3#11#45|3#12#90|0#1#900|0#2#375|1#1#270|1#2#3750|2#1#540|2#2#3000</v>
      </c>
      <c r="BS26" s="83" t="str">
        <f t="shared" si="29"/>
        <v>3#35#1300|3#36#800</v>
      </c>
      <c r="BT26" s="83" t="str">
        <f t="shared" si="30"/>
        <v>3#9#45|3#10#90|3#11#45|3#12#90|0#1#900|0#2#375|1#1#270|1#2#3750|2#1#540|2#2#3000</v>
      </c>
      <c r="BU26" s="83" t="str">
        <f t="shared" si="31"/>
        <v>3#35#1300|3#36#800</v>
      </c>
      <c r="BV26" s="83" t="str">
        <f t="shared" si="32"/>
        <v>3#9#45|3#10#90|3#11#45|3#12#90|3#3#52|3#4#105|3#5#52|3#6#105|3#7#52|3#8#105|0#1#1050|0#2#300|1#1#315|1#2#3000|2#1#630|2#2#2400</v>
      </c>
      <c r="BW26" s="83" t="str">
        <f t="shared" si="33"/>
        <v>3#30#38|3#31#38</v>
      </c>
    </row>
    <row r="27" spans="1:104" x14ac:dyDescent="0.3">
      <c r="A27" s="22" t="s">
        <v>174</v>
      </c>
      <c r="B27" s="22" t="s">
        <v>1762</v>
      </c>
      <c r="C27" s="22" t="s">
        <v>90</v>
      </c>
      <c r="D27" s="23"/>
      <c r="E27" s="22" t="s">
        <v>1768</v>
      </c>
      <c r="F27" s="29">
        <v>1</v>
      </c>
      <c r="G27" s="69">
        <v>35</v>
      </c>
      <c r="H27" s="64"/>
      <c r="I27" s="22" t="s">
        <v>1769</v>
      </c>
      <c r="J27" s="22" t="s">
        <v>1765</v>
      </c>
      <c r="K27" s="90">
        <v>25</v>
      </c>
      <c r="L27" s="91">
        <f>INT(120/150*L29)</f>
        <v>12000</v>
      </c>
      <c r="M27" s="91">
        <f t="shared" ref="M27:W27" si="59">INT(120/150*M29)</f>
        <v>48000</v>
      </c>
      <c r="N27" s="91">
        <f t="shared" si="59"/>
        <v>800</v>
      </c>
      <c r="O27" s="91">
        <f t="shared" si="59"/>
        <v>1600</v>
      </c>
      <c r="P27" s="91">
        <f t="shared" si="59"/>
        <v>800</v>
      </c>
      <c r="Q27" s="91">
        <f t="shared" si="59"/>
        <v>1600</v>
      </c>
      <c r="R27" s="91">
        <f t="shared" si="59"/>
        <v>800</v>
      </c>
      <c r="S27" s="91">
        <f t="shared" si="59"/>
        <v>1600</v>
      </c>
      <c r="T27" s="91">
        <f t="shared" si="59"/>
        <v>600</v>
      </c>
      <c r="U27" s="91">
        <f t="shared" si="59"/>
        <v>1200</v>
      </c>
      <c r="V27" s="91">
        <f t="shared" si="59"/>
        <v>600</v>
      </c>
      <c r="W27" s="91">
        <f t="shared" si="59"/>
        <v>1200</v>
      </c>
      <c r="X27" s="91">
        <f>L27*属性价值参考!C$5+基本装备!M27*属性价值参考!C$6+基本装备!N27*属性价值参考!C$7+基本装备!O27*属性价值参考!C$8+基本装备!T27*属性价值参考!C$9+基本装备!U27*属性价值参考!C$10+基本装备!V27*属性价值参考!C$11+基本装备!W27*属性价值参考!C$12</f>
        <v>281232</v>
      </c>
      <c r="Y27" s="91">
        <f>基本装备!AG27*属性价值参考!C$13+基本装备!AH27*属性价值参考!C$36+基本装备!AI27*属性价值参考!C$19+基本装备!AJ27*属性价值参考!C$15+基本装备!AK27*属性价值参考!C$27+基本装备!AP27*属性价值参考!C$20+基本装备!AQ27*属性价值参考!C$21+基本装备!AR27*属性价值参考!C$26+8*(基本装备!AW27*属性价值参考!C$26+基本装备!BB27*属性价值参考!C$27+基本装备!BC27*(属性价值参考!C$28+属性价值参考!C$29))</f>
        <v>105031.59999999999</v>
      </c>
      <c r="Z27" s="9"/>
      <c r="AA27" s="81">
        <f t="shared" si="1"/>
        <v>12000</v>
      </c>
      <c r="AB27" s="81">
        <f t="shared" si="2"/>
        <v>48000</v>
      </c>
      <c r="AC27" s="81">
        <f t="shared" si="3"/>
        <v>1600</v>
      </c>
      <c r="AD27" s="81">
        <f t="shared" si="4"/>
        <v>1200</v>
      </c>
      <c r="AE27" s="9"/>
      <c r="AF27" s="82">
        <f t="shared" si="5"/>
        <v>400</v>
      </c>
      <c r="AG27" s="82">
        <v>80</v>
      </c>
      <c r="AH27" s="82">
        <v>6</v>
      </c>
      <c r="AI27" s="82">
        <v>16</v>
      </c>
      <c r="AJ27" s="82">
        <v>9</v>
      </c>
      <c r="AK27" s="82">
        <v>46</v>
      </c>
      <c r="AL27" s="82">
        <f t="shared" si="6"/>
        <v>3200</v>
      </c>
      <c r="AM27" s="82">
        <f t="shared" si="7"/>
        <v>12800</v>
      </c>
      <c r="AN27" s="82">
        <f t="shared" si="8"/>
        <v>128</v>
      </c>
      <c r="AO27" s="82">
        <f t="shared" si="9"/>
        <v>336.00000000000006</v>
      </c>
      <c r="AP27" s="82">
        <v>6</v>
      </c>
      <c r="AQ27" s="82">
        <v>6</v>
      </c>
      <c r="AR27" s="82">
        <v>90</v>
      </c>
      <c r="AS27" s="82">
        <f t="shared" si="10"/>
        <v>1120</v>
      </c>
      <c r="AT27" s="82">
        <f t="shared" si="11"/>
        <v>3200</v>
      </c>
      <c r="AU27" s="82">
        <f t="shared" si="12"/>
        <v>112.00000000000001</v>
      </c>
      <c r="AV27" s="82">
        <f t="shared" si="13"/>
        <v>96</v>
      </c>
      <c r="AW27" s="82">
        <v>40</v>
      </c>
      <c r="AX27" s="82">
        <f t="shared" si="14"/>
        <v>960</v>
      </c>
      <c r="AY27" s="82">
        <f t="shared" si="15"/>
        <v>4000</v>
      </c>
      <c r="AZ27" s="82">
        <f t="shared" si="16"/>
        <v>120</v>
      </c>
      <c r="BA27" s="82">
        <f t="shared" si="17"/>
        <v>96</v>
      </c>
      <c r="BB27" s="89">
        <v>14</v>
      </c>
      <c r="BC27" s="89">
        <v>9</v>
      </c>
      <c r="BE27" s="83">
        <v>25</v>
      </c>
      <c r="BF27" s="83" t="str">
        <f t="shared" si="37"/>
        <v>3#3#200|3#4#400|3#5#200|3#6#400|3#7#200|3#8#400|3#13#80|3#20#6|3#25#16|3#21#9</v>
      </c>
      <c r="BG27" s="83" t="str">
        <f t="shared" si="18"/>
        <v>3#35#4600</v>
      </c>
      <c r="BH27" s="83" t="str">
        <f t="shared" si="38"/>
        <v>3#9#168|3#10#336|3#11#168|3#12#336|3#3#64|3#4#128|3#5#64|3#6#128|3#7#64|3#8#128|0#1#3200|0#2#1280|1#1#960|1#2#12800|2#1#1920|2#2#10240|3#26#6|3#27#6</v>
      </c>
      <c r="BI27" s="83" t="str">
        <f t="shared" si="19"/>
        <v>3#30#90|3#31#90</v>
      </c>
      <c r="BJ27" s="83" t="str">
        <f t="shared" si="20"/>
        <v>3#9#48|3#10#96|3#11#48|3#12#96|0#1#960|0#2#400|1#1#288|1#2#4000|2#1#576|2#2#3200</v>
      </c>
      <c r="BK27" s="83" t="str">
        <f t="shared" si="21"/>
        <v>3#35#1400|3#36#900</v>
      </c>
      <c r="BL27" s="83" t="str">
        <f t="shared" si="22"/>
        <v>3#9#48|3#10#96|3#11#48|3#12#96|0#1#960|0#2#400|1#1#288|1#2#4000|2#1#576|2#2#3200</v>
      </c>
      <c r="BM27" s="83" t="str">
        <f t="shared" si="23"/>
        <v>3#35#1400|3#36#900</v>
      </c>
      <c r="BN27" s="83" t="str">
        <f t="shared" si="24"/>
        <v>3#9#48|3#10#96|3#11#48|3#12#96|0#1#960|0#2#400|1#1#288|1#2#4000|2#1#576|2#2#3200</v>
      </c>
      <c r="BO27" s="83" t="str">
        <f t="shared" si="25"/>
        <v>3#35#1400|3#37#900</v>
      </c>
      <c r="BP27" s="83" t="str">
        <f t="shared" si="26"/>
        <v>3#9#48|3#10#96|3#11#48|3#12#96|0#1#960|0#2#400|1#1#288|1#2#4000|2#1#576|2#2#3200</v>
      </c>
      <c r="BQ27" s="83" t="str">
        <f t="shared" si="27"/>
        <v>3#35#1400|3#37#900</v>
      </c>
      <c r="BR27" s="83" t="str">
        <f t="shared" si="28"/>
        <v>3#9#48|3#10#96|3#11#48|3#12#96|0#1#960|0#2#400|1#1#288|1#2#4000|2#1#576|2#2#3200</v>
      </c>
      <c r="BS27" s="83" t="str">
        <f t="shared" si="29"/>
        <v>3#35#1400|3#36#900</v>
      </c>
      <c r="BT27" s="83" t="str">
        <f t="shared" si="30"/>
        <v>3#9#48|3#10#96|3#11#48|3#12#96|0#1#960|0#2#400|1#1#288|1#2#4000|2#1#576|2#2#3200</v>
      </c>
      <c r="BU27" s="83" t="str">
        <f t="shared" si="31"/>
        <v>3#35#1400|3#36#900</v>
      </c>
      <c r="BV27" s="83" t="str">
        <f t="shared" si="32"/>
        <v>3#9#48|3#10#96|3#11#48|3#12#96|3#3#56|3#4#112|3#5#56|3#6#112|3#7#56|3#8#112|0#1#1120|0#2#320|1#1#336|1#2#3200|2#1#672|2#2#2560</v>
      </c>
      <c r="BW27" s="83" t="str">
        <f t="shared" si="33"/>
        <v>3#30#40|3#31#40</v>
      </c>
    </row>
    <row r="28" spans="1:104" x14ac:dyDescent="0.3">
      <c r="A28" s="29" t="s">
        <v>174</v>
      </c>
      <c r="B28" s="29" t="s">
        <v>175</v>
      </c>
      <c r="C28" s="29" t="s">
        <v>213</v>
      </c>
      <c r="D28" s="29"/>
      <c r="E28" s="29" t="s">
        <v>287</v>
      </c>
      <c r="F28" s="29">
        <v>2</v>
      </c>
      <c r="G28" s="29">
        <v>40</v>
      </c>
      <c r="H28" s="29"/>
      <c r="I28" s="22" t="s">
        <v>288</v>
      </c>
      <c r="J28" s="22" t="s">
        <v>289</v>
      </c>
      <c r="K28" s="90">
        <v>26</v>
      </c>
      <c r="L28" s="91">
        <f>INT(135/150*L29)</f>
        <v>13500</v>
      </c>
      <c r="M28" s="91">
        <f t="shared" ref="M28:W28" si="60">INT(135/150*M29)</f>
        <v>54000</v>
      </c>
      <c r="N28" s="91">
        <f t="shared" si="60"/>
        <v>900</v>
      </c>
      <c r="O28" s="91">
        <f t="shared" si="60"/>
        <v>1800</v>
      </c>
      <c r="P28" s="91">
        <f t="shared" si="60"/>
        <v>900</v>
      </c>
      <c r="Q28" s="91">
        <f t="shared" si="60"/>
        <v>1800</v>
      </c>
      <c r="R28" s="91">
        <f t="shared" si="60"/>
        <v>900</v>
      </c>
      <c r="S28" s="91">
        <f t="shared" si="60"/>
        <v>1800</v>
      </c>
      <c r="T28" s="91">
        <f t="shared" si="60"/>
        <v>675</v>
      </c>
      <c r="U28" s="91">
        <f t="shared" si="60"/>
        <v>1350</v>
      </c>
      <c r="V28" s="91">
        <f t="shared" si="60"/>
        <v>675</v>
      </c>
      <c r="W28" s="91">
        <f t="shared" si="60"/>
        <v>1350</v>
      </c>
      <c r="X28" s="91">
        <f>L28*属性价值参考!C$5+基本装备!M28*属性价值参考!C$6+基本装备!N28*属性价值参考!C$7+基本装备!O28*属性价值参考!C$8+基本装备!T28*属性价值参考!C$9+基本装备!U28*属性价值参考!C$10+基本装备!V28*属性价值参考!C$11+基本装备!W28*属性价值参考!C$12</f>
        <v>316386</v>
      </c>
      <c r="Y28" s="91">
        <f>基本装备!AG28*属性价值参考!C$13+基本装备!AH28*属性价值参考!C$36+基本装备!AI28*属性价值参考!C$19+基本装备!AJ28*属性价值参考!C$15+基本装备!AK28*属性价值参考!C$27+基本装备!AP28*属性价值参考!C$20+基本装备!AQ28*属性价值参考!C$21+基本装备!AR28*属性价值参考!C$26+8*(基本装备!AW28*属性价值参考!C$26+基本装备!BB28*属性价值参考!C$27+基本装备!BC28*(属性价值参考!C$28+属性价值参考!C$29))</f>
        <v>109826.8</v>
      </c>
      <c r="Z28" s="9"/>
      <c r="AA28" s="81">
        <f t="shared" si="1"/>
        <v>13500</v>
      </c>
      <c r="AB28" s="81">
        <f t="shared" si="2"/>
        <v>54000</v>
      </c>
      <c r="AC28" s="81">
        <f t="shared" si="3"/>
        <v>1800</v>
      </c>
      <c r="AD28" s="81">
        <f t="shared" si="4"/>
        <v>1350</v>
      </c>
      <c r="AE28" s="9"/>
      <c r="AF28" s="82">
        <f t="shared" si="5"/>
        <v>450</v>
      </c>
      <c r="AG28" s="82">
        <v>80</v>
      </c>
      <c r="AH28" s="82">
        <v>6</v>
      </c>
      <c r="AI28" s="82">
        <v>17</v>
      </c>
      <c r="AJ28" s="82">
        <v>9</v>
      </c>
      <c r="AK28" s="82">
        <v>49</v>
      </c>
      <c r="AL28" s="82">
        <f t="shared" si="6"/>
        <v>3600</v>
      </c>
      <c r="AM28" s="82">
        <f t="shared" si="7"/>
        <v>14400</v>
      </c>
      <c r="AN28" s="82">
        <f t="shared" si="8"/>
        <v>144</v>
      </c>
      <c r="AO28" s="82">
        <f t="shared" si="9"/>
        <v>378.00000000000006</v>
      </c>
      <c r="AP28" s="82">
        <v>6</v>
      </c>
      <c r="AQ28" s="82">
        <v>6</v>
      </c>
      <c r="AR28" s="82">
        <v>100</v>
      </c>
      <c r="AS28" s="82">
        <f t="shared" si="10"/>
        <v>1260</v>
      </c>
      <c r="AT28" s="82">
        <f t="shared" si="11"/>
        <v>3600</v>
      </c>
      <c r="AU28" s="82">
        <f t="shared" si="12"/>
        <v>126.00000000000001</v>
      </c>
      <c r="AV28" s="82">
        <f t="shared" si="13"/>
        <v>108</v>
      </c>
      <c r="AW28" s="82">
        <v>42</v>
      </c>
      <c r="AX28" s="82">
        <f t="shared" si="14"/>
        <v>1080</v>
      </c>
      <c r="AY28" s="82">
        <f t="shared" si="15"/>
        <v>4500</v>
      </c>
      <c r="AZ28" s="82">
        <f t="shared" si="16"/>
        <v>135</v>
      </c>
      <c r="BA28" s="82">
        <f t="shared" si="17"/>
        <v>108</v>
      </c>
      <c r="BB28" s="89">
        <v>15</v>
      </c>
      <c r="BC28" s="89">
        <v>9</v>
      </c>
      <c r="BE28" s="83">
        <v>26</v>
      </c>
      <c r="BF28" s="83" t="str">
        <f t="shared" si="37"/>
        <v>3#3#225|3#4#450|3#5#225|3#6#450|3#7#225|3#8#450|3#13#80|3#20#6|3#25#17|3#21#9</v>
      </c>
      <c r="BG28" s="83" t="str">
        <f t="shared" si="18"/>
        <v>3#35#4900</v>
      </c>
      <c r="BH28" s="83" t="str">
        <f t="shared" si="38"/>
        <v>3#9#189|3#10#378|3#11#189|3#12#378|3#3#72|3#4#144|3#5#72|3#6#144|3#7#72|3#8#144|0#1#3600|0#2#1440|1#1#1080|1#2#14400|2#1#2160|2#2#11520|3#26#6|3#27#6</v>
      </c>
      <c r="BI28" s="83" t="str">
        <f t="shared" si="19"/>
        <v>3#30#100|3#31#100</v>
      </c>
      <c r="BJ28" s="83" t="str">
        <f t="shared" si="20"/>
        <v>3#9#54|3#10#108|3#11#54|3#12#108|0#1#1080|0#2#450|1#1#324|1#2#4500|2#1#648|2#2#3600</v>
      </c>
      <c r="BK28" s="83" t="str">
        <f t="shared" si="21"/>
        <v>3#35#1500|3#36#900</v>
      </c>
      <c r="BL28" s="83" t="str">
        <f t="shared" si="22"/>
        <v>3#9#54|3#10#108|3#11#54|3#12#108|0#1#1080|0#2#450|1#1#324|1#2#4500|2#1#648|2#2#3600</v>
      </c>
      <c r="BM28" s="83" t="str">
        <f t="shared" si="23"/>
        <v>3#35#1500|3#36#900</v>
      </c>
      <c r="BN28" s="83" t="str">
        <f t="shared" si="24"/>
        <v>3#9#54|3#10#108|3#11#54|3#12#108|0#1#1080|0#2#450|1#1#324|1#2#4500|2#1#648|2#2#3600</v>
      </c>
      <c r="BO28" s="83" t="str">
        <f t="shared" si="25"/>
        <v>3#35#1500|3#37#900</v>
      </c>
      <c r="BP28" s="83" t="str">
        <f t="shared" si="26"/>
        <v>3#9#54|3#10#108|3#11#54|3#12#108|0#1#1080|0#2#450|1#1#324|1#2#4500|2#1#648|2#2#3600</v>
      </c>
      <c r="BQ28" s="83" t="str">
        <f t="shared" si="27"/>
        <v>3#35#1500|3#37#900</v>
      </c>
      <c r="BR28" s="83" t="str">
        <f t="shared" si="28"/>
        <v>3#9#54|3#10#108|3#11#54|3#12#108|0#1#1080|0#2#450|1#1#324|1#2#4500|2#1#648|2#2#3600</v>
      </c>
      <c r="BS28" s="83" t="str">
        <f t="shared" si="29"/>
        <v>3#35#1500|3#36#900</v>
      </c>
      <c r="BT28" s="83" t="str">
        <f t="shared" si="30"/>
        <v>3#9#54|3#10#108|3#11#54|3#12#108|0#1#1080|0#2#450|1#1#324|1#2#4500|2#1#648|2#2#3600</v>
      </c>
      <c r="BU28" s="83" t="str">
        <f t="shared" si="31"/>
        <v>3#35#1500|3#36#900</v>
      </c>
      <c r="BV28" s="83" t="str">
        <f t="shared" si="32"/>
        <v>3#9#54|3#10#108|3#11#54|3#12#108|3#3#63|3#4#126|3#5#63|3#6#126|3#7#63|3#8#126|0#1#1260|0#2#360|1#1#378|1#2#3600|2#1#756|2#2#2880</v>
      </c>
      <c r="BW28" s="83" t="str">
        <f t="shared" si="33"/>
        <v>3#30#42|3#31#42</v>
      </c>
    </row>
    <row r="29" spans="1:104" x14ac:dyDescent="0.3">
      <c r="A29" s="29" t="s">
        <v>174</v>
      </c>
      <c r="B29" s="29" t="s">
        <v>175</v>
      </c>
      <c r="C29" s="29" t="s">
        <v>217</v>
      </c>
      <c r="D29" s="29"/>
      <c r="E29" s="29" t="s">
        <v>290</v>
      </c>
      <c r="F29" s="29">
        <v>2</v>
      </c>
      <c r="G29" s="29">
        <v>40</v>
      </c>
      <c r="H29" s="29"/>
      <c r="I29" s="22" t="s">
        <v>291</v>
      </c>
      <c r="J29" s="22" t="s">
        <v>292</v>
      </c>
      <c r="K29" s="90">
        <v>27</v>
      </c>
      <c r="L29" s="91">
        <f>养成属性分配!V31</f>
        <v>15000</v>
      </c>
      <c r="M29" s="91">
        <f>养成属性分配!W31</f>
        <v>60000</v>
      </c>
      <c r="N29" s="91">
        <f>0.5*O29</f>
        <v>1000</v>
      </c>
      <c r="O29" s="91">
        <f>养成属性分配!X31</f>
        <v>2000</v>
      </c>
      <c r="P29" s="91">
        <f>0.5*Q29</f>
        <v>1000</v>
      </c>
      <c r="Q29" s="91">
        <f>养成属性分配!X31</f>
        <v>2000</v>
      </c>
      <c r="R29" s="91">
        <f>0.5*S29</f>
        <v>1000</v>
      </c>
      <c r="S29" s="91">
        <f>养成属性分配!X31</f>
        <v>2000</v>
      </c>
      <c r="T29" s="91">
        <f>0.5*U29</f>
        <v>750</v>
      </c>
      <c r="U29" s="91">
        <f>养成属性分配!Y31</f>
        <v>1500</v>
      </c>
      <c r="V29" s="91">
        <f>0.5*W29</f>
        <v>750</v>
      </c>
      <c r="W29" s="91">
        <f>养成属性分配!Y31</f>
        <v>1500</v>
      </c>
      <c r="X29" s="91">
        <f>L29*属性价值参考!C$5+基本装备!M29*属性价值参考!C$6+基本装备!N29*属性价值参考!C$7+基本装备!O29*属性价值参考!C$8+基本装备!T29*属性价值参考!C$9+基本装备!U29*属性价值参考!C$10+基本装备!V29*属性价值参考!C$11+基本装备!W29*属性价值参考!C$12</f>
        <v>351540</v>
      </c>
      <c r="Y29" s="91">
        <f>基本装备!AG29*属性价值参考!C$13+基本装备!AH29*属性价值参考!C$36+基本装备!AI29*属性价值参考!C$19+基本装备!AJ29*属性价值参考!C$15+基本装备!AK29*属性价值参考!C$27+基本装备!AP29*属性价值参考!C$20+基本装备!AQ29*属性价值参考!C$21+基本装备!AR29*属性价值参考!C$26+8*(基本装备!AW29*属性价值参考!C$26+基本装备!BB29*属性价值参考!C$27+基本装备!BC29*(属性价值参考!C$28+属性价值参考!C$29))</f>
        <v>118669.59999999999</v>
      </c>
      <c r="Z29" s="9"/>
      <c r="AA29" s="81">
        <f>AL29+AS29+AX29*8</f>
        <v>15000</v>
      </c>
      <c r="AB29" s="81">
        <f>AM29+AT29+AY29*8</f>
        <v>60000</v>
      </c>
      <c r="AC29" s="81">
        <f>AF29+AN29+AU29+AZ29*8</f>
        <v>2000</v>
      </c>
      <c r="AD29" s="81">
        <f>AO29+AV29+BA29*8</f>
        <v>1500</v>
      </c>
      <c r="AE29" s="9"/>
      <c r="AF29" s="82">
        <f>1/4*O29</f>
        <v>500</v>
      </c>
      <c r="AG29" s="82">
        <v>80</v>
      </c>
      <c r="AH29" s="82">
        <v>7</v>
      </c>
      <c r="AI29" s="82">
        <v>18</v>
      </c>
      <c r="AJ29" s="82">
        <v>10</v>
      </c>
      <c r="AK29" s="82">
        <v>52</v>
      </c>
      <c r="AL29" s="82">
        <f>4/15*L29</f>
        <v>4000</v>
      </c>
      <c r="AM29" s="82">
        <f>4/15*M29</f>
        <v>16000</v>
      </c>
      <c r="AN29" s="82">
        <f>2/25*O29</f>
        <v>160</v>
      </c>
      <c r="AO29" s="82">
        <f>7/25*U29</f>
        <v>420.00000000000006</v>
      </c>
      <c r="AP29" s="82">
        <v>6</v>
      </c>
      <c r="AQ29" s="82">
        <v>6</v>
      </c>
      <c r="AR29" s="82">
        <v>110</v>
      </c>
      <c r="AS29" s="82">
        <f>7/75*L29</f>
        <v>1400</v>
      </c>
      <c r="AT29" s="82">
        <f>1/15*M29</f>
        <v>4000</v>
      </c>
      <c r="AU29" s="82">
        <f>140/2000*O29</f>
        <v>140</v>
      </c>
      <c r="AV29" s="82">
        <f>2/25*U29</f>
        <v>120</v>
      </c>
      <c r="AW29" s="82">
        <v>44</v>
      </c>
      <c r="AX29" s="82">
        <f>2/25*L29</f>
        <v>1200</v>
      </c>
      <c r="AY29" s="82">
        <f>1/12*M29</f>
        <v>5000</v>
      </c>
      <c r="AZ29" s="82">
        <f>3/40*O29</f>
        <v>150</v>
      </c>
      <c r="BA29" s="82">
        <f>2/25*U29</f>
        <v>120</v>
      </c>
      <c r="BB29" s="89">
        <v>16</v>
      </c>
      <c r="BC29" s="89">
        <v>10</v>
      </c>
      <c r="BE29" s="83">
        <v>27</v>
      </c>
      <c r="BF29" s="83" t="str">
        <f>"3#3#"&amp;INT(0.5*AF29)&amp;"|"&amp;"3#4#"&amp;INT(AF29)&amp;"|"&amp;"3#5#"&amp;INT(0.5*AF29)&amp;"|"&amp;"3#6#"&amp;INT(AF29)&amp;"|"&amp;"3#7#"&amp;INT(0.5*AF29)&amp;"|"&amp;"3#8#"&amp;INT(AF29)&amp;"|"&amp;"3#13#"&amp;INT(AG29)&amp;"|"&amp;"3#20#"&amp;INT(AH29)&amp;"|"&amp;"3#25#"&amp;INT(AI29)&amp;"|"&amp;"3#21#"&amp;INT(AJ29)</f>
        <v>3#3#250|3#4#500|3#5#250|3#6#500|3#7#250|3#8#500|3#13#80|3#20#7|3#25#18|3#21#10</v>
      </c>
      <c r="BG29" s="83" t="str">
        <f>"3#35#"&amp;100*AK29</f>
        <v>3#35#5200</v>
      </c>
      <c r="BH29" s="83" t="str">
        <f>"3#9#"&amp;INT(0.5*AO29)&amp;"|"&amp;"3#10#"&amp;INT(AO29)&amp;"|"&amp;"3#11#"&amp;INT(0.5*AO29)&amp;"|"&amp;"3#12#"&amp;INT(AO29)&amp;"|"&amp;"3#3#"&amp;INT(0.5*AN29)&amp;"|"&amp;"3#4#"&amp;INT(AN29)&amp;"|"&amp;"3#5#"&amp;INT(0.5*AN29)&amp;"|"&amp;"3#6#"&amp;INT(AN29)&amp;"|"&amp;"3#7#"&amp;INT(0.5*AN29)&amp;"|"&amp;"3#8#"&amp;INT(AN29)&amp;"|"&amp;"0#1#"&amp;INT(AL29)&amp;"|"&amp;"0#2#"&amp;INT(0.1*AM29)&amp;"|"&amp;"1#1#"&amp;INT(0.3*AL29)&amp;"|"&amp;"1#2#"&amp;INT(AM29)&amp;"|"&amp;"2#1#"&amp;INT(0.6*AL29)&amp;"|"&amp;"2#2#"&amp;INT(0.8*AM29)&amp;"|"&amp;"3#26#"&amp;INT(AP29)&amp;"|"&amp;"3#27#"&amp;INT(AQ29)</f>
        <v>3#9#210|3#10#420|3#11#210|3#12#420|3#3#80|3#4#160|3#5#80|3#6#160|3#7#80|3#8#160|0#1#4000|0#2#1600|1#1#1200|1#2#16000|2#1#2400|2#2#12800|3#26#6|3#27#6</v>
      </c>
      <c r="BI29" s="83" t="str">
        <f>"3#30#"&amp;AR29&amp;"|"&amp;"3#31#"&amp;AR29</f>
        <v>3#30#110|3#31#110</v>
      </c>
      <c r="BJ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K29" s="83" t="str">
        <f>"3#35#"&amp;100*BB29&amp;"|"&amp;"3#36#"&amp;100*BC29</f>
        <v>3#35#1600|3#36#1000</v>
      </c>
      <c r="BL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M29" s="83" t="str">
        <f>"3#35#"&amp;100*BB29&amp;"|"&amp;"3#36#"&amp;100*BC29</f>
        <v>3#35#1600|3#36#1000</v>
      </c>
      <c r="BN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O29" s="83" t="str">
        <f>"3#35#"&amp;100*BB29&amp;"|"&amp;"3#37#"&amp;100*BC29</f>
        <v>3#35#1600|3#37#1000</v>
      </c>
      <c r="BP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Q29" s="83" t="str">
        <f>"3#35#"&amp;100*BB29&amp;"|"&amp;"3#37#"&amp;100*BC29</f>
        <v>3#35#1600|3#37#1000</v>
      </c>
      <c r="BR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S29" s="83" t="str">
        <f>"3#35#"&amp;100*BB29&amp;"|"&amp;"3#36#"&amp;100*BC29</f>
        <v>3#35#1600|3#36#1000</v>
      </c>
      <c r="BT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U29" s="83" t="str">
        <f>"3#35#"&amp;100*BB29&amp;"|"&amp;"3#36#"&amp;100*BC29</f>
        <v>3#35#1600|3#36#1000</v>
      </c>
      <c r="BV29" s="83" t="str">
        <f>"3#9#"&amp;INT(0.5*AV29)&amp;"|"&amp;"3#10#"&amp;INT(AV29)&amp;"|"&amp;"3#11#"&amp;INT(0.5*AV29)&amp;"|"&amp;"3#12#"&amp;INT(AV29)&amp;"|"&amp;"3#3#"&amp;INT(0.5*AU29)&amp;"|"&amp;"3#4#"&amp;INT(AU29)&amp;"|"&amp;"3#5#"&amp;INT(0.5*AU29)&amp;"|"&amp;"3#6#"&amp;INT(AU29)&amp;"|"&amp;"3#7#"&amp;INT(0.5*AU29)&amp;"|"&amp;"3#8#"&amp;INT(AU29)&amp;"|"&amp;"0#1#"&amp;INT(AS29)&amp;"|"&amp;"0#2#"&amp;INT(0.1*AT29)&amp;"|"&amp;"1#1#"&amp;INT(0.3*AS29)&amp;"|"&amp;"1#2#"&amp;INT(AT29)&amp;"|"&amp;"2#1#"&amp;INT(0.6*AS29)&amp;"|"&amp;"2#2#"&amp;INT(0.8*AT29)</f>
        <v>3#9#60|3#10#120|3#11#60|3#12#120|3#3#70|3#4#140|3#5#70|3#6#140|3#7#70|3#8#140|0#1#1400|0#2#400|1#1#420|1#2#4000|2#1#840|2#2#3200</v>
      </c>
      <c r="BW29" s="83" t="str">
        <f>"3#30#"&amp;AW29&amp;"|"&amp;"3#31#"&amp;AW29</f>
        <v>3#30#44|3#31#44</v>
      </c>
    </row>
    <row r="30" spans="1:104" x14ac:dyDescent="0.3">
      <c r="A30" s="29" t="s">
        <v>174</v>
      </c>
      <c r="B30" s="29" t="s">
        <v>175</v>
      </c>
      <c r="C30" s="29" t="s">
        <v>221</v>
      </c>
      <c r="D30" s="29"/>
      <c r="E30" s="29" t="s">
        <v>293</v>
      </c>
      <c r="F30" s="29">
        <v>2</v>
      </c>
      <c r="G30" s="29">
        <v>40</v>
      </c>
      <c r="H30" s="29"/>
      <c r="I30" s="22" t="s">
        <v>294</v>
      </c>
      <c r="J30" s="22" t="s">
        <v>295</v>
      </c>
      <c r="K30" s="34"/>
    </row>
    <row r="31" spans="1:104" x14ac:dyDescent="0.3">
      <c r="A31" s="64" t="s">
        <v>174</v>
      </c>
      <c r="B31" s="64" t="s">
        <v>530</v>
      </c>
      <c r="C31" s="64" t="s">
        <v>87</v>
      </c>
      <c r="D31" s="64" t="s">
        <v>531</v>
      </c>
      <c r="E31" s="64" t="s">
        <v>597</v>
      </c>
      <c r="F31" s="29">
        <v>2</v>
      </c>
      <c r="G31" s="29">
        <v>40</v>
      </c>
      <c r="H31" s="29"/>
      <c r="I31" s="22" t="s">
        <v>598</v>
      </c>
      <c r="J31" s="22" t="s">
        <v>599</v>
      </c>
      <c r="K31" s="34"/>
    </row>
    <row r="32" spans="1:104" x14ac:dyDescent="0.3">
      <c r="A32" s="64" t="s">
        <v>174</v>
      </c>
      <c r="B32" s="64" t="s">
        <v>530</v>
      </c>
      <c r="C32" s="64" t="s">
        <v>93</v>
      </c>
      <c r="D32" s="64" t="s">
        <v>531</v>
      </c>
      <c r="E32" s="64" t="s">
        <v>600</v>
      </c>
      <c r="F32" s="29">
        <v>2</v>
      </c>
      <c r="G32" s="29">
        <v>40</v>
      </c>
      <c r="H32" s="29"/>
      <c r="I32" s="22" t="s">
        <v>601</v>
      </c>
      <c r="J32" s="22" t="s">
        <v>599</v>
      </c>
      <c r="K32" s="34"/>
    </row>
    <row r="33" spans="1:11" x14ac:dyDescent="0.3">
      <c r="A33" s="64" t="s">
        <v>174</v>
      </c>
      <c r="B33" s="64" t="s">
        <v>530</v>
      </c>
      <c r="C33" s="64" t="s">
        <v>90</v>
      </c>
      <c r="D33" s="64" t="s">
        <v>531</v>
      </c>
      <c r="E33" s="64" t="s">
        <v>602</v>
      </c>
      <c r="F33" s="29">
        <v>2</v>
      </c>
      <c r="G33" s="29">
        <v>40</v>
      </c>
      <c r="H33" s="29"/>
      <c r="I33" s="22" t="s">
        <v>603</v>
      </c>
      <c r="J33" s="22" t="s">
        <v>599</v>
      </c>
      <c r="K33" s="34"/>
    </row>
    <row r="34" spans="1:11" x14ac:dyDescent="0.3">
      <c r="A34" s="22" t="s">
        <v>174</v>
      </c>
      <c r="B34" s="22" t="s">
        <v>753</v>
      </c>
      <c r="C34" s="22" t="s">
        <v>213</v>
      </c>
      <c r="D34" s="23"/>
      <c r="E34" s="23" t="s">
        <v>820</v>
      </c>
      <c r="F34" s="29">
        <v>2</v>
      </c>
      <c r="G34" s="29">
        <v>40</v>
      </c>
      <c r="H34" s="64"/>
      <c r="I34" s="22" t="s">
        <v>821</v>
      </c>
      <c r="J34" s="22" t="s">
        <v>822</v>
      </c>
      <c r="K34" s="34"/>
    </row>
    <row r="35" spans="1:11" x14ac:dyDescent="0.3">
      <c r="A35" s="22" t="s">
        <v>174</v>
      </c>
      <c r="B35" s="22" t="s">
        <v>753</v>
      </c>
      <c r="C35" s="22" t="s">
        <v>221</v>
      </c>
      <c r="D35" s="23"/>
      <c r="E35" s="23" t="s">
        <v>823</v>
      </c>
      <c r="F35" s="29">
        <v>2</v>
      </c>
      <c r="G35" s="29">
        <v>40</v>
      </c>
      <c r="H35" s="64"/>
      <c r="I35" s="22" t="s">
        <v>824</v>
      </c>
      <c r="J35" s="22" t="s">
        <v>822</v>
      </c>
      <c r="K35" s="34"/>
    </row>
    <row r="36" spans="1:11" x14ac:dyDescent="0.3">
      <c r="A36" s="22" t="s">
        <v>174</v>
      </c>
      <c r="B36" s="22" t="s">
        <v>753</v>
      </c>
      <c r="C36" s="22" t="s">
        <v>217</v>
      </c>
      <c r="D36" s="23"/>
      <c r="E36" s="23" t="s">
        <v>825</v>
      </c>
      <c r="F36" s="29">
        <v>2</v>
      </c>
      <c r="G36" s="29">
        <v>40</v>
      </c>
      <c r="H36" s="64"/>
      <c r="I36" s="22" t="s">
        <v>826</v>
      </c>
      <c r="J36" s="22" t="s">
        <v>822</v>
      </c>
      <c r="K36" s="34"/>
    </row>
    <row r="37" spans="1:11" x14ac:dyDescent="0.3">
      <c r="A37" s="22" t="s">
        <v>174</v>
      </c>
      <c r="B37" s="22" t="s">
        <v>942</v>
      </c>
      <c r="C37" s="22" t="s">
        <v>90</v>
      </c>
      <c r="D37" s="23"/>
      <c r="E37" s="22" t="s">
        <v>1000</v>
      </c>
      <c r="F37" s="29">
        <v>2</v>
      </c>
      <c r="G37" s="29">
        <v>40</v>
      </c>
      <c r="H37" s="64"/>
      <c r="I37" s="22" t="s">
        <v>1001</v>
      </c>
      <c r="J37" s="22" t="s">
        <v>1002</v>
      </c>
      <c r="K37" s="34"/>
    </row>
    <row r="38" spans="1:11" x14ac:dyDescent="0.3">
      <c r="A38" s="22" t="s">
        <v>174</v>
      </c>
      <c r="B38" s="22" t="s">
        <v>942</v>
      </c>
      <c r="C38" s="22" t="s">
        <v>87</v>
      </c>
      <c r="D38" s="23"/>
      <c r="E38" s="22" t="s">
        <v>1137</v>
      </c>
      <c r="F38" s="29">
        <v>2</v>
      </c>
      <c r="G38" s="29">
        <v>40</v>
      </c>
      <c r="H38" s="64"/>
      <c r="I38" s="22" t="s">
        <v>1138</v>
      </c>
      <c r="J38" s="22" t="s">
        <v>1139</v>
      </c>
      <c r="K38" s="34"/>
    </row>
    <row r="39" spans="1:11" x14ac:dyDescent="0.3">
      <c r="A39" s="22" t="s">
        <v>174</v>
      </c>
      <c r="B39" s="22" t="s">
        <v>942</v>
      </c>
      <c r="C39" s="22" t="s">
        <v>93</v>
      </c>
      <c r="D39" s="23"/>
      <c r="E39" s="22" t="s">
        <v>1140</v>
      </c>
      <c r="F39" s="29">
        <v>2</v>
      </c>
      <c r="G39" s="29">
        <v>40</v>
      </c>
      <c r="H39" s="64"/>
      <c r="I39" s="22" t="s">
        <v>1141</v>
      </c>
      <c r="J39" s="22" t="s">
        <v>1142</v>
      </c>
      <c r="K39" s="34"/>
    </row>
    <row r="40" spans="1:11" x14ac:dyDescent="0.3">
      <c r="A40" s="22" t="s">
        <v>174</v>
      </c>
      <c r="B40" s="22" t="s">
        <v>1151</v>
      </c>
      <c r="C40" s="22" t="s">
        <v>87</v>
      </c>
      <c r="D40" s="23"/>
      <c r="E40" s="22" t="s">
        <v>1227</v>
      </c>
      <c r="F40" s="29">
        <v>2</v>
      </c>
      <c r="G40" s="29">
        <v>40</v>
      </c>
      <c r="H40" s="64"/>
      <c r="I40" s="22" t="s">
        <v>1228</v>
      </c>
      <c r="J40" s="22" t="s">
        <v>1139</v>
      </c>
      <c r="K40" s="34"/>
    </row>
    <row r="41" spans="1:11" x14ac:dyDescent="0.3">
      <c r="A41" s="22" t="s">
        <v>174</v>
      </c>
      <c r="B41" s="22" t="s">
        <v>1151</v>
      </c>
      <c r="C41" s="22" t="s">
        <v>93</v>
      </c>
      <c r="D41" s="23"/>
      <c r="E41" s="22" t="s">
        <v>1229</v>
      </c>
      <c r="F41" s="29">
        <v>2</v>
      </c>
      <c r="G41" s="29">
        <v>40</v>
      </c>
      <c r="H41" s="64"/>
      <c r="I41" s="22" t="s">
        <v>1230</v>
      </c>
      <c r="J41" s="22" t="s">
        <v>1142</v>
      </c>
      <c r="K41" s="34"/>
    </row>
    <row r="42" spans="1:11" x14ac:dyDescent="0.3">
      <c r="A42" s="22" t="s">
        <v>174</v>
      </c>
      <c r="B42" s="22" t="s">
        <v>1151</v>
      </c>
      <c r="C42" s="22" t="s">
        <v>90</v>
      </c>
      <c r="D42" s="23"/>
      <c r="E42" s="22" t="s">
        <v>1231</v>
      </c>
      <c r="F42" s="29">
        <v>2</v>
      </c>
      <c r="G42" s="29">
        <v>40</v>
      </c>
      <c r="H42" s="64"/>
      <c r="I42" s="22" t="s">
        <v>1232</v>
      </c>
      <c r="J42" s="22" t="s">
        <v>1002</v>
      </c>
      <c r="K42" s="34"/>
    </row>
    <row r="43" spans="1:11" x14ac:dyDescent="0.3">
      <c r="A43" s="22" t="s">
        <v>174</v>
      </c>
      <c r="B43" s="22" t="s">
        <v>1332</v>
      </c>
      <c r="C43" s="22" t="s">
        <v>87</v>
      </c>
      <c r="D43" s="23"/>
      <c r="E43" s="22" t="s">
        <v>1417</v>
      </c>
      <c r="F43" s="29">
        <v>2</v>
      </c>
      <c r="G43" s="29">
        <v>40</v>
      </c>
      <c r="H43" s="64"/>
      <c r="I43" s="22" t="s">
        <v>1418</v>
      </c>
      <c r="J43" s="22" t="s">
        <v>1139</v>
      </c>
      <c r="K43" s="34"/>
    </row>
    <row r="44" spans="1:11" x14ac:dyDescent="0.3">
      <c r="A44" s="22" t="s">
        <v>174</v>
      </c>
      <c r="B44" s="22" t="s">
        <v>1332</v>
      </c>
      <c r="C44" s="22" t="s">
        <v>93</v>
      </c>
      <c r="D44" s="23"/>
      <c r="E44" s="22" t="s">
        <v>1419</v>
      </c>
      <c r="F44" s="29">
        <v>2</v>
      </c>
      <c r="G44" s="29">
        <v>40</v>
      </c>
      <c r="H44" s="64"/>
      <c r="I44" s="22" t="s">
        <v>1420</v>
      </c>
      <c r="J44" s="22" t="s">
        <v>1142</v>
      </c>
      <c r="K44" s="34"/>
    </row>
    <row r="45" spans="1:11" x14ac:dyDescent="0.3">
      <c r="A45" s="22" t="s">
        <v>174</v>
      </c>
      <c r="B45" s="22" t="s">
        <v>1332</v>
      </c>
      <c r="C45" s="22" t="s">
        <v>90</v>
      </c>
      <c r="D45" s="23"/>
      <c r="E45" s="22" t="s">
        <v>1421</v>
      </c>
      <c r="F45" s="29">
        <v>2</v>
      </c>
      <c r="G45" s="29">
        <v>40</v>
      </c>
      <c r="H45" s="64"/>
      <c r="I45" s="22" t="s">
        <v>1422</v>
      </c>
      <c r="J45" s="22" t="s">
        <v>1002</v>
      </c>
      <c r="K45" s="34"/>
    </row>
    <row r="46" spans="1:11" x14ac:dyDescent="0.3">
      <c r="A46" s="22" t="s">
        <v>174</v>
      </c>
      <c r="B46" s="22" t="s">
        <v>1498</v>
      </c>
      <c r="C46" s="22" t="s">
        <v>176</v>
      </c>
      <c r="D46" s="23"/>
      <c r="E46" s="22" t="s">
        <v>1521</v>
      </c>
      <c r="F46" s="29">
        <v>2</v>
      </c>
      <c r="G46" s="29">
        <v>40</v>
      </c>
      <c r="H46" s="64"/>
      <c r="I46" s="22" t="s">
        <v>1522</v>
      </c>
      <c r="J46" s="22" t="s">
        <v>571</v>
      </c>
      <c r="K46" s="34"/>
    </row>
    <row r="47" spans="1:11" x14ac:dyDescent="0.3">
      <c r="A47" s="22" t="s">
        <v>174</v>
      </c>
      <c r="B47" s="22" t="s">
        <v>1617</v>
      </c>
      <c r="C47" s="22" t="s">
        <v>87</v>
      </c>
      <c r="D47" s="23"/>
      <c r="E47" s="22" t="s">
        <v>1666</v>
      </c>
      <c r="F47" s="29">
        <v>2</v>
      </c>
      <c r="G47" s="29">
        <v>40</v>
      </c>
      <c r="H47" s="64"/>
      <c r="I47" s="22" t="s">
        <v>1667</v>
      </c>
      <c r="J47" s="22" t="s">
        <v>822</v>
      </c>
      <c r="K47" s="34"/>
    </row>
    <row r="48" spans="1:11" x14ac:dyDescent="0.3">
      <c r="A48" s="22" t="s">
        <v>174</v>
      </c>
      <c r="B48" s="22" t="s">
        <v>1617</v>
      </c>
      <c r="C48" s="22" t="s">
        <v>93</v>
      </c>
      <c r="D48" s="23"/>
      <c r="E48" s="22" t="s">
        <v>1668</v>
      </c>
      <c r="F48" s="29">
        <v>2</v>
      </c>
      <c r="G48" s="29">
        <v>40</v>
      </c>
      <c r="H48" s="64"/>
      <c r="I48" s="22" t="s">
        <v>1669</v>
      </c>
      <c r="J48" s="22" t="s">
        <v>822</v>
      </c>
      <c r="K48" s="34"/>
    </row>
    <row r="49" spans="1:11" x14ac:dyDescent="0.3">
      <c r="A49" s="22" t="s">
        <v>174</v>
      </c>
      <c r="B49" s="22" t="s">
        <v>1617</v>
      </c>
      <c r="C49" s="64" t="s">
        <v>90</v>
      </c>
      <c r="D49" s="23"/>
      <c r="E49" s="22" t="s">
        <v>1670</v>
      </c>
      <c r="F49" s="29">
        <v>2</v>
      </c>
      <c r="G49" s="29">
        <v>40</v>
      </c>
      <c r="H49" s="64"/>
      <c r="I49" s="22" t="s">
        <v>1671</v>
      </c>
      <c r="J49" s="22" t="s">
        <v>822</v>
      </c>
      <c r="K49" s="34"/>
    </row>
    <row r="50" spans="1:11" x14ac:dyDescent="0.3">
      <c r="A50" s="22" t="s">
        <v>174</v>
      </c>
      <c r="B50" s="22" t="s">
        <v>1762</v>
      </c>
      <c r="C50" s="22" t="s">
        <v>87</v>
      </c>
      <c r="D50" s="23"/>
      <c r="E50" s="22" t="s">
        <v>1812</v>
      </c>
      <c r="F50" s="29">
        <v>2</v>
      </c>
      <c r="G50" s="29">
        <v>40</v>
      </c>
      <c r="H50" s="64"/>
      <c r="I50" s="22" t="s">
        <v>1813</v>
      </c>
      <c r="J50" s="22" t="s">
        <v>1814</v>
      </c>
      <c r="K50" s="34"/>
    </row>
    <row r="51" spans="1:11" x14ac:dyDescent="0.3">
      <c r="A51" s="22" t="s">
        <v>174</v>
      </c>
      <c r="B51" s="22" t="s">
        <v>1762</v>
      </c>
      <c r="C51" s="22" t="s">
        <v>93</v>
      </c>
      <c r="D51" s="23"/>
      <c r="E51" s="22" t="s">
        <v>1815</v>
      </c>
      <c r="F51" s="29">
        <v>2</v>
      </c>
      <c r="G51" s="29">
        <v>40</v>
      </c>
      <c r="H51" s="64"/>
      <c r="I51" s="22" t="s">
        <v>1816</v>
      </c>
      <c r="J51" s="22" t="s">
        <v>1814</v>
      </c>
      <c r="K51" s="34"/>
    </row>
    <row r="52" spans="1:11" x14ac:dyDescent="0.3">
      <c r="A52" s="22" t="s">
        <v>174</v>
      </c>
      <c r="B52" s="22" t="s">
        <v>1762</v>
      </c>
      <c r="C52" s="22" t="s">
        <v>90</v>
      </c>
      <c r="D52" s="23"/>
      <c r="E52" s="22" t="s">
        <v>1817</v>
      </c>
      <c r="F52" s="29">
        <v>2</v>
      </c>
      <c r="G52" s="29">
        <v>40</v>
      </c>
      <c r="H52" s="64"/>
      <c r="I52" s="22" t="s">
        <v>1818</v>
      </c>
      <c r="J52" s="22" t="s">
        <v>1814</v>
      </c>
      <c r="K52" s="34"/>
    </row>
    <row r="53" spans="1:11" x14ac:dyDescent="0.3">
      <c r="A53" s="29" t="s">
        <v>174</v>
      </c>
      <c r="B53" s="29" t="s">
        <v>175</v>
      </c>
      <c r="C53" s="29" t="s">
        <v>213</v>
      </c>
      <c r="D53" s="29"/>
      <c r="E53" s="29" t="s">
        <v>296</v>
      </c>
      <c r="F53" s="29">
        <v>3</v>
      </c>
      <c r="G53" s="29">
        <v>50</v>
      </c>
      <c r="H53" s="29"/>
      <c r="I53" s="22" t="s">
        <v>297</v>
      </c>
      <c r="J53" s="22" t="s">
        <v>298</v>
      </c>
      <c r="K53" s="34"/>
    </row>
    <row r="54" spans="1:11" x14ac:dyDescent="0.3">
      <c r="A54" s="29" t="s">
        <v>174</v>
      </c>
      <c r="B54" s="29" t="s">
        <v>175</v>
      </c>
      <c r="C54" s="29" t="s">
        <v>217</v>
      </c>
      <c r="D54" s="29"/>
      <c r="E54" s="29" t="s">
        <v>299</v>
      </c>
      <c r="F54" s="29">
        <v>3</v>
      </c>
      <c r="G54" s="29">
        <v>50</v>
      </c>
      <c r="H54" s="29"/>
      <c r="I54" s="22" t="s">
        <v>300</v>
      </c>
      <c r="J54" s="22" t="s">
        <v>301</v>
      </c>
      <c r="K54" s="34"/>
    </row>
    <row r="55" spans="1:11" x14ac:dyDescent="0.3">
      <c r="A55" s="29" t="s">
        <v>174</v>
      </c>
      <c r="B55" s="29" t="s">
        <v>175</v>
      </c>
      <c r="C55" s="29" t="s">
        <v>221</v>
      </c>
      <c r="D55" s="29"/>
      <c r="E55" s="29" t="s">
        <v>302</v>
      </c>
      <c r="F55" s="29">
        <v>3</v>
      </c>
      <c r="G55" s="29">
        <v>50</v>
      </c>
      <c r="H55" s="29"/>
      <c r="I55" s="22" t="s">
        <v>303</v>
      </c>
      <c r="J55" s="22" t="s">
        <v>304</v>
      </c>
      <c r="K55" s="34"/>
    </row>
    <row r="56" spans="1:11" x14ac:dyDescent="0.3">
      <c r="A56" s="64" t="s">
        <v>174</v>
      </c>
      <c r="B56" s="64" t="s">
        <v>530</v>
      </c>
      <c r="C56" s="64" t="s">
        <v>87</v>
      </c>
      <c r="D56" s="64" t="s">
        <v>531</v>
      </c>
      <c r="E56" s="64" t="s">
        <v>604</v>
      </c>
      <c r="F56" s="29">
        <v>3</v>
      </c>
      <c r="G56" s="29">
        <v>50</v>
      </c>
      <c r="H56" s="29"/>
      <c r="I56" s="22" t="s">
        <v>605</v>
      </c>
      <c r="J56" s="22" t="s">
        <v>606</v>
      </c>
      <c r="K56" s="34"/>
    </row>
    <row r="57" spans="1:11" x14ac:dyDescent="0.3">
      <c r="A57" s="64" t="s">
        <v>174</v>
      </c>
      <c r="B57" s="64" t="s">
        <v>530</v>
      </c>
      <c r="C57" s="64" t="s">
        <v>93</v>
      </c>
      <c r="D57" s="64" t="s">
        <v>531</v>
      </c>
      <c r="E57" s="64" t="s">
        <v>607</v>
      </c>
      <c r="F57" s="29">
        <v>3</v>
      </c>
      <c r="G57" s="29">
        <v>50</v>
      </c>
      <c r="H57" s="29"/>
      <c r="I57" s="22" t="s">
        <v>608</v>
      </c>
      <c r="J57" s="22" t="s">
        <v>606</v>
      </c>
      <c r="K57" s="34"/>
    </row>
    <row r="58" spans="1:11" x14ac:dyDescent="0.3">
      <c r="A58" s="64" t="s">
        <v>174</v>
      </c>
      <c r="B58" s="64" t="s">
        <v>530</v>
      </c>
      <c r="C58" s="64" t="s">
        <v>90</v>
      </c>
      <c r="D58" s="64" t="s">
        <v>531</v>
      </c>
      <c r="E58" s="64" t="s">
        <v>609</v>
      </c>
      <c r="F58" s="29">
        <v>3</v>
      </c>
      <c r="G58" s="29">
        <v>50</v>
      </c>
      <c r="H58" s="29"/>
      <c r="I58" s="22" t="s">
        <v>610</v>
      </c>
      <c r="J58" s="22" t="s">
        <v>606</v>
      </c>
      <c r="K58" s="34"/>
    </row>
    <row r="59" spans="1:11" x14ac:dyDescent="0.3">
      <c r="A59" s="22" t="s">
        <v>174</v>
      </c>
      <c r="B59" s="22" t="s">
        <v>753</v>
      </c>
      <c r="C59" s="22" t="s">
        <v>213</v>
      </c>
      <c r="D59" s="23"/>
      <c r="E59" s="23" t="s">
        <v>827</v>
      </c>
      <c r="F59" s="29">
        <v>3</v>
      </c>
      <c r="G59" s="29">
        <v>50</v>
      </c>
      <c r="H59" s="64"/>
      <c r="I59" s="22" t="s">
        <v>828</v>
      </c>
      <c r="J59" s="22" t="s">
        <v>829</v>
      </c>
      <c r="K59" s="34"/>
    </row>
    <row r="60" spans="1:11" x14ac:dyDescent="0.3">
      <c r="A60" s="22" t="s">
        <v>174</v>
      </c>
      <c r="B60" s="22" t="s">
        <v>753</v>
      </c>
      <c r="C60" s="22" t="s">
        <v>221</v>
      </c>
      <c r="D60" s="23"/>
      <c r="E60" s="23" t="s">
        <v>830</v>
      </c>
      <c r="F60" s="29">
        <v>3</v>
      </c>
      <c r="G60" s="29">
        <v>50</v>
      </c>
      <c r="H60" s="64"/>
      <c r="I60" s="22" t="s">
        <v>831</v>
      </c>
      <c r="J60" s="22" t="s">
        <v>829</v>
      </c>
      <c r="K60" s="34"/>
    </row>
    <row r="61" spans="1:11" x14ac:dyDescent="0.3">
      <c r="A61" s="22" t="s">
        <v>174</v>
      </c>
      <c r="B61" s="22" t="s">
        <v>753</v>
      </c>
      <c r="C61" s="22" t="s">
        <v>217</v>
      </c>
      <c r="D61" s="23"/>
      <c r="E61" s="23" t="s">
        <v>832</v>
      </c>
      <c r="F61" s="29">
        <v>3</v>
      </c>
      <c r="G61" s="29">
        <v>50</v>
      </c>
      <c r="H61" s="64"/>
      <c r="I61" s="22" t="s">
        <v>833</v>
      </c>
      <c r="J61" s="22" t="s">
        <v>829</v>
      </c>
      <c r="K61" s="34"/>
    </row>
    <row r="62" spans="1:11" x14ac:dyDescent="0.3">
      <c r="A62" s="22" t="s">
        <v>174</v>
      </c>
      <c r="B62" s="22" t="s">
        <v>942</v>
      </c>
      <c r="C62" s="22" t="s">
        <v>90</v>
      </c>
      <c r="D62" s="23"/>
      <c r="E62" s="22" t="s">
        <v>1003</v>
      </c>
      <c r="F62" s="29">
        <v>3</v>
      </c>
      <c r="G62" s="29">
        <v>50</v>
      </c>
      <c r="H62" s="64"/>
      <c r="I62" s="22" t="s">
        <v>1004</v>
      </c>
      <c r="J62" s="22" t="s">
        <v>1005</v>
      </c>
      <c r="K62" s="34"/>
    </row>
    <row r="63" spans="1:11" x14ac:dyDescent="0.3">
      <c r="A63" s="22" t="s">
        <v>174</v>
      </c>
      <c r="B63" s="22" t="s">
        <v>942</v>
      </c>
      <c r="C63" s="22" t="s">
        <v>87</v>
      </c>
      <c r="D63" s="23"/>
      <c r="E63" s="22" t="s">
        <v>1143</v>
      </c>
      <c r="F63" s="29">
        <v>3</v>
      </c>
      <c r="G63" s="29">
        <v>50</v>
      </c>
      <c r="H63" s="64"/>
      <c r="I63" s="22" t="s">
        <v>1144</v>
      </c>
      <c r="J63" s="22" t="s">
        <v>1145</v>
      </c>
      <c r="K63" s="34"/>
    </row>
    <row r="64" spans="1:11" x14ac:dyDescent="0.3">
      <c r="A64" s="22" t="s">
        <v>174</v>
      </c>
      <c r="B64" s="22" t="s">
        <v>942</v>
      </c>
      <c r="C64" s="22" t="s">
        <v>93</v>
      </c>
      <c r="D64" s="23"/>
      <c r="E64" s="22" t="s">
        <v>1146</v>
      </c>
      <c r="F64" s="29">
        <v>3</v>
      </c>
      <c r="G64" s="29">
        <v>50</v>
      </c>
      <c r="H64" s="64"/>
      <c r="I64" s="22" t="s">
        <v>1147</v>
      </c>
      <c r="J64" s="22" t="s">
        <v>1148</v>
      </c>
      <c r="K64" s="34"/>
    </row>
    <row r="65" spans="1:11" x14ac:dyDescent="0.3">
      <c r="A65" s="22" t="s">
        <v>174</v>
      </c>
      <c r="B65" s="22" t="s">
        <v>1151</v>
      </c>
      <c r="C65" s="22" t="s">
        <v>87</v>
      </c>
      <c r="D65" s="23"/>
      <c r="E65" s="22" t="s">
        <v>1233</v>
      </c>
      <c r="F65" s="29">
        <v>3</v>
      </c>
      <c r="G65" s="29">
        <v>50</v>
      </c>
      <c r="H65" s="64"/>
      <c r="I65" s="22" t="s">
        <v>1228</v>
      </c>
      <c r="J65" s="22" t="s">
        <v>1145</v>
      </c>
      <c r="K65" s="34"/>
    </row>
    <row r="66" spans="1:11" x14ac:dyDescent="0.3">
      <c r="A66" s="22" t="s">
        <v>174</v>
      </c>
      <c r="B66" s="22" t="s">
        <v>1151</v>
      </c>
      <c r="C66" s="22" t="s">
        <v>93</v>
      </c>
      <c r="D66" s="23"/>
      <c r="E66" s="22" t="s">
        <v>1234</v>
      </c>
      <c r="F66" s="29">
        <v>3</v>
      </c>
      <c r="G66" s="29">
        <v>50</v>
      </c>
      <c r="H66" s="64"/>
      <c r="I66" s="22" t="s">
        <v>1230</v>
      </c>
      <c r="J66" s="22" t="s">
        <v>1148</v>
      </c>
      <c r="K66" s="34"/>
    </row>
    <row r="67" spans="1:11" x14ac:dyDescent="0.3">
      <c r="A67" s="22" t="s">
        <v>174</v>
      </c>
      <c r="B67" s="22" t="s">
        <v>1151</v>
      </c>
      <c r="C67" s="22" t="s">
        <v>90</v>
      </c>
      <c r="D67" s="23"/>
      <c r="E67" s="22" t="s">
        <v>1235</v>
      </c>
      <c r="F67" s="29">
        <v>3</v>
      </c>
      <c r="G67" s="29">
        <v>50</v>
      </c>
      <c r="H67" s="64"/>
      <c r="I67" s="22" t="s">
        <v>1232</v>
      </c>
      <c r="J67" s="22" t="s">
        <v>1005</v>
      </c>
      <c r="K67" s="34"/>
    </row>
    <row r="68" spans="1:11" x14ac:dyDescent="0.3">
      <c r="A68" s="22" t="s">
        <v>174</v>
      </c>
      <c r="B68" s="22" t="s">
        <v>1332</v>
      </c>
      <c r="C68" s="22" t="s">
        <v>87</v>
      </c>
      <c r="D68" s="23"/>
      <c r="E68" s="22" t="s">
        <v>1423</v>
      </c>
      <c r="F68" s="29">
        <v>3</v>
      </c>
      <c r="G68" s="29">
        <v>50</v>
      </c>
      <c r="H68" s="64"/>
      <c r="I68" s="22" t="s">
        <v>1424</v>
      </c>
      <c r="J68" s="22" t="s">
        <v>1145</v>
      </c>
      <c r="K68" s="34"/>
    </row>
    <row r="69" spans="1:11" x14ac:dyDescent="0.3">
      <c r="A69" s="22" t="s">
        <v>174</v>
      </c>
      <c r="B69" s="22" t="s">
        <v>1332</v>
      </c>
      <c r="C69" s="22" t="s">
        <v>93</v>
      </c>
      <c r="D69" s="23"/>
      <c r="E69" s="22" t="s">
        <v>1425</v>
      </c>
      <c r="F69" s="29">
        <v>3</v>
      </c>
      <c r="G69" s="29">
        <v>50</v>
      </c>
      <c r="H69" s="64"/>
      <c r="I69" s="22" t="s">
        <v>1426</v>
      </c>
      <c r="J69" s="22" t="s">
        <v>1148</v>
      </c>
      <c r="K69" s="34"/>
    </row>
    <row r="70" spans="1:11" x14ac:dyDescent="0.3">
      <c r="A70" s="22" t="s">
        <v>174</v>
      </c>
      <c r="B70" s="22" t="s">
        <v>1332</v>
      </c>
      <c r="C70" s="22" t="s">
        <v>90</v>
      </c>
      <c r="D70" s="23"/>
      <c r="E70" s="22" t="s">
        <v>1427</v>
      </c>
      <c r="F70" s="29">
        <v>3</v>
      </c>
      <c r="G70" s="29">
        <v>50</v>
      </c>
      <c r="H70" s="64"/>
      <c r="I70" s="22" t="s">
        <v>1428</v>
      </c>
      <c r="J70" s="22" t="s">
        <v>1005</v>
      </c>
      <c r="K70" s="34"/>
    </row>
    <row r="71" spans="1:11" x14ac:dyDescent="0.3">
      <c r="A71" s="22" t="s">
        <v>174</v>
      </c>
      <c r="B71" s="22" t="s">
        <v>1498</v>
      </c>
      <c r="C71" s="22" t="s">
        <v>176</v>
      </c>
      <c r="D71" s="23"/>
      <c r="E71" s="22" t="s">
        <v>1523</v>
      </c>
      <c r="F71" s="29">
        <v>3</v>
      </c>
      <c r="G71" s="29">
        <v>50</v>
      </c>
      <c r="H71" s="64"/>
      <c r="I71" s="22" t="s">
        <v>1524</v>
      </c>
      <c r="J71" s="22" t="s">
        <v>578</v>
      </c>
      <c r="K71" s="34"/>
    </row>
    <row r="72" spans="1:11" x14ac:dyDescent="0.3">
      <c r="A72" s="22" t="s">
        <v>174</v>
      </c>
      <c r="B72" s="22" t="s">
        <v>1617</v>
      </c>
      <c r="C72" s="22" t="s">
        <v>87</v>
      </c>
      <c r="D72" s="23"/>
      <c r="E72" s="22" t="s">
        <v>1672</v>
      </c>
      <c r="F72" s="29">
        <v>3</v>
      </c>
      <c r="G72" s="29">
        <v>50</v>
      </c>
      <c r="H72" s="64"/>
      <c r="I72" s="22" t="s">
        <v>1673</v>
      </c>
      <c r="J72" s="22" t="s">
        <v>829</v>
      </c>
      <c r="K72" s="34"/>
    </row>
    <row r="73" spans="1:11" x14ac:dyDescent="0.3">
      <c r="A73" s="22" t="s">
        <v>174</v>
      </c>
      <c r="B73" s="22" t="s">
        <v>1617</v>
      </c>
      <c r="C73" s="22" t="s">
        <v>93</v>
      </c>
      <c r="D73" s="23"/>
      <c r="E73" s="22" t="s">
        <v>1674</v>
      </c>
      <c r="F73" s="29">
        <v>3</v>
      </c>
      <c r="G73" s="29">
        <v>50</v>
      </c>
      <c r="H73" s="64"/>
      <c r="I73" s="22" t="s">
        <v>1675</v>
      </c>
      <c r="J73" s="22" t="s">
        <v>829</v>
      </c>
      <c r="K73" s="34"/>
    </row>
    <row r="74" spans="1:11" x14ac:dyDescent="0.3">
      <c r="A74" s="22" t="s">
        <v>174</v>
      </c>
      <c r="B74" s="22" t="s">
        <v>1617</v>
      </c>
      <c r="C74" s="64" t="s">
        <v>90</v>
      </c>
      <c r="D74" s="23"/>
      <c r="E74" s="22" t="s">
        <v>1676</v>
      </c>
      <c r="F74" s="29">
        <v>3</v>
      </c>
      <c r="G74" s="29">
        <v>50</v>
      </c>
      <c r="H74" s="64"/>
      <c r="I74" s="22" t="s">
        <v>1677</v>
      </c>
      <c r="J74" s="22" t="s">
        <v>829</v>
      </c>
      <c r="K74" s="34"/>
    </row>
    <row r="75" spans="1:11" x14ac:dyDescent="0.3">
      <c r="A75" s="22" t="s">
        <v>174</v>
      </c>
      <c r="B75" s="22" t="s">
        <v>1762</v>
      </c>
      <c r="C75" s="22" t="s">
        <v>87</v>
      </c>
      <c r="D75" s="23"/>
      <c r="E75" s="22" t="s">
        <v>1819</v>
      </c>
      <c r="F75" s="29">
        <v>3</v>
      </c>
      <c r="G75" s="29">
        <v>50</v>
      </c>
      <c r="H75" s="64"/>
      <c r="I75" s="22" t="s">
        <v>1820</v>
      </c>
      <c r="J75" s="22" t="s">
        <v>1821</v>
      </c>
      <c r="K75" s="34"/>
    </row>
    <row r="76" spans="1:11" x14ac:dyDescent="0.3">
      <c r="A76" s="22" t="s">
        <v>174</v>
      </c>
      <c r="B76" s="22" t="s">
        <v>1762</v>
      </c>
      <c r="C76" s="22" t="s">
        <v>93</v>
      </c>
      <c r="D76" s="23"/>
      <c r="E76" s="22" t="s">
        <v>1822</v>
      </c>
      <c r="F76" s="29">
        <v>3</v>
      </c>
      <c r="G76" s="29">
        <v>50</v>
      </c>
      <c r="H76" s="64"/>
      <c r="I76" s="22" t="s">
        <v>1823</v>
      </c>
      <c r="J76" s="22" t="s">
        <v>1821</v>
      </c>
      <c r="K76" s="34"/>
    </row>
    <row r="77" spans="1:11" x14ac:dyDescent="0.3">
      <c r="A77" s="22" t="s">
        <v>174</v>
      </c>
      <c r="B77" s="22" t="s">
        <v>1762</v>
      </c>
      <c r="C77" s="22" t="s">
        <v>90</v>
      </c>
      <c r="D77" s="23"/>
      <c r="E77" s="22" t="s">
        <v>1824</v>
      </c>
      <c r="F77" s="29">
        <v>3</v>
      </c>
      <c r="G77" s="29">
        <v>50</v>
      </c>
      <c r="H77" s="64"/>
      <c r="I77" s="22" t="s">
        <v>1825</v>
      </c>
      <c r="J77" s="22" t="s">
        <v>1821</v>
      </c>
      <c r="K77" s="34"/>
    </row>
    <row r="78" spans="1:11" x14ac:dyDescent="0.3">
      <c r="A78" s="29" t="s">
        <v>174</v>
      </c>
      <c r="B78" s="29" t="s">
        <v>175</v>
      </c>
      <c r="C78" s="29" t="s">
        <v>213</v>
      </c>
      <c r="D78" s="29"/>
      <c r="E78" s="29" t="s">
        <v>305</v>
      </c>
      <c r="F78" s="29">
        <v>4</v>
      </c>
      <c r="G78" s="29">
        <v>60</v>
      </c>
      <c r="H78" s="29"/>
      <c r="I78" s="22" t="s">
        <v>306</v>
      </c>
      <c r="J78" s="22" t="s">
        <v>307</v>
      </c>
      <c r="K78" s="34"/>
    </row>
    <row r="79" spans="1:11" x14ac:dyDescent="0.3">
      <c r="A79" s="29" t="s">
        <v>174</v>
      </c>
      <c r="B79" s="29" t="s">
        <v>175</v>
      </c>
      <c r="C79" s="29" t="s">
        <v>217</v>
      </c>
      <c r="D79" s="29"/>
      <c r="E79" s="29" t="s">
        <v>308</v>
      </c>
      <c r="F79" s="29">
        <v>4</v>
      </c>
      <c r="G79" s="29">
        <v>60</v>
      </c>
      <c r="H79" s="29"/>
      <c r="I79" s="22" t="s">
        <v>309</v>
      </c>
      <c r="J79" s="22" t="s">
        <v>310</v>
      </c>
      <c r="K79" s="34"/>
    </row>
    <row r="80" spans="1:11" x14ac:dyDescent="0.3">
      <c r="A80" s="29" t="s">
        <v>174</v>
      </c>
      <c r="B80" s="29" t="s">
        <v>175</v>
      </c>
      <c r="C80" s="29" t="s">
        <v>221</v>
      </c>
      <c r="D80" s="29"/>
      <c r="E80" s="29" t="s">
        <v>311</v>
      </c>
      <c r="F80" s="29">
        <v>4</v>
      </c>
      <c r="G80" s="29">
        <v>60</v>
      </c>
      <c r="H80" s="29"/>
      <c r="I80" s="22" t="s">
        <v>312</v>
      </c>
      <c r="J80" s="22" t="s">
        <v>313</v>
      </c>
      <c r="K80" s="34"/>
    </row>
    <row r="81" spans="1:11" x14ac:dyDescent="0.3">
      <c r="A81" s="64" t="s">
        <v>174</v>
      </c>
      <c r="B81" s="64" t="s">
        <v>530</v>
      </c>
      <c r="C81" s="64" t="s">
        <v>87</v>
      </c>
      <c r="D81" s="64" t="s">
        <v>531</v>
      </c>
      <c r="E81" s="64" t="s">
        <v>611</v>
      </c>
      <c r="F81" s="29">
        <v>4</v>
      </c>
      <c r="G81" s="29">
        <v>60</v>
      </c>
      <c r="H81" s="29"/>
      <c r="I81" s="22" t="s">
        <v>612</v>
      </c>
      <c r="J81" s="22" t="s">
        <v>613</v>
      </c>
      <c r="K81" s="34"/>
    </row>
    <row r="82" spans="1:11" x14ac:dyDescent="0.3">
      <c r="A82" s="64" t="s">
        <v>174</v>
      </c>
      <c r="B82" s="64" t="s">
        <v>530</v>
      </c>
      <c r="C82" s="64" t="s">
        <v>93</v>
      </c>
      <c r="D82" s="64" t="s">
        <v>531</v>
      </c>
      <c r="E82" s="64" t="s">
        <v>614</v>
      </c>
      <c r="F82" s="29">
        <v>4</v>
      </c>
      <c r="G82" s="29">
        <v>60</v>
      </c>
      <c r="H82" s="29"/>
      <c r="I82" s="22" t="s">
        <v>615</v>
      </c>
      <c r="J82" s="22" t="s">
        <v>613</v>
      </c>
      <c r="K82" s="34"/>
    </row>
    <row r="83" spans="1:11" x14ac:dyDescent="0.3">
      <c r="A83" s="64" t="s">
        <v>174</v>
      </c>
      <c r="B83" s="64" t="s">
        <v>530</v>
      </c>
      <c r="C83" s="64" t="s">
        <v>90</v>
      </c>
      <c r="D83" s="64" t="s">
        <v>531</v>
      </c>
      <c r="E83" s="64" t="s">
        <v>616</v>
      </c>
      <c r="F83" s="29">
        <v>4</v>
      </c>
      <c r="G83" s="29">
        <v>60</v>
      </c>
      <c r="H83" s="29"/>
      <c r="I83" s="22" t="s">
        <v>617</v>
      </c>
      <c r="J83" s="22" t="s">
        <v>613</v>
      </c>
      <c r="K83" s="34"/>
    </row>
    <row r="84" spans="1:11" x14ac:dyDescent="0.3">
      <c r="A84" s="22" t="s">
        <v>174</v>
      </c>
      <c r="B84" s="22" t="s">
        <v>753</v>
      </c>
      <c r="C84" s="22" t="s">
        <v>213</v>
      </c>
      <c r="D84" s="23"/>
      <c r="E84" s="23" t="s">
        <v>834</v>
      </c>
      <c r="F84" s="29">
        <v>4</v>
      </c>
      <c r="G84" s="29">
        <v>60</v>
      </c>
      <c r="H84" s="64"/>
      <c r="I84" s="22" t="s">
        <v>835</v>
      </c>
      <c r="J84" s="22" t="s">
        <v>836</v>
      </c>
      <c r="K84" s="34"/>
    </row>
    <row r="85" spans="1:11" x14ac:dyDescent="0.3">
      <c r="A85" s="22" t="s">
        <v>174</v>
      </c>
      <c r="B85" s="22" t="s">
        <v>753</v>
      </c>
      <c r="C85" s="22" t="s">
        <v>221</v>
      </c>
      <c r="D85" s="23"/>
      <c r="E85" s="23" t="s">
        <v>837</v>
      </c>
      <c r="F85" s="29">
        <v>4</v>
      </c>
      <c r="G85" s="29">
        <v>60</v>
      </c>
      <c r="H85" s="64"/>
      <c r="I85" s="22" t="s">
        <v>838</v>
      </c>
      <c r="J85" s="22" t="s">
        <v>836</v>
      </c>
      <c r="K85" s="34"/>
    </row>
    <row r="86" spans="1:11" x14ac:dyDescent="0.3">
      <c r="A86" s="22" t="s">
        <v>174</v>
      </c>
      <c r="B86" s="22" t="s">
        <v>753</v>
      </c>
      <c r="C86" s="22" t="s">
        <v>217</v>
      </c>
      <c r="D86" s="23"/>
      <c r="E86" s="23" t="s">
        <v>839</v>
      </c>
      <c r="F86" s="29">
        <v>4</v>
      </c>
      <c r="G86" s="29">
        <v>60</v>
      </c>
      <c r="H86" s="64"/>
      <c r="I86" s="22" t="s">
        <v>840</v>
      </c>
      <c r="J86" s="22" t="s">
        <v>836</v>
      </c>
      <c r="K86" s="34"/>
    </row>
    <row r="87" spans="1:11" x14ac:dyDescent="0.3">
      <c r="A87" s="22" t="s">
        <v>174</v>
      </c>
      <c r="B87" s="22" t="s">
        <v>942</v>
      </c>
      <c r="C87" s="22" t="s">
        <v>87</v>
      </c>
      <c r="D87" s="23"/>
      <c r="E87" s="22" t="s">
        <v>1006</v>
      </c>
      <c r="F87" s="29">
        <v>4</v>
      </c>
      <c r="G87" s="29">
        <v>60</v>
      </c>
      <c r="H87" s="64"/>
      <c r="I87" s="22" t="s">
        <v>1007</v>
      </c>
      <c r="J87" s="22" t="s">
        <v>1008</v>
      </c>
      <c r="K87" s="34"/>
    </row>
    <row r="88" spans="1:11" x14ac:dyDescent="0.3">
      <c r="A88" s="22" t="s">
        <v>174</v>
      </c>
      <c r="B88" s="22" t="s">
        <v>942</v>
      </c>
      <c r="C88" s="22" t="s">
        <v>93</v>
      </c>
      <c r="D88" s="23"/>
      <c r="E88" s="22" t="s">
        <v>1009</v>
      </c>
      <c r="F88" s="29">
        <v>4</v>
      </c>
      <c r="G88" s="29">
        <v>60</v>
      </c>
      <c r="H88" s="64"/>
      <c r="I88" s="22" t="s">
        <v>1010</v>
      </c>
      <c r="J88" s="22" t="s">
        <v>1011</v>
      </c>
      <c r="K88" s="34"/>
    </row>
    <row r="89" spans="1:11" x14ac:dyDescent="0.3">
      <c r="A89" s="22" t="s">
        <v>174</v>
      </c>
      <c r="B89" s="22" t="s">
        <v>942</v>
      </c>
      <c r="C89" s="22" t="s">
        <v>90</v>
      </c>
      <c r="D89" s="23"/>
      <c r="E89" s="22" t="s">
        <v>1012</v>
      </c>
      <c r="F89" s="29">
        <v>4</v>
      </c>
      <c r="G89" s="29">
        <v>60</v>
      </c>
      <c r="H89" s="64"/>
      <c r="I89" s="22" t="s">
        <v>1013</v>
      </c>
      <c r="J89" s="22" t="s">
        <v>1014</v>
      </c>
      <c r="K89" s="34"/>
    </row>
    <row r="90" spans="1:11" x14ac:dyDescent="0.3">
      <c r="A90" s="22" t="s">
        <v>174</v>
      </c>
      <c r="B90" s="22" t="s">
        <v>1151</v>
      </c>
      <c r="C90" s="22" t="s">
        <v>87</v>
      </c>
      <c r="D90" s="23"/>
      <c r="E90" s="22" t="s">
        <v>1236</v>
      </c>
      <c r="F90" s="29">
        <v>4</v>
      </c>
      <c r="G90" s="29">
        <v>60</v>
      </c>
      <c r="H90" s="64"/>
      <c r="I90" s="22" t="s">
        <v>1237</v>
      </c>
      <c r="J90" s="22" t="s">
        <v>1008</v>
      </c>
      <c r="K90" s="34"/>
    </row>
    <row r="91" spans="1:11" x14ac:dyDescent="0.3">
      <c r="A91" s="22" t="s">
        <v>174</v>
      </c>
      <c r="B91" s="22" t="s">
        <v>1151</v>
      </c>
      <c r="C91" s="22" t="s">
        <v>93</v>
      </c>
      <c r="D91" s="23"/>
      <c r="E91" s="22" t="s">
        <v>1238</v>
      </c>
      <c r="F91" s="29">
        <v>4</v>
      </c>
      <c r="G91" s="29">
        <v>60</v>
      </c>
      <c r="H91" s="64"/>
      <c r="I91" s="22" t="s">
        <v>1239</v>
      </c>
      <c r="J91" s="22" t="s">
        <v>1011</v>
      </c>
      <c r="K91" s="34"/>
    </row>
    <row r="92" spans="1:11" x14ac:dyDescent="0.3">
      <c r="A92" s="22" t="s">
        <v>174</v>
      </c>
      <c r="B92" s="22" t="s">
        <v>1151</v>
      </c>
      <c r="C92" s="22" t="s">
        <v>90</v>
      </c>
      <c r="D92" s="23"/>
      <c r="E92" s="22" t="s">
        <v>1240</v>
      </c>
      <c r="F92" s="29">
        <v>4</v>
      </c>
      <c r="G92" s="29">
        <v>60</v>
      </c>
      <c r="H92" s="64"/>
      <c r="I92" s="22" t="s">
        <v>1241</v>
      </c>
      <c r="J92" s="22" t="s">
        <v>1014</v>
      </c>
      <c r="K92" s="34"/>
    </row>
    <row r="93" spans="1:11" x14ac:dyDescent="0.3">
      <c r="A93" s="22" t="s">
        <v>174</v>
      </c>
      <c r="B93" s="22" t="s">
        <v>1332</v>
      </c>
      <c r="C93" s="22" t="s">
        <v>87</v>
      </c>
      <c r="D93" s="23"/>
      <c r="E93" s="22" t="s">
        <v>1429</v>
      </c>
      <c r="F93" s="29">
        <v>4</v>
      </c>
      <c r="G93" s="29">
        <v>60</v>
      </c>
      <c r="H93" s="64"/>
      <c r="I93" s="22" t="s">
        <v>1430</v>
      </c>
      <c r="J93" s="22" t="s">
        <v>1008</v>
      </c>
      <c r="K93" s="34"/>
    </row>
    <row r="94" spans="1:11" x14ac:dyDescent="0.3">
      <c r="A94" s="22" t="s">
        <v>174</v>
      </c>
      <c r="B94" s="22" t="s">
        <v>1332</v>
      </c>
      <c r="C94" s="22" t="s">
        <v>93</v>
      </c>
      <c r="D94" s="23"/>
      <c r="E94" s="22" t="s">
        <v>1431</v>
      </c>
      <c r="F94" s="29">
        <v>4</v>
      </c>
      <c r="G94" s="29">
        <v>60</v>
      </c>
      <c r="H94" s="64"/>
      <c r="I94" s="22" t="s">
        <v>1432</v>
      </c>
      <c r="J94" s="22" t="s">
        <v>1011</v>
      </c>
      <c r="K94" s="34"/>
    </row>
    <row r="95" spans="1:11" x14ac:dyDescent="0.3">
      <c r="A95" s="22" t="s">
        <v>174</v>
      </c>
      <c r="B95" s="22" t="s">
        <v>1332</v>
      </c>
      <c r="C95" s="22" t="s">
        <v>90</v>
      </c>
      <c r="D95" s="23"/>
      <c r="E95" s="22" t="s">
        <v>1433</v>
      </c>
      <c r="F95" s="29">
        <v>4</v>
      </c>
      <c r="G95" s="29">
        <v>60</v>
      </c>
      <c r="H95" s="64"/>
      <c r="I95" s="22" t="s">
        <v>1434</v>
      </c>
      <c r="J95" s="22" t="s">
        <v>1014</v>
      </c>
      <c r="K95" s="34"/>
    </row>
    <row r="96" spans="1:11" x14ac:dyDescent="0.3">
      <c r="A96" s="22" t="s">
        <v>174</v>
      </c>
      <c r="B96" s="22" t="s">
        <v>1498</v>
      </c>
      <c r="C96" s="22" t="s">
        <v>176</v>
      </c>
      <c r="D96" s="23"/>
      <c r="E96" s="22" t="s">
        <v>1525</v>
      </c>
      <c r="F96" s="29">
        <v>4</v>
      </c>
      <c r="G96" s="29">
        <v>60</v>
      </c>
      <c r="H96" s="64"/>
      <c r="I96" s="22" t="s">
        <v>1526</v>
      </c>
      <c r="J96" s="22" t="s">
        <v>592</v>
      </c>
      <c r="K96" s="34"/>
    </row>
    <row r="97" spans="1:11" x14ac:dyDescent="0.3">
      <c r="A97" s="22" t="s">
        <v>174</v>
      </c>
      <c r="B97" s="22" t="s">
        <v>1617</v>
      </c>
      <c r="C97" s="22" t="s">
        <v>87</v>
      </c>
      <c r="D97" s="23"/>
      <c r="E97" s="22" t="s">
        <v>1678</v>
      </c>
      <c r="F97" s="29">
        <v>4</v>
      </c>
      <c r="G97" s="29">
        <v>60</v>
      </c>
      <c r="H97" s="64"/>
      <c r="I97" s="22" t="s">
        <v>1679</v>
      </c>
      <c r="J97" s="22" t="s">
        <v>836</v>
      </c>
      <c r="K97" s="34"/>
    </row>
    <row r="98" spans="1:11" x14ac:dyDescent="0.3">
      <c r="A98" s="22" t="s">
        <v>174</v>
      </c>
      <c r="B98" s="22" t="s">
        <v>1617</v>
      </c>
      <c r="C98" s="22" t="s">
        <v>93</v>
      </c>
      <c r="D98" s="23"/>
      <c r="E98" s="22" t="s">
        <v>1680</v>
      </c>
      <c r="F98" s="29">
        <v>4</v>
      </c>
      <c r="G98" s="29">
        <v>60</v>
      </c>
      <c r="H98" s="64"/>
      <c r="I98" s="22" t="s">
        <v>1681</v>
      </c>
      <c r="J98" s="22" t="s">
        <v>836</v>
      </c>
      <c r="K98" s="34"/>
    </row>
    <row r="99" spans="1:11" x14ac:dyDescent="0.3">
      <c r="A99" s="22" t="s">
        <v>174</v>
      </c>
      <c r="B99" s="22" t="s">
        <v>1617</v>
      </c>
      <c r="C99" s="64" t="s">
        <v>90</v>
      </c>
      <c r="D99" s="23"/>
      <c r="E99" s="22" t="s">
        <v>1682</v>
      </c>
      <c r="F99" s="29">
        <v>4</v>
      </c>
      <c r="G99" s="29">
        <v>60</v>
      </c>
      <c r="H99" s="64"/>
      <c r="I99" s="22" t="s">
        <v>1683</v>
      </c>
      <c r="J99" s="22" t="s">
        <v>836</v>
      </c>
      <c r="K99" s="34"/>
    </row>
    <row r="100" spans="1:11" x14ac:dyDescent="0.3">
      <c r="A100" s="22" t="s">
        <v>174</v>
      </c>
      <c r="B100" s="22" t="s">
        <v>1762</v>
      </c>
      <c r="C100" s="22" t="s">
        <v>87</v>
      </c>
      <c r="D100" s="23"/>
      <c r="E100" s="22" t="s">
        <v>1826</v>
      </c>
      <c r="F100" s="29">
        <v>4</v>
      </c>
      <c r="G100" s="29">
        <v>60</v>
      </c>
      <c r="H100" s="64"/>
      <c r="I100" s="22" t="s">
        <v>1827</v>
      </c>
      <c r="J100" s="22" t="s">
        <v>1828</v>
      </c>
      <c r="K100" s="34"/>
    </row>
    <row r="101" spans="1:11" x14ac:dyDescent="0.3">
      <c r="A101" s="22" t="s">
        <v>174</v>
      </c>
      <c r="B101" s="22" t="s">
        <v>1762</v>
      </c>
      <c r="C101" s="22" t="s">
        <v>93</v>
      </c>
      <c r="D101" s="23"/>
      <c r="E101" s="22" t="s">
        <v>1829</v>
      </c>
      <c r="F101" s="29">
        <v>4</v>
      </c>
      <c r="G101" s="29">
        <v>60</v>
      </c>
      <c r="H101" s="64"/>
      <c r="I101" s="22" t="s">
        <v>1830</v>
      </c>
      <c r="J101" s="22" t="s">
        <v>1828</v>
      </c>
      <c r="K101" s="34"/>
    </row>
    <row r="102" spans="1:11" x14ac:dyDescent="0.3">
      <c r="A102" s="22" t="s">
        <v>174</v>
      </c>
      <c r="B102" s="22" t="s">
        <v>1762</v>
      </c>
      <c r="C102" s="22" t="s">
        <v>90</v>
      </c>
      <c r="D102" s="23"/>
      <c r="E102" s="22" t="s">
        <v>1831</v>
      </c>
      <c r="F102" s="29">
        <v>4</v>
      </c>
      <c r="G102" s="29">
        <v>60</v>
      </c>
      <c r="H102" s="64"/>
      <c r="I102" s="22" t="s">
        <v>1832</v>
      </c>
      <c r="J102" s="22" t="s">
        <v>1828</v>
      </c>
      <c r="K102" s="34"/>
    </row>
    <row r="103" spans="1:11" x14ac:dyDescent="0.3">
      <c r="A103" s="29" t="s">
        <v>174</v>
      </c>
      <c r="B103" s="29" t="s">
        <v>175</v>
      </c>
      <c r="C103" s="29" t="s">
        <v>213</v>
      </c>
      <c r="D103" s="29"/>
      <c r="E103" s="29" t="s">
        <v>225</v>
      </c>
      <c r="F103" s="29">
        <v>5</v>
      </c>
      <c r="G103" s="29">
        <v>65</v>
      </c>
      <c r="H103" s="29"/>
      <c r="I103" s="22" t="s">
        <v>226</v>
      </c>
      <c r="J103" s="22" t="s">
        <v>227</v>
      </c>
      <c r="K103" s="34"/>
    </row>
    <row r="104" spans="1:11" x14ac:dyDescent="0.3">
      <c r="A104" s="29" t="s">
        <v>174</v>
      </c>
      <c r="B104" s="29" t="s">
        <v>175</v>
      </c>
      <c r="C104" s="29" t="s">
        <v>90</v>
      </c>
      <c r="D104" s="29"/>
      <c r="E104" s="29" t="s">
        <v>228</v>
      </c>
      <c r="F104" s="29">
        <v>5</v>
      </c>
      <c r="G104" s="29">
        <v>65</v>
      </c>
      <c r="H104" s="29"/>
      <c r="I104" s="22" t="s">
        <v>229</v>
      </c>
      <c r="J104" s="22" t="s">
        <v>230</v>
      </c>
      <c r="K104" s="34"/>
    </row>
    <row r="105" spans="1:11" x14ac:dyDescent="0.3">
      <c r="A105" s="29" t="s">
        <v>174</v>
      </c>
      <c r="B105" s="29" t="s">
        <v>175</v>
      </c>
      <c r="C105" s="29" t="s">
        <v>221</v>
      </c>
      <c r="D105" s="29"/>
      <c r="E105" s="29" t="s">
        <v>231</v>
      </c>
      <c r="F105" s="29">
        <v>5</v>
      </c>
      <c r="G105" s="29">
        <v>65</v>
      </c>
      <c r="H105" s="29"/>
      <c r="I105" s="22" t="s">
        <v>232</v>
      </c>
      <c r="J105" s="22" t="s">
        <v>233</v>
      </c>
      <c r="K105" s="34"/>
    </row>
    <row r="106" spans="1:11" x14ac:dyDescent="0.3">
      <c r="A106" s="64" t="s">
        <v>174</v>
      </c>
      <c r="B106" s="64" t="s">
        <v>530</v>
      </c>
      <c r="C106" s="64" t="s">
        <v>87</v>
      </c>
      <c r="D106" s="64" t="s">
        <v>531</v>
      </c>
      <c r="E106" s="64" t="s">
        <v>548</v>
      </c>
      <c r="F106" s="29">
        <v>5</v>
      </c>
      <c r="G106" s="29">
        <v>65</v>
      </c>
      <c r="H106" s="29"/>
      <c r="I106" s="22" t="s">
        <v>549</v>
      </c>
      <c r="J106" s="22" t="s">
        <v>550</v>
      </c>
      <c r="K106" s="34"/>
    </row>
    <row r="107" spans="1:11" x14ac:dyDescent="0.3">
      <c r="A107" s="64" t="s">
        <v>174</v>
      </c>
      <c r="B107" s="64" t="s">
        <v>530</v>
      </c>
      <c r="C107" s="64" t="s">
        <v>93</v>
      </c>
      <c r="D107" s="64" t="s">
        <v>531</v>
      </c>
      <c r="E107" s="64" t="s">
        <v>551</v>
      </c>
      <c r="F107" s="29">
        <v>5</v>
      </c>
      <c r="G107" s="29">
        <v>65</v>
      </c>
      <c r="H107" s="29"/>
      <c r="I107" s="22" t="s">
        <v>552</v>
      </c>
      <c r="J107" s="22" t="s">
        <v>550</v>
      </c>
      <c r="K107" s="34"/>
    </row>
    <row r="108" spans="1:11" x14ac:dyDescent="0.3">
      <c r="A108" s="64" t="s">
        <v>174</v>
      </c>
      <c r="B108" s="64" t="s">
        <v>530</v>
      </c>
      <c r="C108" s="64" t="s">
        <v>90</v>
      </c>
      <c r="D108" s="64" t="s">
        <v>531</v>
      </c>
      <c r="E108" s="64" t="s">
        <v>553</v>
      </c>
      <c r="F108" s="29">
        <v>5</v>
      </c>
      <c r="G108" s="29">
        <v>65</v>
      </c>
      <c r="H108" s="29"/>
      <c r="I108" s="22" t="s">
        <v>554</v>
      </c>
      <c r="J108" s="22" t="s">
        <v>550</v>
      </c>
      <c r="K108" s="34"/>
    </row>
    <row r="109" spans="1:11" x14ac:dyDescent="0.3">
      <c r="A109" s="22" t="s">
        <v>174</v>
      </c>
      <c r="B109" s="22" t="s">
        <v>753</v>
      </c>
      <c r="C109" s="22" t="s">
        <v>213</v>
      </c>
      <c r="D109" s="23"/>
      <c r="E109" s="23" t="s">
        <v>777</v>
      </c>
      <c r="F109" s="29">
        <v>5</v>
      </c>
      <c r="G109" s="29">
        <v>65</v>
      </c>
      <c r="H109" s="64"/>
      <c r="I109" s="22" t="s">
        <v>778</v>
      </c>
      <c r="J109" s="22" t="s">
        <v>779</v>
      </c>
      <c r="K109" s="34"/>
    </row>
    <row r="110" spans="1:11" x14ac:dyDescent="0.3">
      <c r="A110" s="22" t="s">
        <v>174</v>
      </c>
      <c r="B110" s="22" t="s">
        <v>753</v>
      </c>
      <c r="C110" s="22" t="s">
        <v>221</v>
      </c>
      <c r="D110" s="23"/>
      <c r="E110" s="23" t="s">
        <v>780</v>
      </c>
      <c r="F110" s="29">
        <v>5</v>
      </c>
      <c r="G110" s="29">
        <v>65</v>
      </c>
      <c r="H110" s="64"/>
      <c r="I110" s="22" t="s">
        <v>781</v>
      </c>
      <c r="J110" s="22" t="s">
        <v>779</v>
      </c>
      <c r="K110" s="34"/>
    </row>
    <row r="111" spans="1:11" x14ac:dyDescent="0.3">
      <c r="A111" s="22" t="s">
        <v>174</v>
      </c>
      <c r="B111" s="22" t="s">
        <v>753</v>
      </c>
      <c r="C111" s="22" t="s">
        <v>217</v>
      </c>
      <c r="D111" s="23"/>
      <c r="E111" s="23" t="s">
        <v>782</v>
      </c>
      <c r="F111" s="29">
        <v>5</v>
      </c>
      <c r="G111" s="29">
        <v>65</v>
      </c>
      <c r="H111" s="64"/>
      <c r="I111" s="22" t="s">
        <v>783</v>
      </c>
      <c r="J111" s="22" t="s">
        <v>779</v>
      </c>
      <c r="K111" s="34"/>
    </row>
    <row r="112" spans="1:11" x14ac:dyDescent="0.3">
      <c r="A112" s="22" t="s">
        <v>174</v>
      </c>
      <c r="B112" s="22" t="s">
        <v>942</v>
      </c>
      <c r="C112" s="22" t="s">
        <v>87</v>
      </c>
      <c r="D112" s="23"/>
      <c r="E112" s="22" t="s">
        <v>952</v>
      </c>
      <c r="F112" s="29">
        <v>5</v>
      </c>
      <c r="G112" s="29">
        <v>65</v>
      </c>
      <c r="H112" s="64"/>
      <c r="I112" s="22" t="s">
        <v>953</v>
      </c>
      <c r="J112" s="22" t="s">
        <v>227</v>
      </c>
      <c r="K112" s="34"/>
    </row>
    <row r="113" spans="1:11" x14ac:dyDescent="0.3">
      <c r="A113" s="22" t="s">
        <v>174</v>
      </c>
      <c r="B113" s="22" t="s">
        <v>942</v>
      </c>
      <c r="C113" s="22" t="s">
        <v>93</v>
      </c>
      <c r="D113" s="23"/>
      <c r="E113" s="22" t="s">
        <v>954</v>
      </c>
      <c r="F113" s="29">
        <v>5</v>
      </c>
      <c r="G113" s="29">
        <v>65</v>
      </c>
      <c r="H113" s="64"/>
      <c r="I113" s="22" t="s">
        <v>955</v>
      </c>
      <c r="J113" s="22" t="s">
        <v>233</v>
      </c>
      <c r="K113" s="34"/>
    </row>
    <row r="114" spans="1:11" x14ac:dyDescent="0.3">
      <c r="A114" s="22" t="s">
        <v>174</v>
      </c>
      <c r="B114" s="22" t="s">
        <v>942</v>
      </c>
      <c r="C114" s="22" t="s">
        <v>90</v>
      </c>
      <c r="D114" s="23"/>
      <c r="E114" s="22" t="s">
        <v>956</v>
      </c>
      <c r="F114" s="29">
        <v>5</v>
      </c>
      <c r="G114" s="29">
        <v>65</v>
      </c>
      <c r="H114" s="64"/>
      <c r="I114" s="22" t="s">
        <v>957</v>
      </c>
      <c r="J114" s="22" t="s">
        <v>230</v>
      </c>
      <c r="K114" s="34"/>
    </row>
    <row r="115" spans="1:11" x14ac:dyDescent="0.3">
      <c r="A115" s="22" t="s">
        <v>174</v>
      </c>
      <c r="B115" s="22" t="s">
        <v>1151</v>
      </c>
      <c r="C115" s="22" t="s">
        <v>87</v>
      </c>
      <c r="D115" s="23"/>
      <c r="E115" s="22" t="s">
        <v>1185</v>
      </c>
      <c r="F115" s="29">
        <v>5</v>
      </c>
      <c r="G115" s="29">
        <v>65</v>
      </c>
      <c r="H115" s="64"/>
      <c r="I115" s="22" t="s">
        <v>1186</v>
      </c>
      <c r="J115" s="22" t="s">
        <v>227</v>
      </c>
      <c r="K115" s="34"/>
    </row>
    <row r="116" spans="1:11" x14ac:dyDescent="0.3">
      <c r="A116" s="22" t="s">
        <v>174</v>
      </c>
      <c r="B116" s="22" t="s">
        <v>1151</v>
      </c>
      <c r="C116" s="22" t="s">
        <v>93</v>
      </c>
      <c r="D116" s="23"/>
      <c r="E116" s="22" t="s">
        <v>1187</v>
      </c>
      <c r="F116" s="29">
        <v>5</v>
      </c>
      <c r="G116" s="29">
        <v>65</v>
      </c>
      <c r="H116" s="64"/>
      <c r="I116" s="22" t="s">
        <v>1188</v>
      </c>
      <c r="J116" s="22" t="s">
        <v>233</v>
      </c>
      <c r="K116" s="34"/>
    </row>
    <row r="117" spans="1:11" x14ac:dyDescent="0.3">
      <c r="A117" s="22" t="s">
        <v>174</v>
      </c>
      <c r="B117" s="22" t="s">
        <v>1151</v>
      </c>
      <c r="C117" s="22" t="s">
        <v>90</v>
      </c>
      <c r="D117" s="23"/>
      <c r="E117" s="22" t="s">
        <v>1189</v>
      </c>
      <c r="F117" s="29">
        <v>5</v>
      </c>
      <c r="G117" s="29">
        <v>65</v>
      </c>
      <c r="H117" s="64"/>
      <c r="I117" s="22" t="s">
        <v>1190</v>
      </c>
      <c r="J117" s="22" t="s">
        <v>230</v>
      </c>
      <c r="K117" s="34"/>
    </row>
    <row r="118" spans="1:11" x14ac:dyDescent="0.3">
      <c r="A118" s="22" t="s">
        <v>174</v>
      </c>
      <c r="B118" s="22" t="s">
        <v>1332</v>
      </c>
      <c r="C118" s="22" t="s">
        <v>87</v>
      </c>
      <c r="D118" s="23"/>
      <c r="E118" s="22" t="s">
        <v>1375</v>
      </c>
      <c r="F118" s="29">
        <v>5</v>
      </c>
      <c r="G118" s="29">
        <v>65</v>
      </c>
      <c r="H118" s="64"/>
      <c r="I118" s="22" t="s">
        <v>1376</v>
      </c>
      <c r="J118" s="22" t="s">
        <v>227</v>
      </c>
      <c r="K118" s="34"/>
    </row>
    <row r="119" spans="1:11" x14ac:dyDescent="0.3">
      <c r="A119" s="22" t="s">
        <v>174</v>
      </c>
      <c r="B119" s="22" t="s">
        <v>1332</v>
      </c>
      <c r="C119" s="22" t="s">
        <v>93</v>
      </c>
      <c r="D119" s="23"/>
      <c r="E119" s="22" t="s">
        <v>1377</v>
      </c>
      <c r="F119" s="29">
        <v>5</v>
      </c>
      <c r="G119" s="29">
        <v>65</v>
      </c>
      <c r="H119" s="64"/>
      <c r="I119" s="22" t="s">
        <v>1378</v>
      </c>
      <c r="J119" s="22" t="s">
        <v>233</v>
      </c>
      <c r="K119" s="34"/>
    </row>
    <row r="120" spans="1:11" x14ac:dyDescent="0.3">
      <c r="A120" s="22" t="s">
        <v>174</v>
      </c>
      <c r="B120" s="22" t="s">
        <v>1332</v>
      </c>
      <c r="C120" s="22" t="s">
        <v>90</v>
      </c>
      <c r="D120" s="23"/>
      <c r="E120" s="22" t="s">
        <v>1379</v>
      </c>
      <c r="F120" s="29">
        <v>5</v>
      </c>
      <c r="G120" s="29">
        <v>65</v>
      </c>
      <c r="H120" s="64"/>
      <c r="I120" s="22" t="s">
        <v>1380</v>
      </c>
      <c r="J120" s="22" t="s">
        <v>230</v>
      </c>
      <c r="K120" s="34"/>
    </row>
    <row r="121" spans="1:11" x14ac:dyDescent="0.3">
      <c r="A121" s="22" t="s">
        <v>174</v>
      </c>
      <c r="B121" s="22" t="s">
        <v>1498</v>
      </c>
      <c r="C121" s="22" t="s">
        <v>176</v>
      </c>
      <c r="D121" s="23"/>
      <c r="E121" s="22" t="s">
        <v>1504</v>
      </c>
      <c r="F121" s="29">
        <v>5</v>
      </c>
      <c r="G121" s="29">
        <v>65</v>
      </c>
      <c r="H121" s="64"/>
      <c r="I121" s="22" t="s">
        <v>1505</v>
      </c>
      <c r="J121" s="22" t="s">
        <v>543</v>
      </c>
      <c r="K121" s="34"/>
    </row>
    <row r="122" spans="1:11" x14ac:dyDescent="0.3">
      <c r="A122" s="22" t="s">
        <v>174</v>
      </c>
      <c r="B122" s="22" t="s">
        <v>1617</v>
      </c>
      <c r="C122" s="22" t="s">
        <v>87</v>
      </c>
      <c r="D122" s="23"/>
      <c r="E122" s="22" t="s">
        <v>1624</v>
      </c>
      <c r="F122" s="29">
        <v>5</v>
      </c>
      <c r="G122" s="29">
        <v>65</v>
      </c>
      <c r="H122" s="64"/>
      <c r="I122" s="22" t="s">
        <v>1625</v>
      </c>
      <c r="J122" s="22" t="s">
        <v>779</v>
      </c>
      <c r="K122" s="34"/>
    </row>
    <row r="123" spans="1:11" x14ac:dyDescent="0.3">
      <c r="A123" s="22" t="s">
        <v>174</v>
      </c>
      <c r="B123" s="22" t="s">
        <v>1617</v>
      </c>
      <c r="C123" s="22" t="s">
        <v>93</v>
      </c>
      <c r="D123" s="23"/>
      <c r="E123" s="22" t="s">
        <v>1626</v>
      </c>
      <c r="F123" s="29">
        <v>5</v>
      </c>
      <c r="G123" s="29">
        <v>65</v>
      </c>
      <c r="H123" s="64"/>
      <c r="I123" s="22" t="s">
        <v>1627</v>
      </c>
      <c r="J123" s="22" t="s">
        <v>779</v>
      </c>
      <c r="K123" s="34"/>
    </row>
    <row r="124" spans="1:11" x14ac:dyDescent="0.3">
      <c r="A124" s="22" t="s">
        <v>174</v>
      </c>
      <c r="B124" s="22" t="s">
        <v>1617</v>
      </c>
      <c r="C124" s="64" t="s">
        <v>90</v>
      </c>
      <c r="D124" s="23"/>
      <c r="E124" s="22" t="s">
        <v>1628</v>
      </c>
      <c r="F124" s="29">
        <v>5</v>
      </c>
      <c r="G124" s="29">
        <v>65</v>
      </c>
      <c r="H124" s="64"/>
      <c r="I124" s="22" t="s">
        <v>1629</v>
      </c>
      <c r="J124" s="22" t="s">
        <v>779</v>
      </c>
      <c r="K124" s="34"/>
    </row>
    <row r="125" spans="1:11" x14ac:dyDescent="0.3">
      <c r="A125" s="22" t="s">
        <v>174</v>
      </c>
      <c r="B125" s="22" t="s">
        <v>1762</v>
      </c>
      <c r="C125" s="22" t="s">
        <v>87</v>
      </c>
      <c r="D125" s="23"/>
      <c r="E125" s="22" t="s">
        <v>1770</v>
      </c>
      <c r="F125" s="29">
        <v>5</v>
      </c>
      <c r="G125" s="29">
        <v>65</v>
      </c>
      <c r="H125" s="64"/>
      <c r="I125" s="22" t="s">
        <v>1771</v>
      </c>
      <c r="J125" s="22" t="s">
        <v>1772</v>
      </c>
      <c r="K125" s="34"/>
    </row>
    <row r="126" spans="1:11" x14ac:dyDescent="0.3">
      <c r="A126" s="22" t="s">
        <v>174</v>
      </c>
      <c r="B126" s="22" t="s">
        <v>1762</v>
      </c>
      <c r="C126" s="22" t="s">
        <v>93</v>
      </c>
      <c r="D126" s="23"/>
      <c r="E126" s="22" t="s">
        <v>1773</v>
      </c>
      <c r="F126" s="29">
        <v>5</v>
      </c>
      <c r="G126" s="29">
        <v>65</v>
      </c>
      <c r="H126" s="64"/>
      <c r="I126" s="22" t="s">
        <v>1774</v>
      </c>
      <c r="J126" s="22" t="s">
        <v>1772</v>
      </c>
      <c r="K126" s="34"/>
    </row>
    <row r="127" spans="1:11" x14ac:dyDescent="0.3">
      <c r="A127" s="22" t="s">
        <v>174</v>
      </c>
      <c r="B127" s="22" t="s">
        <v>1762</v>
      </c>
      <c r="C127" s="22" t="s">
        <v>90</v>
      </c>
      <c r="D127" s="23"/>
      <c r="E127" s="22" t="s">
        <v>1775</v>
      </c>
      <c r="F127" s="29">
        <v>5</v>
      </c>
      <c r="G127" s="29">
        <v>65</v>
      </c>
      <c r="H127" s="64"/>
      <c r="I127" s="22" t="s">
        <v>1776</v>
      </c>
      <c r="J127" s="22" t="s">
        <v>1772</v>
      </c>
      <c r="K127" s="34"/>
    </row>
    <row r="128" spans="1:11" x14ac:dyDescent="0.3">
      <c r="A128" s="29" t="s">
        <v>174</v>
      </c>
      <c r="B128" s="29" t="s">
        <v>175</v>
      </c>
      <c r="C128" s="29" t="s">
        <v>213</v>
      </c>
      <c r="D128" s="29"/>
      <c r="E128" s="29" t="s">
        <v>234</v>
      </c>
      <c r="F128" s="29">
        <v>6</v>
      </c>
      <c r="G128" s="29">
        <v>70</v>
      </c>
      <c r="H128" s="29"/>
      <c r="I128" s="22" t="s">
        <v>235</v>
      </c>
      <c r="J128" s="22" t="s">
        <v>236</v>
      </c>
      <c r="K128" s="34"/>
    </row>
    <row r="129" spans="1:11" x14ac:dyDescent="0.3">
      <c r="A129" s="29" t="s">
        <v>174</v>
      </c>
      <c r="B129" s="29" t="s">
        <v>175</v>
      </c>
      <c r="C129" s="29" t="s">
        <v>217</v>
      </c>
      <c r="D129" s="29"/>
      <c r="E129" s="29" t="s">
        <v>237</v>
      </c>
      <c r="F129" s="29">
        <v>6</v>
      </c>
      <c r="G129" s="29">
        <v>70</v>
      </c>
      <c r="H129" s="29"/>
      <c r="I129" s="22" t="s">
        <v>238</v>
      </c>
      <c r="J129" s="22" t="s">
        <v>239</v>
      </c>
      <c r="K129" s="34"/>
    </row>
    <row r="130" spans="1:11" x14ac:dyDescent="0.3">
      <c r="A130" s="29" t="s">
        <v>174</v>
      </c>
      <c r="B130" s="29" t="s">
        <v>175</v>
      </c>
      <c r="C130" s="29" t="s">
        <v>221</v>
      </c>
      <c r="D130" s="29"/>
      <c r="E130" s="29" t="s">
        <v>240</v>
      </c>
      <c r="F130" s="29">
        <v>6</v>
      </c>
      <c r="G130" s="29">
        <v>70</v>
      </c>
      <c r="H130" s="29"/>
      <c r="I130" s="22" t="s">
        <v>241</v>
      </c>
      <c r="J130" s="22" t="s">
        <v>242</v>
      </c>
      <c r="K130" s="34"/>
    </row>
    <row r="131" spans="1:11" x14ac:dyDescent="0.3">
      <c r="A131" s="64" t="s">
        <v>174</v>
      </c>
      <c r="B131" s="64" t="s">
        <v>530</v>
      </c>
      <c r="C131" s="64" t="s">
        <v>87</v>
      </c>
      <c r="D131" s="64" t="s">
        <v>531</v>
      </c>
      <c r="E131" s="64" t="s">
        <v>555</v>
      </c>
      <c r="F131" s="29">
        <v>6</v>
      </c>
      <c r="G131" s="29">
        <v>70</v>
      </c>
      <c r="H131" s="29"/>
      <c r="I131" s="22" t="s">
        <v>556</v>
      </c>
      <c r="J131" s="22" t="s">
        <v>557</v>
      </c>
      <c r="K131" s="34"/>
    </row>
    <row r="132" spans="1:11" x14ac:dyDescent="0.3">
      <c r="A132" s="64" t="s">
        <v>174</v>
      </c>
      <c r="B132" s="64" t="s">
        <v>530</v>
      </c>
      <c r="C132" s="64" t="s">
        <v>93</v>
      </c>
      <c r="D132" s="64" t="s">
        <v>531</v>
      </c>
      <c r="E132" s="64" t="s">
        <v>558</v>
      </c>
      <c r="F132" s="29">
        <v>6</v>
      </c>
      <c r="G132" s="29">
        <v>70</v>
      </c>
      <c r="H132" s="29"/>
      <c r="I132" s="22" t="s">
        <v>559</v>
      </c>
      <c r="J132" s="22" t="s">
        <v>557</v>
      </c>
      <c r="K132" s="34"/>
    </row>
    <row r="133" spans="1:11" x14ac:dyDescent="0.3">
      <c r="A133" s="64" t="s">
        <v>174</v>
      </c>
      <c r="B133" s="64" t="s">
        <v>530</v>
      </c>
      <c r="C133" s="64" t="s">
        <v>90</v>
      </c>
      <c r="D133" s="64" t="s">
        <v>531</v>
      </c>
      <c r="E133" s="64" t="s">
        <v>560</v>
      </c>
      <c r="F133" s="29">
        <v>6</v>
      </c>
      <c r="G133" s="29">
        <v>70</v>
      </c>
      <c r="H133" s="29"/>
      <c r="I133" s="22" t="s">
        <v>561</v>
      </c>
      <c r="J133" s="22" t="s">
        <v>557</v>
      </c>
      <c r="K133" s="34"/>
    </row>
    <row r="134" spans="1:11" x14ac:dyDescent="0.3">
      <c r="A134" s="22" t="s">
        <v>174</v>
      </c>
      <c r="B134" s="22" t="s">
        <v>753</v>
      </c>
      <c r="C134" s="22" t="s">
        <v>213</v>
      </c>
      <c r="D134" s="23"/>
      <c r="E134" s="23" t="s">
        <v>784</v>
      </c>
      <c r="F134" s="29">
        <v>6</v>
      </c>
      <c r="G134" s="29">
        <v>70</v>
      </c>
      <c r="H134" s="64"/>
      <c r="I134" s="22" t="s">
        <v>785</v>
      </c>
      <c r="J134" s="22" t="s">
        <v>239</v>
      </c>
      <c r="K134" s="34"/>
    </row>
    <row r="135" spans="1:11" x14ac:dyDescent="0.3">
      <c r="A135" s="22" t="s">
        <v>174</v>
      </c>
      <c r="B135" s="22" t="s">
        <v>753</v>
      </c>
      <c r="C135" s="22" t="s">
        <v>221</v>
      </c>
      <c r="D135" s="23"/>
      <c r="E135" s="23" t="s">
        <v>786</v>
      </c>
      <c r="F135" s="29">
        <v>6</v>
      </c>
      <c r="G135" s="29">
        <v>70</v>
      </c>
      <c r="H135" s="64"/>
      <c r="I135" s="22" t="s">
        <v>787</v>
      </c>
      <c r="J135" s="22" t="s">
        <v>239</v>
      </c>
      <c r="K135" s="34"/>
    </row>
    <row r="136" spans="1:11" x14ac:dyDescent="0.3">
      <c r="A136" s="22" t="s">
        <v>174</v>
      </c>
      <c r="B136" s="22" t="s">
        <v>753</v>
      </c>
      <c r="C136" s="22" t="s">
        <v>217</v>
      </c>
      <c r="D136" s="23"/>
      <c r="E136" s="23" t="s">
        <v>788</v>
      </c>
      <c r="F136" s="29">
        <v>6</v>
      </c>
      <c r="G136" s="29">
        <v>70</v>
      </c>
      <c r="H136" s="64"/>
      <c r="I136" s="22" t="s">
        <v>789</v>
      </c>
      <c r="J136" s="22" t="s">
        <v>239</v>
      </c>
      <c r="K136" s="34"/>
    </row>
    <row r="137" spans="1:11" x14ac:dyDescent="0.3">
      <c r="A137" s="22" t="s">
        <v>174</v>
      </c>
      <c r="B137" s="22" t="s">
        <v>942</v>
      </c>
      <c r="C137" s="22" t="s">
        <v>87</v>
      </c>
      <c r="D137" s="23"/>
      <c r="E137" s="22" t="s">
        <v>958</v>
      </c>
      <c r="F137" s="29">
        <v>6</v>
      </c>
      <c r="G137" s="29">
        <v>70</v>
      </c>
      <c r="H137" s="64"/>
      <c r="I137" s="22" t="s">
        <v>959</v>
      </c>
      <c r="J137" s="22" t="s">
        <v>236</v>
      </c>
      <c r="K137" s="34"/>
    </row>
    <row r="138" spans="1:11" x14ac:dyDescent="0.3">
      <c r="A138" s="22" t="s">
        <v>174</v>
      </c>
      <c r="B138" s="22" t="s">
        <v>942</v>
      </c>
      <c r="C138" s="22" t="s">
        <v>93</v>
      </c>
      <c r="D138" s="23"/>
      <c r="E138" s="22" t="s">
        <v>960</v>
      </c>
      <c r="F138" s="29">
        <v>6</v>
      </c>
      <c r="G138" s="29">
        <v>70</v>
      </c>
      <c r="H138" s="64"/>
      <c r="I138" s="22" t="s">
        <v>961</v>
      </c>
      <c r="J138" s="22" t="s">
        <v>242</v>
      </c>
      <c r="K138" s="34"/>
    </row>
    <row r="139" spans="1:11" x14ac:dyDescent="0.3">
      <c r="A139" s="22" t="s">
        <v>174</v>
      </c>
      <c r="B139" s="22" t="s">
        <v>942</v>
      </c>
      <c r="C139" s="22" t="s">
        <v>90</v>
      </c>
      <c r="D139" s="23"/>
      <c r="E139" s="22" t="s">
        <v>962</v>
      </c>
      <c r="F139" s="29">
        <v>6</v>
      </c>
      <c r="G139" s="29">
        <v>70</v>
      </c>
      <c r="H139" s="64"/>
      <c r="I139" s="22" t="s">
        <v>963</v>
      </c>
      <c r="J139" s="22" t="s">
        <v>964</v>
      </c>
      <c r="K139" s="34"/>
    </row>
    <row r="140" spans="1:11" x14ac:dyDescent="0.3">
      <c r="A140" s="22" t="s">
        <v>174</v>
      </c>
      <c r="B140" s="22" t="s">
        <v>1151</v>
      </c>
      <c r="C140" s="22" t="s">
        <v>87</v>
      </c>
      <c r="D140" s="23"/>
      <c r="E140" s="22" t="s">
        <v>1191</v>
      </c>
      <c r="F140" s="29">
        <v>6</v>
      </c>
      <c r="G140" s="29">
        <v>70</v>
      </c>
      <c r="H140" s="64"/>
      <c r="I140" s="22" t="s">
        <v>1192</v>
      </c>
      <c r="J140" s="22" t="s">
        <v>236</v>
      </c>
      <c r="K140" s="34"/>
    </row>
    <row r="141" spans="1:11" x14ac:dyDescent="0.3">
      <c r="A141" s="22" t="s">
        <v>174</v>
      </c>
      <c r="B141" s="22" t="s">
        <v>1151</v>
      </c>
      <c r="C141" s="22" t="s">
        <v>93</v>
      </c>
      <c r="D141" s="23"/>
      <c r="E141" s="22" t="s">
        <v>1193</v>
      </c>
      <c r="F141" s="29">
        <v>6</v>
      </c>
      <c r="G141" s="29">
        <v>70</v>
      </c>
      <c r="H141" s="64"/>
      <c r="I141" s="22" t="s">
        <v>1194</v>
      </c>
      <c r="J141" s="22" t="s">
        <v>242</v>
      </c>
      <c r="K141" s="34"/>
    </row>
    <row r="142" spans="1:11" x14ac:dyDescent="0.3">
      <c r="A142" s="22" t="s">
        <v>174</v>
      </c>
      <c r="B142" s="22" t="s">
        <v>1151</v>
      </c>
      <c r="C142" s="22" t="s">
        <v>90</v>
      </c>
      <c r="D142" s="23"/>
      <c r="E142" s="22" t="s">
        <v>1195</v>
      </c>
      <c r="F142" s="29">
        <v>6</v>
      </c>
      <c r="G142" s="29">
        <v>70</v>
      </c>
      <c r="H142" s="64"/>
      <c r="I142" s="22" t="s">
        <v>1196</v>
      </c>
      <c r="J142" s="22" t="s">
        <v>964</v>
      </c>
      <c r="K142" s="34"/>
    </row>
    <row r="143" spans="1:11" x14ac:dyDescent="0.3">
      <c r="A143" s="22" t="s">
        <v>174</v>
      </c>
      <c r="B143" s="22" t="s">
        <v>1332</v>
      </c>
      <c r="C143" s="22" t="s">
        <v>87</v>
      </c>
      <c r="D143" s="23"/>
      <c r="E143" s="22" t="s">
        <v>1381</v>
      </c>
      <c r="F143" s="29">
        <v>6</v>
      </c>
      <c r="G143" s="29">
        <v>70</v>
      </c>
      <c r="H143" s="64"/>
      <c r="I143" s="22" t="s">
        <v>1382</v>
      </c>
      <c r="J143" s="22" t="s">
        <v>236</v>
      </c>
      <c r="K143" s="34"/>
    </row>
    <row r="144" spans="1:11" x14ac:dyDescent="0.3">
      <c r="A144" s="22" t="s">
        <v>174</v>
      </c>
      <c r="B144" s="22" t="s">
        <v>1332</v>
      </c>
      <c r="C144" s="22" t="s">
        <v>93</v>
      </c>
      <c r="D144" s="23"/>
      <c r="E144" s="22" t="s">
        <v>1383</v>
      </c>
      <c r="F144" s="29">
        <v>6</v>
      </c>
      <c r="G144" s="29">
        <v>70</v>
      </c>
      <c r="H144" s="64"/>
      <c r="I144" s="22" t="s">
        <v>1384</v>
      </c>
      <c r="J144" s="22" t="s">
        <v>242</v>
      </c>
      <c r="K144" s="34"/>
    </row>
    <row r="145" spans="1:11" x14ac:dyDescent="0.3">
      <c r="A145" s="22" t="s">
        <v>174</v>
      </c>
      <c r="B145" s="22" t="s">
        <v>1332</v>
      </c>
      <c r="C145" s="22" t="s">
        <v>90</v>
      </c>
      <c r="D145" s="23"/>
      <c r="E145" s="22" t="s">
        <v>1385</v>
      </c>
      <c r="F145" s="29">
        <v>6</v>
      </c>
      <c r="G145" s="29">
        <v>70</v>
      </c>
      <c r="H145" s="64"/>
      <c r="I145" s="22" t="s">
        <v>1386</v>
      </c>
      <c r="J145" s="22" t="s">
        <v>964</v>
      </c>
      <c r="K145" s="34"/>
    </row>
    <row r="146" spans="1:11" x14ac:dyDescent="0.3">
      <c r="A146" s="22" t="s">
        <v>174</v>
      </c>
      <c r="B146" s="22" t="s">
        <v>1498</v>
      </c>
      <c r="C146" s="22" t="s">
        <v>63</v>
      </c>
      <c r="D146" s="23"/>
      <c r="E146" s="22" t="s">
        <v>1506</v>
      </c>
      <c r="F146" s="29">
        <v>6</v>
      </c>
      <c r="G146" s="29">
        <v>70</v>
      </c>
      <c r="H146" s="64"/>
      <c r="I146" s="22" t="s">
        <v>1507</v>
      </c>
      <c r="J146" s="22" t="s">
        <v>1508</v>
      </c>
      <c r="K146" s="34"/>
    </row>
    <row r="147" spans="1:11" x14ac:dyDescent="0.3">
      <c r="A147" s="22" t="s">
        <v>174</v>
      </c>
      <c r="B147" s="22" t="s">
        <v>1617</v>
      </c>
      <c r="C147" s="22" t="s">
        <v>87</v>
      </c>
      <c r="D147" s="23"/>
      <c r="E147" s="22" t="s">
        <v>1630</v>
      </c>
      <c r="F147" s="29">
        <v>6</v>
      </c>
      <c r="G147" s="29">
        <v>70</v>
      </c>
      <c r="H147" s="64"/>
      <c r="I147" s="22" t="s">
        <v>1631</v>
      </c>
      <c r="J147" s="22" t="s">
        <v>239</v>
      </c>
      <c r="K147" s="34"/>
    </row>
    <row r="148" spans="1:11" x14ac:dyDescent="0.3">
      <c r="A148" s="22" t="s">
        <v>174</v>
      </c>
      <c r="B148" s="22" t="s">
        <v>1617</v>
      </c>
      <c r="C148" s="22" t="s">
        <v>93</v>
      </c>
      <c r="D148" s="23"/>
      <c r="E148" s="22" t="s">
        <v>1632</v>
      </c>
      <c r="F148" s="29">
        <v>6</v>
      </c>
      <c r="G148" s="29">
        <v>70</v>
      </c>
      <c r="H148" s="64"/>
      <c r="I148" s="22" t="s">
        <v>1633</v>
      </c>
      <c r="J148" s="22" t="s">
        <v>239</v>
      </c>
      <c r="K148" s="34"/>
    </row>
    <row r="149" spans="1:11" x14ac:dyDescent="0.3">
      <c r="A149" s="22" t="s">
        <v>174</v>
      </c>
      <c r="B149" s="22" t="s">
        <v>1617</v>
      </c>
      <c r="C149" s="64" t="s">
        <v>90</v>
      </c>
      <c r="D149" s="23"/>
      <c r="E149" s="22" t="s">
        <v>1634</v>
      </c>
      <c r="F149" s="29">
        <v>6</v>
      </c>
      <c r="G149" s="29">
        <v>70</v>
      </c>
      <c r="H149" s="64"/>
      <c r="I149" s="22" t="s">
        <v>1635</v>
      </c>
      <c r="J149" s="22" t="s">
        <v>239</v>
      </c>
      <c r="K149" s="34"/>
    </row>
    <row r="150" spans="1:11" x14ac:dyDescent="0.3">
      <c r="A150" s="22" t="s">
        <v>174</v>
      </c>
      <c r="B150" s="22" t="s">
        <v>1762</v>
      </c>
      <c r="C150" s="22" t="s">
        <v>87</v>
      </c>
      <c r="D150" s="23"/>
      <c r="E150" s="22" t="s">
        <v>1777</v>
      </c>
      <c r="F150" s="29">
        <v>6</v>
      </c>
      <c r="G150" s="29">
        <v>70</v>
      </c>
      <c r="H150" s="64"/>
      <c r="I150" s="22" t="s">
        <v>1631</v>
      </c>
      <c r="J150" s="22" t="s">
        <v>1778</v>
      </c>
      <c r="K150" s="34"/>
    </row>
    <row r="151" spans="1:11" x14ac:dyDescent="0.3">
      <c r="A151" s="22" t="s">
        <v>174</v>
      </c>
      <c r="B151" s="22" t="s">
        <v>1762</v>
      </c>
      <c r="C151" s="22" t="s">
        <v>93</v>
      </c>
      <c r="D151" s="23"/>
      <c r="E151" s="22" t="s">
        <v>1779</v>
      </c>
      <c r="F151" s="29">
        <v>6</v>
      </c>
      <c r="G151" s="29">
        <v>70</v>
      </c>
      <c r="H151" s="64"/>
      <c r="I151" s="22" t="s">
        <v>1633</v>
      </c>
      <c r="J151" s="22" t="s">
        <v>1778</v>
      </c>
      <c r="K151" s="34"/>
    </row>
    <row r="152" spans="1:11" x14ac:dyDescent="0.3">
      <c r="A152" s="22" t="s">
        <v>174</v>
      </c>
      <c r="B152" s="22" t="s">
        <v>1762</v>
      </c>
      <c r="C152" s="22" t="s">
        <v>90</v>
      </c>
      <c r="D152" s="23"/>
      <c r="E152" s="22" t="s">
        <v>1780</v>
      </c>
      <c r="F152" s="29">
        <v>6</v>
      </c>
      <c r="G152" s="29">
        <v>70</v>
      </c>
      <c r="H152" s="64"/>
      <c r="I152" s="22" t="s">
        <v>1635</v>
      </c>
      <c r="J152" s="22" t="s">
        <v>1778</v>
      </c>
      <c r="K152" s="34"/>
    </row>
    <row r="153" spans="1:11" x14ac:dyDescent="0.3">
      <c r="A153" s="29" t="s">
        <v>174</v>
      </c>
      <c r="B153" s="29" t="s">
        <v>175</v>
      </c>
      <c r="C153" s="29" t="s">
        <v>213</v>
      </c>
      <c r="D153" s="29"/>
      <c r="E153" s="29" t="s">
        <v>243</v>
      </c>
      <c r="F153" s="29">
        <v>7</v>
      </c>
      <c r="G153" s="29">
        <v>75</v>
      </c>
      <c r="H153" s="29"/>
      <c r="I153" s="22" t="s">
        <v>244</v>
      </c>
      <c r="J153" s="22" t="s">
        <v>245</v>
      </c>
      <c r="K153" s="34"/>
    </row>
    <row r="154" spans="1:11" x14ac:dyDescent="0.3">
      <c r="A154" s="29" t="s">
        <v>174</v>
      </c>
      <c r="B154" s="29" t="s">
        <v>175</v>
      </c>
      <c r="C154" s="29" t="s">
        <v>217</v>
      </c>
      <c r="D154" s="29"/>
      <c r="E154" s="29" t="s">
        <v>246</v>
      </c>
      <c r="F154" s="29">
        <v>7</v>
      </c>
      <c r="G154" s="29">
        <v>75</v>
      </c>
      <c r="H154" s="29"/>
      <c r="I154" s="22" t="s">
        <v>247</v>
      </c>
      <c r="J154" s="22" t="s">
        <v>248</v>
      </c>
      <c r="K154" s="34"/>
    </row>
    <row r="155" spans="1:11" x14ac:dyDescent="0.3">
      <c r="A155" s="29" t="s">
        <v>174</v>
      </c>
      <c r="B155" s="29" t="s">
        <v>175</v>
      </c>
      <c r="C155" s="29" t="s">
        <v>221</v>
      </c>
      <c r="D155" s="29"/>
      <c r="E155" s="29" t="s">
        <v>249</v>
      </c>
      <c r="F155" s="29">
        <v>7</v>
      </c>
      <c r="G155" s="29">
        <v>75</v>
      </c>
      <c r="H155" s="29"/>
      <c r="I155" s="22" t="s">
        <v>250</v>
      </c>
      <c r="J155" s="22" t="s">
        <v>251</v>
      </c>
      <c r="K155" s="34"/>
    </row>
    <row r="156" spans="1:11" x14ac:dyDescent="0.3">
      <c r="A156" s="64" t="s">
        <v>174</v>
      </c>
      <c r="B156" s="64" t="s">
        <v>530</v>
      </c>
      <c r="C156" s="64" t="s">
        <v>87</v>
      </c>
      <c r="D156" s="64" t="s">
        <v>531</v>
      </c>
      <c r="E156" s="64" t="s">
        <v>562</v>
      </c>
      <c r="F156" s="29">
        <v>7</v>
      </c>
      <c r="G156" s="29">
        <v>75</v>
      </c>
      <c r="H156" s="29"/>
      <c r="I156" s="22" t="s">
        <v>563</v>
      </c>
      <c r="J156" s="22" t="s">
        <v>564</v>
      </c>
      <c r="K156" s="34"/>
    </row>
    <row r="157" spans="1:11" x14ac:dyDescent="0.3">
      <c r="A157" s="64" t="s">
        <v>174</v>
      </c>
      <c r="B157" s="64" t="s">
        <v>530</v>
      </c>
      <c r="C157" s="64" t="s">
        <v>93</v>
      </c>
      <c r="D157" s="64" t="s">
        <v>531</v>
      </c>
      <c r="E157" s="64" t="s">
        <v>565</v>
      </c>
      <c r="F157" s="29">
        <v>7</v>
      </c>
      <c r="G157" s="29">
        <v>75</v>
      </c>
      <c r="H157" s="29"/>
      <c r="I157" s="22" t="s">
        <v>566</v>
      </c>
      <c r="J157" s="22" t="s">
        <v>564</v>
      </c>
      <c r="K157" s="34"/>
    </row>
    <row r="158" spans="1:11" x14ac:dyDescent="0.3">
      <c r="A158" s="64" t="s">
        <v>174</v>
      </c>
      <c r="B158" s="64" t="s">
        <v>530</v>
      </c>
      <c r="C158" s="64" t="s">
        <v>90</v>
      </c>
      <c r="D158" s="64" t="s">
        <v>531</v>
      </c>
      <c r="E158" s="64" t="s">
        <v>567</v>
      </c>
      <c r="F158" s="29">
        <v>7</v>
      </c>
      <c r="G158" s="29">
        <v>75</v>
      </c>
      <c r="H158" s="29"/>
      <c r="I158" s="22" t="s">
        <v>568</v>
      </c>
      <c r="J158" s="22" t="s">
        <v>564</v>
      </c>
      <c r="K158" s="34"/>
    </row>
    <row r="159" spans="1:11" x14ac:dyDescent="0.3">
      <c r="A159" s="22" t="s">
        <v>174</v>
      </c>
      <c r="B159" s="22" t="s">
        <v>753</v>
      </c>
      <c r="C159" s="22" t="s">
        <v>213</v>
      </c>
      <c r="D159" s="23"/>
      <c r="E159" s="23" t="s">
        <v>790</v>
      </c>
      <c r="F159" s="29">
        <v>7</v>
      </c>
      <c r="G159" s="29">
        <v>75</v>
      </c>
      <c r="H159" s="64"/>
      <c r="I159" s="22" t="s">
        <v>791</v>
      </c>
      <c r="J159" s="22" t="s">
        <v>248</v>
      </c>
      <c r="K159" s="34"/>
    </row>
    <row r="160" spans="1:11" x14ac:dyDescent="0.3">
      <c r="A160" s="22" t="s">
        <v>174</v>
      </c>
      <c r="B160" s="22" t="s">
        <v>753</v>
      </c>
      <c r="C160" s="22" t="s">
        <v>221</v>
      </c>
      <c r="D160" s="23"/>
      <c r="E160" s="23" t="s">
        <v>792</v>
      </c>
      <c r="F160" s="29">
        <v>7</v>
      </c>
      <c r="G160" s="29">
        <v>75</v>
      </c>
      <c r="H160" s="64"/>
      <c r="I160" s="22" t="s">
        <v>793</v>
      </c>
      <c r="J160" s="22" t="s">
        <v>248</v>
      </c>
      <c r="K160" s="34"/>
    </row>
    <row r="161" spans="1:11" x14ac:dyDescent="0.3">
      <c r="A161" s="22" t="s">
        <v>174</v>
      </c>
      <c r="B161" s="22" t="s">
        <v>753</v>
      </c>
      <c r="C161" s="22" t="s">
        <v>217</v>
      </c>
      <c r="D161" s="23"/>
      <c r="E161" s="23" t="s">
        <v>794</v>
      </c>
      <c r="F161" s="29">
        <v>7</v>
      </c>
      <c r="G161" s="29">
        <v>75</v>
      </c>
      <c r="H161" s="64"/>
      <c r="I161" s="22" t="s">
        <v>795</v>
      </c>
      <c r="J161" s="22" t="s">
        <v>248</v>
      </c>
      <c r="K161" s="34"/>
    </row>
    <row r="162" spans="1:11" x14ac:dyDescent="0.3">
      <c r="A162" s="22" t="s">
        <v>174</v>
      </c>
      <c r="B162" s="22" t="s">
        <v>942</v>
      </c>
      <c r="C162" s="22" t="s">
        <v>87</v>
      </c>
      <c r="D162" s="23"/>
      <c r="E162" s="22" t="s">
        <v>965</v>
      </c>
      <c r="F162" s="29">
        <v>7</v>
      </c>
      <c r="G162" s="29">
        <v>75</v>
      </c>
      <c r="H162" s="64"/>
      <c r="I162" s="22" t="s">
        <v>966</v>
      </c>
      <c r="J162" s="22" t="s">
        <v>245</v>
      </c>
      <c r="K162" s="34"/>
    </row>
    <row r="163" spans="1:11" x14ac:dyDescent="0.3">
      <c r="A163" s="22" t="s">
        <v>174</v>
      </c>
      <c r="B163" s="22" t="s">
        <v>942</v>
      </c>
      <c r="C163" s="22" t="s">
        <v>93</v>
      </c>
      <c r="D163" s="23"/>
      <c r="E163" s="22" t="s">
        <v>967</v>
      </c>
      <c r="F163" s="29">
        <v>7</v>
      </c>
      <c r="G163" s="29">
        <v>75</v>
      </c>
      <c r="H163" s="64"/>
      <c r="I163" s="22" t="s">
        <v>968</v>
      </c>
      <c r="J163" s="22" t="s">
        <v>251</v>
      </c>
      <c r="K163" s="34"/>
    </row>
    <row r="164" spans="1:11" x14ac:dyDescent="0.3">
      <c r="A164" s="22" t="s">
        <v>174</v>
      </c>
      <c r="B164" s="22" t="s">
        <v>942</v>
      </c>
      <c r="C164" s="22" t="s">
        <v>90</v>
      </c>
      <c r="D164" s="23"/>
      <c r="E164" s="22" t="s">
        <v>969</v>
      </c>
      <c r="F164" s="29">
        <v>7</v>
      </c>
      <c r="G164" s="29">
        <v>75</v>
      </c>
      <c r="H164" s="64"/>
      <c r="I164" s="22" t="s">
        <v>970</v>
      </c>
      <c r="J164" s="22" t="s">
        <v>971</v>
      </c>
      <c r="K164" s="34"/>
    </row>
    <row r="165" spans="1:11" x14ac:dyDescent="0.3">
      <c r="A165" s="22" t="s">
        <v>174</v>
      </c>
      <c r="B165" s="22" t="s">
        <v>1151</v>
      </c>
      <c r="C165" s="22" t="s">
        <v>87</v>
      </c>
      <c r="D165" s="23"/>
      <c r="E165" s="22" t="s">
        <v>1197</v>
      </c>
      <c r="F165" s="29">
        <v>7</v>
      </c>
      <c r="G165" s="29">
        <v>75</v>
      </c>
      <c r="H165" s="64"/>
      <c r="I165" s="22" t="s">
        <v>1198</v>
      </c>
      <c r="J165" s="22" t="s">
        <v>245</v>
      </c>
      <c r="K165" s="34"/>
    </row>
    <row r="166" spans="1:11" x14ac:dyDescent="0.3">
      <c r="A166" s="22" t="s">
        <v>174</v>
      </c>
      <c r="B166" s="22" t="s">
        <v>1151</v>
      </c>
      <c r="C166" s="22" t="s">
        <v>93</v>
      </c>
      <c r="D166" s="23"/>
      <c r="E166" s="22" t="s">
        <v>1199</v>
      </c>
      <c r="F166" s="29">
        <v>7</v>
      </c>
      <c r="G166" s="29">
        <v>75</v>
      </c>
      <c r="H166" s="64"/>
      <c r="I166" s="22" t="s">
        <v>1200</v>
      </c>
      <c r="J166" s="22" t="s">
        <v>251</v>
      </c>
      <c r="K166" s="34"/>
    </row>
    <row r="167" spans="1:11" x14ac:dyDescent="0.3">
      <c r="A167" s="22" t="s">
        <v>174</v>
      </c>
      <c r="B167" s="22" t="s">
        <v>1151</v>
      </c>
      <c r="C167" s="22" t="s">
        <v>90</v>
      </c>
      <c r="D167" s="23"/>
      <c r="E167" s="22" t="s">
        <v>1201</v>
      </c>
      <c r="F167" s="29">
        <v>7</v>
      </c>
      <c r="G167" s="29">
        <v>75</v>
      </c>
      <c r="H167" s="64"/>
      <c r="I167" s="22" t="s">
        <v>1202</v>
      </c>
      <c r="J167" s="22" t="s">
        <v>971</v>
      </c>
      <c r="K167" s="34"/>
    </row>
    <row r="168" spans="1:11" x14ac:dyDescent="0.3">
      <c r="A168" s="22" t="s">
        <v>174</v>
      </c>
      <c r="B168" s="22" t="s">
        <v>1332</v>
      </c>
      <c r="C168" s="22" t="s">
        <v>87</v>
      </c>
      <c r="D168" s="23"/>
      <c r="E168" s="22" t="s">
        <v>1387</v>
      </c>
      <c r="F168" s="29">
        <v>7</v>
      </c>
      <c r="G168" s="29">
        <v>75</v>
      </c>
      <c r="H168" s="64"/>
      <c r="I168" s="22" t="s">
        <v>1388</v>
      </c>
      <c r="J168" s="22" t="s">
        <v>245</v>
      </c>
      <c r="K168" s="34"/>
    </row>
    <row r="169" spans="1:11" x14ac:dyDescent="0.3">
      <c r="A169" s="22" t="s">
        <v>174</v>
      </c>
      <c r="B169" s="22" t="s">
        <v>1332</v>
      </c>
      <c r="C169" s="22" t="s">
        <v>93</v>
      </c>
      <c r="D169" s="23"/>
      <c r="E169" s="22" t="s">
        <v>1389</v>
      </c>
      <c r="F169" s="29">
        <v>7</v>
      </c>
      <c r="G169" s="29">
        <v>75</v>
      </c>
      <c r="H169" s="64"/>
      <c r="I169" s="22" t="s">
        <v>1390</v>
      </c>
      <c r="J169" s="22" t="s">
        <v>251</v>
      </c>
      <c r="K169" s="34"/>
    </row>
    <row r="170" spans="1:11" x14ac:dyDescent="0.3">
      <c r="A170" s="22" t="s">
        <v>174</v>
      </c>
      <c r="B170" s="22" t="s">
        <v>1332</v>
      </c>
      <c r="C170" s="22" t="s">
        <v>90</v>
      </c>
      <c r="D170" s="23"/>
      <c r="E170" s="22" t="s">
        <v>1391</v>
      </c>
      <c r="F170" s="29">
        <v>7</v>
      </c>
      <c r="G170" s="29">
        <v>75</v>
      </c>
      <c r="H170" s="64"/>
      <c r="I170" s="22" t="s">
        <v>1392</v>
      </c>
      <c r="J170" s="22" t="s">
        <v>971</v>
      </c>
      <c r="K170" s="34"/>
    </row>
    <row r="171" spans="1:11" x14ac:dyDescent="0.3">
      <c r="A171" s="22" t="s">
        <v>174</v>
      </c>
      <c r="B171" s="22" t="s">
        <v>1498</v>
      </c>
      <c r="C171" s="22" t="s">
        <v>176</v>
      </c>
      <c r="D171" s="23"/>
      <c r="E171" s="22" t="s">
        <v>1509</v>
      </c>
      <c r="F171" s="29">
        <v>7</v>
      </c>
      <c r="G171" s="29">
        <v>75</v>
      </c>
      <c r="H171" s="64"/>
      <c r="I171" s="22" t="s">
        <v>1510</v>
      </c>
      <c r="J171" s="22" t="s">
        <v>550</v>
      </c>
      <c r="K171" s="34"/>
    </row>
    <row r="172" spans="1:11" x14ac:dyDescent="0.3">
      <c r="A172" s="22" t="s">
        <v>174</v>
      </c>
      <c r="B172" s="22" t="s">
        <v>1617</v>
      </c>
      <c r="C172" s="22" t="s">
        <v>87</v>
      </c>
      <c r="D172" s="23"/>
      <c r="E172" s="22" t="s">
        <v>1636</v>
      </c>
      <c r="F172" s="29">
        <v>7</v>
      </c>
      <c r="G172" s="29">
        <v>75</v>
      </c>
      <c r="H172" s="64"/>
      <c r="I172" s="22" t="s">
        <v>1637</v>
      </c>
      <c r="J172" s="22" t="s">
        <v>248</v>
      </c>
      <c r="K172" s="34"/>
    </row>
    <row r="173" spans="1:11" x14ac:dyDescent="0.3">
      <c r="A173" s="22" t="s">
        <v>174</v>
      </c>
      <c r="B173" s="22" t="s">
        <v>1617</v>
      </c>
      <c r="C173" s="22" t="s">
        <v>93</v>
      </c>
      <c r="D173" s="23"/>
      <c r="E173" s="22" t="s">
        <v>1638</v>
      </c>
      <c r="F173" s="29">
        <v>7</v>
      </c>
      <c r="G173" s="29">
        <v>75</v>
      </c>
      <c r="H173" s="64"/>
      <c r="I173" s="22" t="s">
        <v>1639</v>
      </c>
      <c r="J173" s="22" t="s">
        <v>248</v>
      </c>
      <c r="K173" s="34"/>
    </row>
    <row r="174" spans="1:11" x14ac:dyDescent="0.3">
      <c r="A174" s="22" t="s">
        <v>174</v>
      </c>
      <c r="B174" s="22" t="s">
        <v>1617</v>
      </c>
      <c r="C174" s="64" t="s">
        <v>90</v>
      </c>
      <c r="D174" s="23"/>
      <c r="E174" s="22" t="s">
        <v>1640</v>
      </c>
      <c r="F174" s="29">
        <v>7</v>
      </c>
      <c r="G174" s="29">
        <v>75</v>
      </c>
      <c r="H174" s="64"/>
      <c r="I174" s="22" t="s">
        <v>1641</v>
      </c>
      <c r="J174" s="22" t="s">
        <v>248</v>
      </c>
      <c r="K174" s="34"/>
    </row>
    <row r="175" spans="1:11" x14ac:dyDescent="0.3">
      <c r="A175" s="22" t="s">
        <v>174</v>
      </c>
      <c r="B175" s="22" t="s">
        <v>1762</v>
      </c>
      <c r="C175" s="22" t="s">
        <v>87</v>
      </c>
      <c r="D175" s="23"/>
      <c r="E175" s="22" t="s">
        <v>1781</v>
      </c>
      <c r="F175" s="29">
        <v>7</v>
      </c>
      <c r="G175" s="29">
        <v>75</v>
      </c>
      <c r="H175" s="64"/>
      <c r="I175" s="22" t="s">
        <v>1637</v>
      </c>
      <c r="J175" s="22" t="s">
        <v>1782</v>
      </c>
      <c r="K175" s="34"/>
    </row>
    <row r="176" spans="1:11" x14ac:dyDescent="0.3">
      <c r="A176" s="22" t="s">
        <v>174</v>
      </c>
      <c r="B176" s="22" t="s">
        <v>1762</v>
      </c>
      <c r="C176" s="22" t="s">
        <v>93</v>
      </c>
      <c r="D176" s="23"/>
      <c r="E176" s="22" t="s">
        <v>1783</v>
      </c>
      <c r="F176" s="29">
        <v>7</v>
      </c>
      <c r="G176" s="29">
        <v>75</v>
      </c>
      <c r="H176" s="64"/>
      <c r="I176" s="22" t="s">
        <v>1639</v>
      </c>
      <c r="J176" s="22" t="s">
        <v>1782</v>
      </c>
      <c r="K176" s="34"/>
    </row>
    <row r="177" spans="1:11" x14ac:dyDescent="0.3">
      <c r="A177" s="22" t="s">
        <v>174</v>
      </c>
      <c r="B177" s="22" t="s">
        <v>1762</v>
      </c>
      <c r="C177" s="22" t="s">
        <v>90</v>
      </c>
      <c r="D177" s="23"/>
      <c r="E177" s="22" t="s">
        <v>1784</v>
      </c>
      <c r="F177" s="29">
        <v>7</v>
      </c>
      <c r="G177" s="29">
        <v>75</v>
      </c>
      <c r="H177" s="64"/>
      <c r="I177" s="22" t="s">
        <v>1641</v>
      </c>
      <c r="J177" s="22" t="s">
        <v>1782</v>
      </c>
      <c r="K177" s="34"/>
    </row>
    <row r="178" spans="1:11" x14ac:dyDescent="0.3">
      <c r="A178" s="29" t="s">
        <v>174</v>
      </c>
      <c r="B178" s="29" t="s">
        <v>175</v>
      </c>
      <c r="C178" s="29" t="s">
        <v>213</v>
      </c>
      <c r="D178" s="29"/>
      <c r="E178" s="29" t="s">
        <v>1910</v>
      </c>
      <c r="F178" s="29">
        <v>8</v>
      </c>
      <c r="G178" s="29">
        <v>80</v>
      </c>
      <c r="H178" s="29">
        <v>1</v>
      </c>
      <c r="I178" s="22" t="s">
        <v>252</v>
      </c>
      <c r="J178" s="22" t="s">
        <v>253</v>
      </c>
      <c r="K178" s="34"/>
    </row>
    <row r="179" spans="1:11" x14ac:dyDescent="0.3">
      <c r="A179" s="29" t="s">
        <v>174</v>
      </c>
      <c r="B179" s="29" t="s">
        <v>175</v>
      </c>
      <c r="C179" s="29" t="s">
        <v>217</v>
      </c>
      <c r="D179" s="29"/>
      <c r="E179" s="29" t="s">
        <v>254</v>
      </c>
      <c r="F179" s="29">
        <v>8</v>
      </c>
      <c r="G179" s="29">
        <v>80</v>
      </c>
      <c r="H179" s="29">
        <v>1</v>
      </c>
      <c r="I179" s="22" t="s">
        <v>255</v>
      </c>
      <c r="J179" s="22" t="s">
        <v>256</v>
      </c>
      <c r="K179" s="34"/>
    </row>
    <row r="180" spans="1:11" x14ac:dyDescent="0.3">
      <c r="A180" s="29" t="s">
        <v>174</v>
      </c>
      <c r="B180" s="29" t="s">
        <v>175</v>
      </c>
      <c r="C180" s="29" t="s">
        <v>221</v>
      </c>
      <c r="D180" s="29"/>
      <c r="E180" s="29" t="s">
        <v>257</v>
      </c>
      <c r="F180" s="29">
        <v>8</v>
      </c>
      <c r="G180" s="29">
        <v>80</v>
      </c>
      <c r="H180" s="29">
        <v>1</v>
      </c>
      <c r="I180" s="22" t="s">
        <v>258</v>
      </c>
      <c r="J180" s="22" t="s">
        <v>259</v>
      </c>
      <c r="K180" s="34"/>
    </row>
    <row r="181" spans="1:11" x14ac:dyDescent="0.3">
      <c r="A181" s="64" t="s">
        <v>174</v>
      </c>
      <c r="B181" s="64" t="s">
        <v>530</v>
      </c>
      <c r="C181" s="64" t="s">
        <v>87</v>
      </c>
      <c r="D181" s="64" t="s">
        <v>531</v>
      </c>
      <c r="E181" s="64" t="s">
        <v>569</v>
      </c>
      <c r="F181" s="29">
        <v>8</v>
      </c>
      <c r="G181" s="29">
        <v>80</v>
      </c>
      <c r="H181" s="29">
        <v>1</v>
      </c>
      <c r="I181" s="22" t="s">
        <v>570</v>
      </c>
      <c r="J181" s="22" t="s">
        <v>571</v>
      </c>
      <c r="K181" s="34"/>
    </row>
    <row r="182" spans="1:11" x14ac:dyDescent="0.3">
      <c r="A182" s="64" t="s">
        <v>174</v>
      </c>
      <c r="B182" s="64" t="s">
        <v>530</v>
      </c>
      <c r="C182" s="64" t="s">
        <v>93</v>
      </c>
      <c r="D182" s="64" t="s">
        <v>531</v>
      </c>
      <c r="E182" s="64" t="s">
        <v>572</v>
      </c>
      <c r="F182" s="29">
        <v>8</v>
      </c>
      <c r="G182" s="29">
        <v>80</v>
      </c>
      <c r="H182" s="29">
        <v>1</v>
      </c>
      <c r="I182" s="22" t="s">
        <v>573</v>
      </c>
      <c r="J182" s="22" t="s">
        <v>571</v>
      </c>
      <c r="K182" s="34"/>
    </row>
    <row r="183" spans="1:11" x14ac:dyDescent="0.3">
      <c r="A183" s="64" t="s">
        <v>174</v>
      </c>
      <c r="B183" s="64" t="s">
        <v>530</v>
      </c>
      <c r="C183" s="64" t="s">
        <v>90</v>
      </c>
      <c r="D183" s="64" t="s">
        <v>531</v>
      </c>
      <c r="E183" s="64" t="s">
        <v>574</v>
      </c>
      <c r="F183" s="29">
        <v>8</v>
      </c>
      <c r="G183" s="29">
        <v>80</v>
      </c>
      <c r="H183" s="29">
        <v>1</v>
      </c>
      <c r="I183" s="22" t="s">
        <v>575</v>
      </c>
      <c r="J183" s="22" t="s">
        <v>571</v>
      </c>
      <c r="K183" s="34"/>
    </row>
    <row r="184" spans="1:11" x14ac:dyDescent="0.3">
      <c r="A184" s="22" t="s">
        <v>174</v>
      </c>
      <c r="B184" s="22" t="s">
        <v>753</v>
      </c>
      <c r="C184" s="22" t="s">
        <v>213</v>
      </c>
      <c r="D184" s="23"/>
      <c r="E184" s="23" t="s">
        <v>796</v>
      </c>
      <c r="F184" s="29">
        <v>8</v>
      </c>
      <c r="G184" s="29">
        <v>80</v>
      </c>
      <c r="H184" s="29">
        <v>1</v>
      </c>
      <c r="I184" s="22" t="s">
        <v>797</v>
      </c>
      <c r="J184" s="22" t="s">
        <v>256</v>
      </c>
      <c r="K184" s="34"/>
    </row>
    <row r="185" spans="1:11" x14ac:dyDescent="0.3">
      <c r="A185" s="22" t="s">
        <v>174</v>
      </c>
      <c r="B185" s="22" t="s">
        <v>753</v>
      </c>
      <c r="C185" s="22" t="s">
        <v>221</v>
      </c>
      <c r="D185" s="23"/>
      <c r="E185" s="23" t="s">
        <v>798</v>
      </c>
      <c r="F185" s="29">
        <v>8</v>
      </c>
      <c r="G185" s="29">
        <v>80</v>
      </c>
      <c r="H185" s="29">
        <v>1</v>
      </c>
      <c r="I185" s="22" t="s">
        <v>799</v>
      </c>
      <c r="J185" s="22" t="s">
        <v>256</v>
      </c>
      <c r="K185" s="34"/>
    </row>
    <row r="186" spans="1:11" x14ac:dyDescent="0.3">
      <c r="A186" s="22" t="s">
        <v>174</v>
      </c>
      <c r="B186" s="22" t="s">
        <v>753</v>
      </c>
      <c r="C186" s="22" t="s">
        <v>217</v>
      </c>
      <c r="D186" s="23"/>
      <c r="E186" s="23" t="s">
        <v>800</v>
      </c>
      <c r="F186" s="29">
        <v>8</v>
      </c>
      <c r="G186" s="29">
        <v>80</v>
      </c>
      <c r="H186" s="29">
        <v>1</v>
      </c>
      <c r="I186" s="22" t="s">
        <v>801</v>
      </c>
      <c r="J186" s="22" t="s">
        <v>256</v>
      </c>
      <c r="K186" s="34"/>
    </row>
    <row r="187" spans="1:11" x14ac:dyDescent="0.3">
      <c r="A187" s="22" t="s">
        <v>174</v>
      </c>
      <c r="B187" s="22" t="s">
        <v>942</v>
      </c>
      <c r="C187" s="22" t="s">
        <v>87</v>
      </c>
      <c r="D187" s="23"/>
      <c r="E187" s="22" t="s">
        <v>972</v>
      </c>
      <c r="F187" s="29">
        <v>8</v>
      </c>
      <c r="G187" s="29">
        <v>80</v>
      </c>
      <c r="H187" s="29">
        <v>1</v>
      </c>
      <c r="I187" s="22" t="s">
        <v>973</v>
      </c>
      <c r="J187" s="22" t="s">
        <v>253</v>
      </c>
      <c r="K187" s="34"/>
    </row>
    <row r="188" spans="1:11" x14ac:dyDescent="0.3">
      <c r="A188" s="22" t="s">
        <v>174</v>
      </c>
      <c r="B188" s="22" t="s">
        <v>942</v>
      </c>
      <c r="C188" s="22" t="s">
        <v>93</v>
      </c>
      <c r="D188" s="23"/>
      <c r="E188" s="22" t="s">
        <v>974</v>
      </c>
      <c r="F188" s="29">
        <v>8</v>
      </c>
      <c r="G188" s="29">
        <v>80</v>
      </c>
      <c r="H188" s="29">
        <v>1</v>
      </c>
      <c r="I188" s="22" t="s">
        <v>975</v>
      </c>
      <c r="J188" s="22" t="s">
        <v>259</v>
      </c>
      <c r="K188" s="34"/>
    </row>
    <row r="189" spans="1:11" x14ac:dyDescent="0.3">
      <c r="A189" s="22" t="s">
        <v>174</v>
      </c>
      <c r="B189" s="22" t="s">
        <v>942</v>
      </c>
      <c r="C189" s="22" t="s">
        <v>90</v>
      </c>
      <c r="D189" s="23"/>
      <c r="E189" s="22" t="s">
        <v>976</v>
      </c>
      <c r="F189" s="29">
        <v>8</v>
      </c>
      <c r="G189" s="29">
        <v>80</v>
      </c>
      <c r="H189" s="29">
        <v>1</v>
      </c>
      <c r="I189" s="22" t="s">
        <v>977</v>
      </c>
      <c r="J189" s="22" t="s">
        <v>978</v>
      </c>
      <c r="K189" s="34"/>
    </row>
    <row r="190" spans="1:11" x14ac:dyDescent="0.3">
      <c r="A190" s="22" t="s">
        <v>174</v>
      </c>
      <c r="B190" s="22" t="s">
        <v>1151</v>
      </c>
      <c r="C190" s="22" t="s">
        <v>87</v>
      </c>
      <c r="D190" s="23"/>
      <c r="E190" s="22" t="s">
        <v>1203</v>
      </c>
      <c r="F190" s="29">
        <v>8</v>
      </c>
      <c r="G190" s="29">
        <v>80</v>
      </c>
      <c r="H190" s="29">
        <v>1</v>
      </c>
      <c r="I190" s="22" t="s">
        <v>1204</v>
      </c>
      <c r="J190" s="22" t="s">
        <v>253</v>
      </c>
      <c r="K190" s="34"/>
    </row>
    <row r="191" spans="1:11" x14ac:dyDescent="0.3">
      <c r="A191" s="22" t="s">
        <v>174</v>
      </c>
      <c r="B191" s="22" t="s">
        <v>1151</v>
      </c>
      <c r="C191" s="22" t="s">
        <v>93</v>
      </c>
      <c r="D191" s="23"/>
      <c r="E191" s="22" t="s">
        <v>1205</v>
      </c>
      <c r="F191" s="29">
        <v>8</v>
      </c>
      <c r="G191" s="29">
        <v>80</v>
      </c>
      <c r="H191" s="29">
        <v>1</v>
      </c>
      <c r="I191" s="22" t="s">
        <v>1206</v>
      </c>
      <c r="J191" s="22" t="s">
        <v>259</v>
      </c>
      <c r="K191" s="34"/>
    </row>
    <row r="192" spans="1:11" x14ac:dyDescent="0.3">
      <c r="A192" s="22" t="s">
        <v>174</v>
      </c>
      <c r="B192" s="22" t="s">
        <v>1151</v>
      </c>
      <c r="C192" s="22" t="s">
        <v>90</v>
      </c>
      <c r="D192" s="23"/>
      <c r="E192" s="22" t="s">
        <v>1207</v>
      </c>
      <c r="F192" s="29">
        <v>8</v>
      </c>
      <c r="G192" s="29">
        <v>80</v>
      </c>
      <c r="H192" s="29">
        <v>1</v>
      </c>
      <c r="I192" s="22" t="s">
        <v>1208</v>
      </c>
      <c r="J192" s="22" t="s">
        <v>978</v>
      </c>
      <c r="K192" s="34"/>
    </row>
    <row r="193" spans="1:11" x14ac:dyDescent="0.3">
      <c r="A193" s="22" t="s">
        <v>174</v>
      </c>
      <c r="B193" s="22" t="s">
        <v>1332</v>
      </c>
      <c r="C193" s="22" t="s">
        <v>87</v>
      </c>
      <c r="D193" s="23"/>
      <c r="E193" s="22" t="s">
        <v>1393</v>
      </c>
      <c r="F193" s="29">
        <v>8</v>
      </c>
      <c r="G193" s="29">
        <v>80</v>
      </c>
      <c r="H193" s="29">
        <v>1</v>
      </c>
      <c r="I193" s="22" t="s">
        <v>1394</v>
      </c>
      <c r="J193" s="22" t="s">
        <v>253</v>
      </c>
      <c r="K193" s="34"/>
    </row>
    <row r="194" spans="1:11" x14ac:dyDescent="0.3">
      <c r="A194" s="22" t="s">
        <v>174</v>
      </c>
      <c r="B194" s="22" t="s">
        <v>1332</v>
      </c>
      <c r="C194" s="22" t="s">
        <v>93</v>
      </c>
      <c r="D194" s="23"/>
      <c r="E194" s="22" t="s">
        <v>1395</v>
      </c>
      <c r="F194" s="29">
        <v>8</v>
      </c>
      <c r="G194" s="29">
        <v>80</v>
      </c>
      <c r="H194" s="29">
        <v>1</v>
      </c>
      <c r="I194" s="22" t="s">
        <v>1396</v>
      </c>
      <c r="J194" s="22" t="s">
        <v>259</v>
      </c>
      <c r="K194" s="34"/>
    </row>
    <row r="195" spans="1:11" x14ac:dyDescent="0.3">
      <c r="A195" s="22" t="s">
        <v>174</v>
      </c>
      <c r="B195" s="22" t="s">
        <v>1332</v>
      </c>
      <c r="C195" s="22" t="s">
        <v>90</v>
      </c>
      <c r="D195" s="23"/>
      <c r="E195" s="22" t="s">
        <v>1397</v>
      </c>
      <c r="F195" s="29">
        <v>8</v>
      </c>
      <c r="G195" s="29">
        <v>80</v>
      </c>
      <c r="H195" s="29">
        <v>1</v>
      </c>
      <c r="I195" s="22" t="s">
        <v>1398</v>
      </c>
      <c r="J195" s="22" t="s">
        <v>978</v>
      </c>
      <c r="K195" s="34"/>
    </row>
    <row r="196" spans="1:11" x14ac:dyDescent="0.3">
      <c r="A196" s="22" t="s">
        <v>174</v>
      </c>
      <c r="B196" s="22" t="s">
        <v>1498</v>
      </c>
      <c r="C196" s="22" t="s">
        <v>176</v>
      </c>
      <c r="D196" s="23"/>
      <c r="E196" s="22" t="s">
        <v>1511</v>
      </c>
      <c r="F196" s="29">
        <v>8</v>
      </c>
      <c r="G196" s="29">
        <v>80</v>
      </c>
      <c r="H196" s="29">
        <v>1</v>
      </c>
      <c r="I196" s="22" t="s">
        <v>1512</v>
      </c>
      <c r="J196" s="22" t="s">
        <v>1513</v>
      </c>
      <c r="K196" s="34"/>
    </row>
    <row r="197" spans="1:11" x14ac:dyDescent="0.3">
      <c r="A197" s="22" t="s">
        <v>174</v>
      </c>
      <c r="B197" s="22" t="s">
        <v>1617</v>
      </c>
      <c r="C197" s="22" t="s">
        <v>87</v>
      </c>
      <c r="D197" s="23"/>
      <c r="E197" s="22" t="s">
        <v>1642</v>
      </c>
      <c r="F197" s="29">
        <v>8</v>
      </c>
      <c r="G197" s="29">
        <v>80</v>
      </c>
      <c r="H197" s="29">
        <v>1</v>
      </c>
      <c r="I197" s="22" t="s">
        <v>1643</v>
      </c>
      <c r="J197" s="22" t="s">
        <v>256</v>
      </c>
      <c r="K197" s="34"/>
    </row>
    <row r="198" spans="1:11" x14ac:dyDescent="0.3">
      <c r="A198" s="22" t="s">
        <v>174</v>
      </c>
      <c r="B198" s="22" t="s">
        <v>1617</v>
      </c>
      <c r="C198" s="22" t="s">
        <v>93</v>
      </c>
      <c r="D198" s="23"/>
      <c r="E198" s="22" t="s">
        <v>1644</v>
      </c>
      <c r="F198" s="29">
        <v>8</v>
      </c>
      <c r="G198" s="29">
        <v>80</v>
      </c>
      <c r="H198" s="29">
        <v>1</v>
      </c>
      <c r="I198" s="22" t="s">
        <v>1645</v>
      </c>
      <c r="J198" s="22" t="s">
        <v>256</v>
      </c>
      <c r="K198" s="34"/>
    </row>
    <row r="199" spans="1:11" x14ac:dyDescent="0.3">
      <c r="A199" s="22" t="s">
        <v>174</v>
      </c>
      <c r="B199" s="22" t="s">
        <v>1617</v>
      </c>
      <c r="C199" s="64" t="s">
        <v>90</v>
      </c>
      <c r="D199" s="23"/>
      <c r="E199" s="22" t="s">
        <v>1646</v>
      </c>
      <c r="F199" s="29">
        <v>8</v>
      </c>
      <c r="G199" s="29">
        <v>80</v>
      </c>
      <c r="H199" s="29">
        <v>1</v>
      </c>
      <c r="I199" s="22" t="s">
        <v>1647</v>
      </c>
      <c r="J199" s="22" t="s">
        <v>256</v>
      </c>
      <c r="K199" s="34"/>
    </row>
    <row r="200" spans="1:11" x14ac:dyDescent="0.3">
      <c r="A200" s="22" t="s">
        <v>174</v>
      </c>
      <c r="B200" s="22" t="s">
        <v>1762</v>
      </c>
      <c r="C200" s="22" t="s">
        <v>87</v>
      </c>
      <c r="D200" s="23"/>
      <c r="E200" s="22" t="s">
        <v>1785</v>
      </c>
      <c r="F200" s="29">
        <v>8</v>
      </c>
      <c r="G200" s="29">
        <v>80</v>
      </c>
      <c r="H200" s="29">
        <v>1</v>
      </c>
      <c r="I200" s="22" t="s">
        <v>1786</v>
      </c>
      <c r="J200" s="22" t="s">
        <v>1787</v>
      </c>
      <c r="K200" s="34"/>
    </row>
    <row r="201" spans="1:11" x14ac:dyDescent="0.3">
      <c r="A201" s="22" t="s">
        <v>174</v>
      </c>
      <c r="B201" s="22" t="s">
        <v>1762</v>
      </c>
      <c r="C201" s="22" t="s">
        <v>93</v>
      </c>
      <c r="D201" s="23"/>
      <c r="E201" s="22" t="s">
        <v>1788</v>
      </c>
      <c r="F201" s="29">
        <v>8</v>
      </c>
      <c r="G201" s="29">
        <v>80</v>
      </c>
      <c r="H201" s="29">
        <v>1</v>
      </c>
      <c r="I201" s="22" t="s">
        <v>1645</v>
      </c>
      <c r="J201" s="22" t="s">
        <v>1787</v>
      </c>
      <c r="K201" s="34"/>
    </row>
    <row r="202" spans="1:11" x14ac:dyDescent="0.3">
      <c r="A202" s="22" t="s">
        <v>174</v>
      </c>
      <c r="B202" s="22" t="s">
        <v>1762</v>
      </c>
      <c r="C202" s="22" t="s">
        <v>90</v>
      </c>
      <c r="D202" s="23"/>
      <c r="E202" s="22" t="s">
        <v>1789</v>
      </c>
      <c r="F202" s="29">
        <v>8</v>
      </c>
      <c r="G202" s="29">
        <v>80</v>
      </c>
      <c r="H202" s="29">
        <v>1</v>
      </c>
      <c r="I202" s="22" t="s">
        <v>1790</v>
      </c>
      <c r="J202" s="22" t="s">
        <v>1787</v>
      </c>
      <c r="K202" s="34"/>
    </row>
    <row r="203" spans="1:11" x14ac:dyDescent="0.3">
      <c r="A203" s="29" t="s">
        <v>174</v>
      </c>
      <c r="B203" s="29" t="s">
        <v>175</v>
      </c>
      <c r="C203" s="29" t="s">
        <v>213</v>
      </c>
      <c r="D203" s="29"/>
      <c r="E203" s="29" t="s">
        <v>260</v>
      </c>
      <c r="F203" s="29">
        <v>9</v>
      </c>
      <c r="G203" s="29">
        <v>90</v>
      </c>
      <c r="H203" s="29">
        <v>2</v>
      </c>
      <c r="I203" s="22" t="s">
        <v>261</v>
      </c>
      <c r="J203" s="22" t="s">
        <v>262</v>
      </c>
      <c r="K203" s="34"/>
    </row>
    <row r="204" spans="1:11" x14ac:dyDescent="0.3">
      <c r="A204" s="29" t="s">
        <v>174</v>
      </c>
      <c r="B204" s="29" t="s">
        <v>175</v>
      </c>
      <c r="C204" s="29" t="s">
        <v>217</v>
      </c>
      <c r="D204" s="29"/>
      <c r="E204" s="29" t="s">
        <v>263</v>
      </c>
      <c r="F204" s="29">
        <v>9</v>
      </c>
      <c r="G204" s="29">
        <v>90</v>
      </c>
      <c r="H204" s="29">
        <v>2</v>
      </c>
      <c r="I204" s="22" t="s">
        <v>264</v>
      </c>
      <c r="J204" s="22" t="s">
        <v>265</v>
      </c>
      <c r="K204" s="34"/>
    </row>
    <row r="205" spans="1:11" x14ac:dyDescent="0.3">
      <c r="A205" s="29" t="s">
        <v>174</v>
      </c>
      <c r="B205" s="29" t="s">
        <v>175</v>
      </c>
      <c r="C205" s="29" t="s">
        <v>221</v>
      </c>
      <c r="D205" s="29"/>
      <c r="E205" s="29" t="s">
        <v>266</v>
      </c>
      <c r="F205" s="29">
        <v>9</v>
      </c>
      <c r="G205" s="29">
        <v>90</v>
      </c>
      <c r="H205" s="29">
        <v>2</v>
      </c>
      <c r="I205" s="22" t="s">
        <v>267</v>
      </c>
      <c r="J205" s="22" t="s">
        <v>268</v>
      </c>
      <c r="K205" s="34"/>
    </row>
    <row r="206" spans="1:11" x14ac:dyDescent="0.3">
      <c r="A206" s="64" t="s">
        <v>174</v>
      </c>
      <c r="B206" s="64" t="s">
        <v>530</v>
      </c>
      <c r="C206" s="64" t="s">
        <v>87</v>
      </c>
      <c r="D206" s="64" t="s">
        <v>531</v>
      </c>
      <c r="E206" s="64" t="s">
        <v>576</v>
      </c>
      <c r="F206" s="29">
        <v>9</v>
      </c>
      <c r="G206" s="29">
        <v>90</v>
      </c>
      <c r="H206" s="29">
        <v>2</v>
      </c>
      <c r="I206" s="22" t="s">
        <v>577</v>
      </c>
      <c r="J206" s="22" t="s">
        <v>578</v>
      </c>
      <c r="K206" s="34"/>
    </row>
    <row r="207" spans="1:11" x14ac:dyDescent="0.3">
      <c r="A207" s="64" t="s">
        <v>174</v>
      </c>
      <c r="B207" s="64" t="s">
        <v>530</v>
      </c>
      <c r="C207" s="64" t="s">
        <v>93</v>
      </c>
      <c r="D207" s="64" t="s">
        <v>531</v>
      </c>
      <c r="E207" s="64" t="s">
        <v>579</v>
      </c>
      <c r="F207" s="29">
        <v>9</v>
      </c>
      <c r="G207" s="29">
        <v>90</v>
      </c>
      <c r="H207" s="29">
        <v>2</v>
      </c>
      <c r="I207" s="22" t="s">
        <v>580</v>
      </c>
      <c r="J207" s="22" t="s">
        <v>578</v>
      </c>
      <c r="K207" s="34"/>
    </row>
    <row r="208" spans="1:11" x14ac:dyDescent="0.3">
      <c r="A208" s="64" t="s">
        <v>174</v>
      </c>
      <c r="B208" s="64" t="s">
        <v>530</v>
      </c>
      <c r="C208" s="64" t="s">
        <v>90</v>
      </c>
      <c r="D208" s="64" t="s">
        <v>531</v>
      </c>
      <c r="E208" s="64" t="s">
        <v>581</v>
      </c>
      <c r="F208" s="29">
        <v>9</v>
      </c>
      <c r="G208" s="29">
        <v>90</v>
      </c>
      <c r="H208" s="29">
        <v>2</v>
      </c>
      <c r="I208" s="22" t="s">
        <v>582</v>
      </c>
      <c r="J208" s="22" t="s">
        <v>578</v>
      </c>
      <c r="K208" s="34"/>
    </row>
    <row r="209" spans="1:11" x14ac:dyDescent="0.3">
      <c r="A209" s="22" t="s">
        <v>174</v>
      </c>
      <c r="B209" s="22" t="s">
        <v>753</v>
      </c>
      <c r="C209" s="22" t="s">
        <v>213</v>
      </c>
      <c r="D209" s="23"/>
      <c r="E209" s="23" t="s">
        <v>802</v>
      </c>
      <c r="F209" s="29">
        <v>9</v>
      </c>
      <c r="G209" s="29">
        <v>90</v>
      </c>
      <c r="H209" s="29">
        <v>2</v>
      </c>
      <c r="I209" s="22" t="s">
        <v>803</v>
      </c>
      <c r="J209" s="22" t="s">
        <v>265</v>
      </c>
      <c r="K209" s="34"/>
    </row>
    <row r="210" spans="1:11" x14ac:dyDescent="0.3">
      <c r="A210" s="22" t="s">
        <v>174</v>
      </c>
      <c r="B210" s="22" t="s">
        <v>753</v>
      </c>
      <c r="C210" s="22" t="s">
        <v>221</v>
      </c>
      <c r="D210" s="23"/>
      <c r="E210" s="23" t="s">
        <v>804</v>
      </c>
      <c r="F210" s="29">
        <v>9</v>
      </c>
      <c r="G210" s="29">
        <v>90</v>
      </c>
      <c r="H210" s="29">
        <v>2</v>
      </c>
      <c r="I210" s="22" t="s">
        <v>805</v>
      </c>
      <c r="J210" s="22" t="s">
        <v>265</v>
      </c>
      <c r="K210" s="34"/>
    </row>
    <row r="211" spans="1:11" x14ac:dyDescent="0.3">
      <c r="A211" s="22" t="s">
        <v>174</v>
      </c>
      <c r="B211" s="22" t="s">
        <v>753</v>
      </c>
      <c r="C211" s="22" t="s">
        <v>217</v>
      </c>
      <c r="D211" s="23"/>
      <c r="E211" s="23" t="s">
        <v>806</v>
      </c>
      <c r="F211" s="29">
        <v>9</v>
      </c>
      <c r="G211" s="29">
        <v>90</v>
      </c>
      <c r="H211" s="29">
        <v>2</v>
      </c>
      <c r="I211" s="22" t="s">
        <v>807</v>
      </c>
      <c r="J211" s="22" t="s">
        <v>265</v>
      </c>
      <c r="K211" s="34"/>
    </row>
    <row r="212" spans="1:11" x14ac:dyDescent="0.3">
      <c r="A212" s="22" t="s">
        <v>174</v>
      </c>
      <c r="B212" s="22" t="s">
        <v>942</v>
      </c>
      <c r="C212" s="22" t="s">
        <v>87</v>
      </c>
      <c r="D212" s="23"/>
      <c r="E212" s="22" t="s">
        <v>979</v>
      </c>
      <c r="F212" s="29">
        <v>9</v>
      </c>
      <c r="G212" s="29">
        <v>90</v>
      </c>
      <c r="H212" s="29">
        <v>2</v>
      </c>
      <c r="I212" s="22" t="s">
        <v>980</v>
      </c>
      <c r="J212" s="22" t="s">
        <v>262</v>
      </c>
      <c r="K212" s="34"/>
    </row>
    <row r="213" spans="1:11" x14ac:dyDescent="0.3">
      <c r="A213" s="22" t="s">
        <v>174</v>
      </c>
      <c r="B213" s="22" t="s">
        <v>942</v>
      </c>
      <c r="C213" s="22" t="s">
        <v>93</v>
      </c>
      <c r="D213" s="23"/>
      <c r="E213" s="22" t="s">
        <v>981</v>
      </c>
      <c r="F213" s="29">
        <v>9</v>
      </c>
      <c r="G213" s="29">
        <v>90</v>
      </c>
      <c r="H213" s="29">
        <v>2</v>
      </c>
      <c r="I213" s="22" t="s">
        <v>982</v>
      </c>
      <c r="J213" s="22" t="s">
        <v>268</v>
      </c>
      <c r="K213" s="34"/>
    </row>
    <row r="214" spans="1:11" x14ac:dyDescent="0.3">
      <c r="A214" s="22" t="s">
        <v>174</v>
      </c>
      <c r="B214" s="22" t="s">
        <v>942</v>
      </c>
      <c r="C214" s="22" t="s">
        <v>90</v>
      </c>
      <c r="D214" s="23"/>
      <c r="E214" s="22" t="s">
        <v>983</v>
      </c>
      <c r="F214" s="29">
        <v>9</v>
      </c>
      <c r="G214" s="29">
        <v>90</v>
      </c>
      <c r="H214" s="29">
        <v>2</v>
      </c>
      <c r="I214" s="22" t="s">
        <v>984</v>
      </c>
      <c r="J214" s="22" t="s">
        <v>985</v>
      </c>
      <c r="K214" s="34"/>
    </row>
    <row r="215" spans="1:11" x14ac:dyDescent="0.3">
      <c r="A215" s="22" t="s">
        <v>174</v>
      </c>
      <c r="B215" s="22" t="s">
        <v>1151</v>
      </c>
      <c r="C215" s="22" t="s">
        <v>87</v>
      </c>
      <c r="D215" s="23"/>
      <c r="E215" s="22" t="s">
        <v>1209</v>
      </c>
      <c r="F215" s="29">
        <v>9</v>
      </c>
      <c r="G215" s="29">
        <v>90</v>
      </c>
      <c r="H215" s="29">
        <v>2</v>
      </c>
      <c r="I215" s="22" t="s">
        <v>1210</v>
      </c>
      <c r="J215" s="22" t="s">
        <v>262</v>
      </c>
      <c r="K215" s="34"/>
    </row>
    <row r="216" spans="1:11" x14ac:dyDescent="0.3">
      <c r="A216" s="22" t="s">
        <v>174</v>
      </c>
      <c r="B216" s="22" t="s">
        <v>1151</v>
      </c>
      <c r="C216" s="22" t="s">
        <v>93</v>
      </c>
      <c r="D216" s="23"/>
      <c r="E216" s="22" t="s">
        <v>1211</v>
      </c>
      <c r="F216" s="29">
        <v>9</v>
      </c>
      <c r="G216" s="29">
        <v>90</v>
      </c>
      <c r="H216" s="29">
        <v>2</v>
      </c>
      <c r="I216" s="22" t="s">
        <v>1212</v>
      </c>
      <c r="J216" s="22" t="s">
        <v>268</v>
      </c>
      <c r="K216" s="34"/>
    </row>
    <row r="217" spans="1:11" x14ac:dyDescent="0.3">
      <c r="A217" s="22" t="s">
        <v>174</v>
      </c>
      <c r="B217" s="22" t="s">
        <v>1151</v>
      </c>
      <c r="C217" s="22" t="s">
        <v>90</v>
      </c>
      <c r="D217" s="23"/>
      <c r="E217" s="22" t="s">
        <v>1213</v>
      </c>
      <c r="F217" s="29">
        <v>9</v>
      </c>
      <c r="G217" s="29">
        <v>90</v>
      </c>
      <c r="H217" s="29">
        <v>2</v>
      </c>
      <c r="I217" s="22" t="s">
        <v>1214</v>
      </c>
      <c r="J217" s="22" t="s">
        <v>985</v>
      </c>
      <c r="K217" s="34"/>
    </row>
    <row r="218" spans="1:11" x14ac:dyDescent="0.3">
      <c r="A218" s="22" t="s">
        <v>174</v>
      </c>
      <c r="B218" s="22" t="s">
        <v>1332</v>
      </c>
      <c r="C218" s="22" t="s">
        <v>87</v>
      </c>
      <c r="D218" s="23"/>
      <c r="E218" s="22" t="s">
        <v>1399</v>
      </c>
      <c r="F218" s="29">
        <v>9</v>
      </c>
      <c r="G218" s="29">
        <v>90</v>
      </c>
      <c r="H218" s="29">
        <v>2</v>
      </c>
      <c r="I218" s="22" t="s">
        <v>1400</v>
      </c>
      <c r="J218" s="22" t="s">
        <v>262</v>
      </c>
      <c r="K218" s="34"/>
    </row>
    <row r="219" spans="1:11" x14ac:dyDescent="0.3">
      <c r="A219" s="22" t="s">
        <v>174</v>
      </c>
      <c r="B219" s="22" t="s">
        <v>1332</v>
      </c>
      <c r="C219" s="22" t="s">
        <v>93</v>
      </c>
      <c r="D219" s="23"/>
      <c r="E219" s="22" t="s">
        <v>1401</v>
      </c>
      <c r="F219" s="29">
        <v>9</v>
      </c>
      <c r="G219" s="29">
        <v>90</v>
      </c>
      <c r="H219" s="29">
        <v>2</v>
      </c>
      <c r="I219" s="22" t="s">
        <v>1402</v>
      </c>
      <c r="J219" s="22" t="s">
        <v>268</v>
      </c>
      <c r="K219" s="34"/>
    </row>
    <row r="220" spans="1:11" x14ac:dyDescent="0.3">
      <c r="A220" s="22" t="s">
        <v>174</v>
      </c>
      <c r="B220" s="22" t="s">
        <v>1332</v>
      </c>
      <c r="C220" s="22" t="s">
        <v>90</v>
      </c>
      <c r="D220" s="23"/>
      <c r="E220" s="22" t="s">
        <v>1403</v>
      </c>
      <c r="F220" s="29">
        <v>9</v>
      </c>
      <c r="G220" s="29">
        <v>90</v>
      </c>
      <c r="H220" s="29">
        <v>2</v>
      </c>
      <c r="I220" s="22" t="s">
        <v>1404</v>
      </c>
      <c r="J220" s="22" t="s">
        <v>985</v>
      </c>
      <c r="K220" s="34"/>
    </row>
    <row r="221" spans="1:11" x14ac:dyDescent="0.3">
      <c r="A221" s="22" t="s">
        <v>174</v>
      </c>
      <c r="B221" s="22" t="s">
        <v>1498</v>
      </c>
      <c r="C221" s="22" t="s">
        <v>176</v>
      </c>
      <c r="D221" s="23"/>
      <c r="E221" s="22" t="s">
        <v>1514</v>
      </c>
      <c r="F221" s="29">
        <v>9</v>
      </c>
      <c r="G221" s="29">
        <v>90</v>
      </c>
      <c r="H221" s="29">
        <v>2</v>
      </c>
      <c r="I221" s="22" t="s">
        <v>1515</v>
      </c>
      <c r="J221" s="22" t="s">
        <v>557</v>
      </c>
      <c r="K221" s="34"/>
    </row>
    <row r="222" spans="1:11" x14ac:dyDescent="0.3">
      <c r="A222" s="22" t="s">
        <v>174</v>
      </c>
      <c r="B222" s="22" t="s">
        <v>1617</v>
      </c>
      <c r="C222" s="22" t="s">
        <v>87</v>
      </c>
      <c r="D222" s="23"/>
      <c r="E222" s="22" t="s">
        <v>1648</v>
      </c>
      <c r="F222" s="29">
        <v>9</v>
      </c>
      <c r="G222" s="29">
        <v>90</v>
      </c>
      <c r="H222" s="29">
        <v>2</v>
      </c>
      <c r="I222" s="22" t="s">
        <v>1649</v>
      </c>
      <c r="J222" s="22" t="s">
        <v>265</v>
      </c>
      <c r="K222" s="34"/>
    </row>
    <row r="223" spans="1:11" x14ac:dyDescent="0.3">
      <c r="A223" s="22" t="s">
        <v>174</v>
      </c>
      <c r="B223" s="22" t="s">
        <v>1617</v>
      </c>
      <c r="C223" s="22" t="s">
        <v>93</v>
      </c>
      <c r="D223" s="23"/>
      <c r="E223" s="22" t="s">
        <v>1650</v>
      </c>
      <c r="F223" s="29">
        <v>9</v>
      </c>
      <c r="G223" s="29">
        <v>90</v>
      </c>
      <c r="H223" s="29">
        <v>2</v>
      </c>
      <c r="I223" s="22" t="s">
        <v>1651</v>
      </c>
      <c r="J223" s="22" t="s">
        <v>265</v>
      </c>
      <c r="K223" s="34"/>
    </row>
    <row r="224" spans="1:11" x14ac:dyDescent="0.3">
      <c r="A224" s="22" t="s">
        <v>174</v>
      </c>
      <c r="B224" s="22" t="s">
        <v>1617</v>
      </c>
      <c r="C224" s="64" t="s">
        <v>90</v>
      </c>
      <c r="D224" s="23"/>
      <c r="E224" s="22" t="s">
        <v>1652</v>
      </c>
      <c r="F224" s="29">
        <v>9</v>
      </c>
      <c r="G224" s="29">
        <v>90</v>
      </c>
      <c r="H224" s="29">
        <v>2</v>
      </c>
      <c r="I224" s="22" t="s">
        <v>1653</v>
      </c>
      <c r="J224" s="22" t="s">
        <v>265</v>
      </c>
      <c r="K224" s="34"/>
    </row>
    <row r="225" spans="1:11" x14ac:dyDescent="0.3">
      <c r="A225" s="22" t="s">
        <v>174</v>
      </c>
      <c r="B225" s="22" t="s">
        <v>1762</v>
      </c>
      <c r="C225" s="22" t="s">
        <v>87</v>
      </c>
      <c r="D225" s="23"/>
      <c r="E225" s="22" t="s">
        <v>1791</v>
      </c>
      <c r="F225" s="29">
        <v>9</v>
      </c>
      <c r="G225" s="29">
        <v>90</v>
      </c>
      <c r="H225" s="29">
        <v>2</v>
      </c>
      <c r="I225" s="22" t="s">
        <v>1792</v>
      </c>
      <c r="J225" s="22" t="s">
        <v>1793</v>
      </c>
      <c r="K225" s="34"/>
    </row>
    <row r="226" spans="1:11" x14ac:dyDescent="0.3">
      <c r="A226" s="22" t="s">
        <v>174</v>
      </c>
      <c r="B226" s="22" t="s">
        <v>1762</v>
      </c>
      <c r="C226" s="22" t="s">
        <v>93</v>
      </c>
      <c r="D226" s="23"/>
      <c r="E226" s="22" t="s">
        <v>1794</v>
      </c>
      <c r="F226" s="29">
        <v>9</v>
      </c>
      <c r="G226" s="29">
        <v>90</v>
      </c>
      <c r="H226" s="29">
        <v>2</v>
      </c>
      <c r="I226" s="22" t="s">
        <v>1795</v>
      </c>
      <c r="J226" s="22" t="s">
        <v>1793</v>
      </c>
      <c r="K226" s="34"/>
    </row>
    <row r="227" spans="1:11" x14ac:dyDescent="0.3">
      <c r="A227" s="22" t="s">
        <v>174</v>
      </c>
      <c r="B227" s="22" t="s">
        <v>1762</v>
      </c>
      <c r="C227" s="22" t="s">
        <v>90</v>
      </c>
      <c r="D227" s="23"/>
      <c r="E227" s="22" t="s">
        <v>1796</v>
      </c>
      <c r="F227" s="29">
        <v>9</v>
      </c>
      <c r="G227" s="29">
        <v>90</v>
      </c>
      <c r="H227" s="29">
        <v>2</v>
      </c>
      <c r="I227" s="22" t="s">
        <v>1797</v>
      </c>
      <c r="J227" s="22" t="s">
        <v>1793</v>
      </c>
      <c r="K227" s="34"/>
    </row>
    <row r="228" spans="1:11" x14ac:dyDescent="0.3">
      <c r="A228" s="29" t="s">
        <v>174</v>
      </c>
      <c r="B228" s="29" t="s">
        <v>175</v>
      </c>
      <c r="C228" s="29" t="s">
        <v>213</v>
      </c>
      <c r="D228" s="29"/>
      <c r="E228" s="29" t="s">
        <v>269</v>
      </c>
      <c r="F228" s="29">
        <v>10</v>
      </c>
      <c r="G228" s="29">
        <v>100</v>
      </c>
      <c r="H228" s="29">
        <v>3</v>
      </c>
      <c r="I228" s="22" t="s">
        <v>270</v>
      </c>
      <c r="J228" s="22" t="s">
        <v>271</v>
      </c>
      <c r="K228" s="34"/>
    </row>
    <row r="229" spans="1:11" x14ac:dyDescent="0.3">
      <c r="A229" s="29" t="s">
        <v>174</v>
      </c>
      <c r="B229" s="29" t="s">
        <v>175</v>
      </c>
      <c r="C229" s="29" t="s">
        <v>217</v>
      </c>
      <c r="D229" s="29"/>
      <c r="E229" s="29" t="s">
        <v>272</v>
      </c>
      <c r="F229" s="29">
        <v>10</v>
      </c>
      <c r="G229" s="29">
        <v>100</v>
      </c>
      <c r="H229" s="29">
        <v>3</v>
      </c>
      <c r="I229" s="22" t="s">
        <v>273</v>
      </c>
      <c r="J229" s="22" t="s">
        <v>274</v>
      </c>
      <c r="K229" s="34"/>
    </row>
    <row r="230" spans="1:11" x14ac:dyDescent="0.3">
      <c r="A230" s="29" t="s">
        <v>174</v>
      </c>
      <c r="B230" s="29" t="s">
        <v>175</v>
      </c>
      <c r="C230" s="29" t="s">
        <v>221</v>
      </c>
      <c r="D230" s="29"/>
      <c r="E230" s="29" t="s">
        <v>275</v>
      </c>
      <c r="F230" s="29">
        <v>10</v>
      </c>
      <c r="G230" s="29">
        <v>100</v>
      </c>
      <c r="H230" s="29">
        <v>3</v>
      </c>
      <c r="I230" s="22" t="s">
        <v>276</v>
      </c>
      <c r="J230" s="22" t="s">
        <v>277</v>
      </c>
      <c r="K230" s="34"/>
    </row>
    <row r="231" spans="1:11" x14ac:dyDescent="0.3">
      <c r="A231" s="64" t="s">
        <v>174</v>
      </c>
      <c r="B231" s="64" t="s">
        <v>530</v>
      </c>
      <c r="C231" s="64" t="s">
        <v>87</v>
      </c>
      <c r="D231" s="64" t="s">
        <v>531</v>
      </c>
      <c r="E231" s="64" t="s">
        <v>583</v>
      </c>
      <c r="F231" s="29">
        <v>10</v>
      </c>
      <c r="G231" s="29">
        <v>100</v>
      </c>
      <c r="H231" s="29">
        <v>3</v>
      </c>
      <c r="I231" s="22" t="s">
        <v>584</v>
      </c>
      <c r="J231" s="22" t="s">
        <v>585</v>
      </c>
      <c r="K231" s="34"/>
    </row>
    <row r="232" spans="1:11" x14ac:dyDescent="0.3">
      <c r="A232" s="64" t="s">
        <v>174</v>
      </c>
      <c r="B232" s="64" t="s">
        <v>530</v>
      </c>
      <c r="C232" s="64" t="s">
        <v>93</v>
      </c>
      <c r="D232" s="64" t="s">
        <v>531</v>
      </c>
      <c r="E232" s="64" t="s">
        <v>586</v>
      </c>
      <c r="F232" s="29">
        <v>10</v>
      </c>
      <c r="G232" s="29">
        <v>100</v>
      </c>
      <c r="H232" s="29">
        <v>3</v>
      </c>
      <c r="I232" s="22" t="s">
        <v>587</v>
      </c>
      <c r="J232" s="22" t="s">
        <v>585</v>
      </c>
      <c r="K232" s="34"/>
    </row>
    <row r="233" spans="1:11" x14ac:dyDescent="0.3">
      <c r="A233" s="64" t="s">
        <v>174</v>
      </c>
      <c r="B233" s="64" t="s">
        <v>530</v>
      </c>
      <c r="C233" s="64" t="s">
        <v>90</v>
      </c>
      <c r="D233" s="64" t="s">
        <v>531</v>
      </c>
      <c r="E233" s="64" t="s">
        <v>588</v>
      </c>
      <c r="F233" s="29">
        <v>10</v>
      </c>
      <c r="G233" s="29">
        <v>100</v>
      </c>
      <c r="H233" s="29">
        <v>3</v>
      </c>
      <c r="I233" s="22" t="s">
        <v>589</v>
      </c>
      <c r="J233" s="22" t="s">
        <v>585</v>
      </c>
      <c r="K233" s="34"/>
    </row>
    <row r="234" spans="1:11" x14ac:dyDescent="0.3">
      <c r="A234" s="22" t="s">
        <v>174</v>
      </c>
      <c r="B234" s="22" t="s">
        <v>753</v>
      </c>
      <c r="C234" s="22" t="s">
        <v>213</v>
      </c>
      <c r="D234" s="23"/>
      <c r="E234" s="23" t="s">
        <v>808</v>
      </c>
      <c r="F234" s="29">
        <v>10</v>
      </c>
      <c r="G234" s="29">
        <v>100</v>
      </c>
      <c r="H234" s="29">
        <v>3</v>
      </c>
      <c r="I234" s="22" t="s">
        <v>809</v>
      </c>
      <c r="J234" s="22" t="s">
        <v>274</v>
      </c>
      <c r="K234" s="34"/>
    </row>
    <row r="235" spans="1:11" x14ac:dyDescent="0.3">
      <c r="A235" s="22" t="s">
        <v>174</v>
      </c>
      <c r="B235" s="22" t="s">
        <v>753</v>
      </c>
      <c r="C235" s="22" t="s">
        <v>221</v>
      </c>
      <c r="D235" s="23"/>
      <c r="E235" s="23" t="s">
        <v>810</v>
      </c>
      <c r="F235" s="29">
        <v>10</v>
      </c>
      <c r="G235" s="29">
        <v>100</v>
      </c>
      <c r="H235" s="29">
        <v>3</v>
      </c>
      <c r="I235" s="22" t="s">
        <v>811</v>
      </c>
      <c r="J235" s="22" t="s">
        <v>274</v>
      </c>
      <c r="K235" s="34"/>
    </row>
    <row r="236" spans="1:11" x14ac:dyDescent="0.3">
      <c r="A236" s="22" t="s">
        <v>174</v>
      </c>
      <c r="B236" s="22" t="s">
        <v>753</v>
      </c>
      <c r="C236" s="22" t="s">
        <v>217</v>
      </c>
      <c r="D236" s="23"/>
      <c r="E236" s="23" t="s">
        <v>812</v>
      </c>
      <c r="F236" s="29">
        <v>10</v>
      </c>
      <c r="G236" s="29">
        <v>100</v>
      </c>
      <c r="H236" s="29">
        <v>3</v>
      </c>
      <c r="I236" s="22" t="s">
        <v>813</v>
      </c>
      <c r="J236" s="22" t="s">
        <v>274</v>
      </c>
      <c r="K236" s="34"/>
    </row>
    <row r="237" spans="1:11" x14ac:dyDescent="0.3">
      <c r="A237" s="22" t="s">
        <v>174</v>
      </c>
      <c r="B237" s="22" t="s">
        <v>942</v>
      </c>
      <c r="C237" s="22" t="s">
        <v>87</v>
      </c>
      <c r="D237" s="23"/>
      <c r="E237" s="22" t="s">
        <v>986</v>
      </c>
      <c r="F237" s="29">
        <v>10</v>
      </c>
      <c r="G237" s="29">
        <v>100</v>
      </c>
      <c r="H237" s="29">
        <v>3</v>
      </c>
      <c r="I237" s="22" t="s">
        <v>987</v>
      </c>
      <c r="J237" s="22" t="s">
        <v>271</v>
      </c>
      <c r="K237" s="34"/>
    </row>
    <row r="238" spans="1:11" x14ac:dyDescent="0.3">
      <c r="A238" s="22" t="s">
        <v>174</v>
      </c>
      <c r="B238" s="22" t="s">
        <v>942</v>
      </c>
      <c r="C238" s="22" t="s">
        <v>93</v>
      </c>
      <c r="D238" s="23"/>
      <c r="E238" s="22" t="s">
        <v>988</v>
      </c>
      <c r="F238" s="29">
        <v>10</v>
      </c>
      <c r="G238" s="29">
        <v>100</v>
      </c>
      <c r="H238" s="29">
        <v>3</v>
      </c>
      <c r="I238" s="22" t="s">
        <v>989</v>
      </c>
      <c r="J238" s="22" t="s">
        <v>277</v>
      </c>
      <c r="K238" s="34"/>
    </row>
    <row r="239" spans="1:11" x14ac:dyDescent="0.3">
      <c r="A239" s="22" t="s">
        <v>174</v>
      </c>
      <c r="B239" s="22" t="s">
        <v>942</v>
      </c>
      <c r="C239" s="22" t="s">
        <v>90</v>
      </c>
      <c r="D239" s="23"/>
      <c r="E239" s="22" t="s">
        <v>990</v>
      </c>
      <c r="F239" s="29">
        <v>10</v>
      </c>
      <c r="G239" s="29">
        <v>100</v>
      </c>
      <c r="H239" s="29">
        <v>3</v>
      </c>
      <c r="I239" s="22" t="s">
        <v>991</v>
      </c>
      <c r="J239" s="22" t="s">
        <v>992</v>
      </c>
      <c r="K239" s="34"/>
    </row>
    <row r="240" spans="1:11" x14ac:dyDescent="0.3">
      <c r="A240" s="22" t="s">
        <v>174</v>
      </c>
      <c r="B240" s="22" t="s">
        <v>1151</v>
      </c>
      <c r="C240" s="22" t="s">
        <v>87</v>
      </c>
      <c r="D240" s="23"/>
      <c r="E240" s="22" t="s">
        <v>1215</v>
      </c>
      <c r="F240" s="29">
        <v>10</v>
      </c>
      <c r="G240" s="29">
        <v>100</v>
      </c>
      <c r="H240" s="29">
        <v>3</v>
      </c>
      <c r="I240" s="22" t="s">
        <v>1216</v>
      </c>
      <c r="J240" s="22" t="s">
        <v>271</v>
      </c>
      <c r="K240" s="34"/>
    </row>
    <row r="241" spans="1:11" x14ac:dyDescent="0.3">
      <c r="A241" s="22" t="s">
        <v>174</v>
      </c>
      <c r="B241" s="22" t="s">
        <v>1151</v>
      </c>
      <c r="C241" s="22" t="s">
        <v>93</v>
      </c>
      <c r="D241" s="23"/>
      <c r="E241" s="22" t="s">
        <v>1217</v>
      </c>
      <c r="F241" s="29">
        <v>10</v>
      </c>
      <c r="G241" s="29">
        <v>100</v>
      </c>
      <c r="H241" s="29">
        <v>3</v>
      </c>
      <c r="I241" s="22" t="s">
        <v>1218</v>
      </c>
      <c r="J241" s="22" t="s">
        <v>277</v>
      </c>
      <c r="K241" s="34"/>
    </row>
    <row r="242" spans="1:11" x14ac:dyDescent="0.3">
      <c r="A242" s="22" t="s">
        <v>174</v>
      </c>
      <c r="B242" s="22" t="s">
        <v>1151</v>
      </c>
      <c r="C242" s="22" t="s">
        <v>90</v>
      </c>
      <c r="D242" s="23"/>
      <c r="E242" s="22" t="s">
        <v>1219</v>
      </c>
      <c r="F242" s="29">
        <v>10</v>
      </c>
      <c r="G242" s="29">
        <v>100</v>
      </c>
      <c r="H242" s="29">
        <v>3</v>
      </c>
      <c r="I242" s="22" t="s">
        <v>1220</v>
      </c>
      <c r="J242" s="22" t="s">
        <v>992</v>
      </c>
      <c r="K242" s="34"/>
    </row>
    <row r="243" spans="1:11" x14ac:dyDescent="0.3">
      <c r="A243" s="22" t="s">
        <v>174</v>
      </c>
      <c r="B243" s="22" t="s">
        <v>1332</v>
      </c>
      <c r="C243" s="22" t="s">
        <v>87</v>
      </c>
      <c r="D243" s="23"/>
      <c r="E243" s="22" t="s">
        <v>1405</v>
      </c>
      <c r="F243" s="29">
        <v>10</v>
      </c>
      <c r="G243" s="29">
        <v>100</v>
      </c>
      <c r="H243" s="29">
        <v>3</v>
      </c>
      <c r="I243" s="22" t="s">
        <v>1406</v>
      </c>
      <c r="J243" s="22" t="s">
        <v>271</v>
      </c>
      <c r="K243" s="34"/>
    </row>
    <row r="244" spans="1:11" x14ac:dyDescent="0.3">
      <c r="A244" s="22" t="s">
        <v>174</v>
      </c>
      <c r="B244" s="22" t="s">
        <v>1332</v>
      </c>
      <c r="C244" s="22" t="s">
        <v>93</v>
      </c>
      <c r="D244" s="23"/>
      <c r="E244" s="22" t="s">
        <v>1407</v>
      </c>
      <c r="F244" s="29">
        <v>10</v>
      </c>
      <c r="G244" s="29">
        <v>100</v>
      </c>
      <c r="H244" s="29">
        <v>3</v>
      </c>
      <c r="I244" s="22" t="s">
        <v>1408</v>
      </c>
      <c r="J244" s="22" t="s">
        <v>277</v>
      </c>
      <c r="K244" s="34"/>
    </row>
    <row r="245" spans="1:11" x14ac:dyDescent="0.3">
      <c r="A245" s="22" t="s">
        <v>174</v>
      </c>
      <c r="B245" s="22" t="s">
        <v>1332</v>
      </c>
      <c r="C245" s="22" t="s">
        <v>90</v>
      </c>
      <c r="D245" s="23"/>
      <c r="E245" s="22" t="s">
        <v>1409</v>
      </c>
      <c r="F245" s="29">
        <v>10</v>
      </c>
      <c r="G245" s="29">
        <v>100</v>
      </c>
      <c r="H245" s="29">
        <v>3</v>
      </c>
      <c r="I245" s="22" t="s">
        <v>1410</v>
      </c>
      <c r="J245" s="22" t="s">
        <v>992</v>
      </c>
      <c r="K245" s="34"/>
    </row>
    <row r="246" spans="1:11" x14ac:dyDescent="0.3">
      <c r="A246" s="22" t="s">
        <v>174</v>
      </c>
      <c r="B246" s="22" t="s">
        <v>1498</v>
      </c>
      <c r="C246" s="22" t="s">
        <v>176</v>
      </c>
      <c r="D246" s="23"/>
      <c r="E246" s="22" t="s">
        <v>1516</v>
      </c>
      <c r="F246" s="29">
        <v>10</v>
      </c>
      <c r="G246" s="29">
        <v>100</v>
      </c>
      <c r="H246" s="29">
        <v>3</v>
      </c>
      <c r="I246" s="22" t="s">
        <v>1517</v>
      </c>
      <c r="J246" s="22" t="s">
        <v>1518</v>
      </c>
      <c r="K246" s="34"/>
    </row>
    <row r="247" spans="1:11" x14ac:dyDescent="0.3">
      <c r="A247" s="22" t="s">
        <v>174</v>
      </c>
      <c r="B247" s="22" t="s">
        <v>1617</v>
      </c>
      <c r="C247" s="22" t="s">
        <v>87</v>
      </c>
      <c r="D247" s="23"/>
      <c r="E247" s="22" t="s">
        <v>1654</v>
      </c>
      <c r="F247" s="29">
        <v>10</v>
      </c>
      <c r="G247" s="29">
        <v>100</v>
      </c>
      <c r="H247" s="29">
        <v>3</v>
      </c>
      <c r="I247" s="22" t="s">
        <v>1655</v>
      </c>
      <c r="J247" s="22" t="s">
        <v>274</v>
      </c>
      <c r="K247" s="34"/>
    </row>
    <row r="248" spans="1:11" x14ac:dyDescent="0.3">
      <c r="A248" s="22" t="s">
        <v>174</v>
      </c>
      <c r="B248" s="22" t="s">
        <v>1617</v>
      </c>
      <c r="C248" s="22" t="s">
        <v>93</v>
      </c>
      <c r="D248" s="23"/>
      <c r="E248" s="22" t="s">
        <v>1656</v>
      </c>
      <c r="F248" s="29">
        <v>10</v>
      </c>
      <c r="G248" s="29">
        <v>100</v>
      </c>
      <c r="H248" s="29">
        <v>3</v>
      </c>
      <c r="I248" s="22" t="s">
        <v>1657</v>
      </c>
      <c r="J248" s="22" t="s">
        <v>274</v>
      </c>
      <c r="K248" s="34"/>
    </row>
    <row r="249" spans="1:11" x14ac:dyDescent="0.3">
      <c r="A249" s="22" t="s">
        <v>174</v>
      </c>
      <c r="B249" s="22" t="s">
        <v>1617</v>
      </c>
      <c r="C249" s="64" t="s">
        <v>90</v>
      </c>
      <c r="D249" s="23"/>
      <c r="E249" s="22" t="s">
        <v>1658</v>
      </c>
      <c r="F249" s="29">
        <v>10</v>
      </c>
      <c r="G249" s="29">
        <v>100</v>
      </c>
      <c r="H249" s="29">
        <v>3</v>
      </c>
      <c r="I249" s="22" t="s">
        <v>1659</v>
      </c>
      <c r="J249" s="22" t="s">
        <v>274</v>
      </c>
      <c r="K249" s="34"/>
    </row>
    <row r="250" spans="1:11" x14ac:dyDescent="0.3">
      <c r="A250" s="22" t="s">
        <v>174</v>
      </c>
      <c r="B250" s="22" t="s">
        <v>1762</v>
      </c>
      <c r="C250" s="22" t="s">
        <v>87</v>
      </c>
      <c r="D250" s="23"/>
      <c r="E250" s="22" t="s">
        <v>1798</v>
      </c>
      <c r="F250" s="29">
        <v>10</v>
      </c>
      <c r="G250" s="29">
        <v>100</v>
      </c>
      <c r="H250" s="29">
        <v>3</v>
      </c>
      <c r="I250" s="22" t="s">
        <v>1799</v>
      </c>
      <c r="J250" s="22" t="s">
        <v>1800</v>
      </c>
      <c r="K250" s="34"/>
    </row>
    <row r="251" spans="1:11" x14ac:dyDescent="0.3">
      <c r="A251" s="22" t="s">
        <v>174</v>
      </c>
      <c r="B251" s="22" t="s">
        <v>1762</v>
      </c>
      <c r="C251" s="22" t="s">
        <v>93</v>
      </c>
      <c r="D251" s="23"/>
      <c r="E251" s="22" t="s">
        <v>1801</v>
      </c>
      <c r="F251" s="29">
        <v>10</v>
      </c>
      <c r="G251" s="29">
        <v>100</v>
      </c>
      <c r="H251" s="29">
        <v>3</v>
      </c>
      <c r="I251" s="22" t="s">
        <v>1802</v>
      </c>
      <c r="J251" s="22" t="s">
        <v>1800</v>
      </c>
      <c r="K251" s="34"/>
    </row>
    <row r="252" spans="1:11" x14ac:dyDescent="0.3">
      <c r="A252" s="22" t="s">
        <v>174</v>
      </c>
      <c r="B252" s="22" t="s">
        <v>1762</v>
      </c>
      <c r="C252" s="22" t="s">
        <v>90</v>
      </c>
      <c r="D252" s="23"/>
      <c r="E252" s="22" t="s">
        <v>1803</v>
      </c>
      <c r="F252" s="29">
        <v>10</v>
      </c>
      <c r="G252" s="29">
        <v>100</v>
      </c>
      <c r="H252" s="29">
        <v>3</v>
      </c>
      <c r="I252" s="22" t="s">
        <v>1804</v>
      </c>
      <c r="J252" s="22" t="s">
        <v>1800</v>
      </c>
      <c r="K252" s="34"/>
    </row>
    <row r="253" spans="1:11" x14ac:dyDescent="0.3">
      <c r="A253" s="29" t="s">
        <v>174</v>
      </c>
      <c r="B253" s="29" t="s">
        <v>175</v>
      </c>
      <c r="C253" s="29" t="s">
        <v>213</v>
      </c>
      <c r="D253" s="29"/>
      <c r="E253" s="29" t="s">
        <v>278</v>
      </c>
      <c r="F253" s="29">
        <v>11</v>
      </c>
      <c r="G253" s="29">
        <v>105</v>
      </c>
      <c r="H253" s="29">
        <v>4</v>
      </c>
      <c r="I253" s="22" t="s">
        <v>279</v>
      </c>
      <c r="J253" s="22" t="s">
        <v>280</v>
      </c>
      <c r="K253" s="34"/>
    </row>
    <row r="254" spans="1:11" x14ac:dyDescent="0.3">
      <c r="A254" s="29" t="s">
        <v>174</v>
      </c>
      <c r="B254" s="29" t="s">
        <v>175</v>
      </c>
      <c r="C254" s="29" t="s">
        <v>217</v>
      </c>
      <c r="D254" s="29"/>
      <c r="E254" s="29" t="s">
        <v>281</v>
      </c>
      <c r="F254" s="29">
        <v>11</v>
      </c>
      <c r="G254" s="29">
        <v>105</v>
      </c>
      <c r="H254" s="29">
        <v>4</v>
      </c>
      <c r="I254" s="22" t="s">
        <v>282</v>
      </c>
      <c r="J254" s="22" t="s">
        <v>283</v>
      </c>
      <c r="K254" s="34"/>
    </row>
    <row r="255" spans="1:11" x14ac:dyDescent="0.3">
      <c r="A255" s="29" t="s">
        <v>174</v>
      </c>
      <c r="B255" s="29" t="s">
        <v>175</v>
      </c>
      <c r="C255" s="29" t="s">
        <v>221</v>
      </c>
      <c r="D255" s="29"/>
      <c r="E255" s="29" t="s">
        <v>284</v>
      </c>
      <c r="F255" s="29">
        <v>11</v>
      </c>
      <c r="G255" s="29">
        <v>105</v>
      </c>
      <c r="H255" s="29">
        <v>4</v>
      </c>
      <c r="I255" s="22" t="s">
        <v>285</v>
      </c>
      <c r="J255" s="22" t="s">
        <v>286</v>
      </c>
      <c r="K255" s="34"/>
    </row>
    <row r="256" spans="1:11" x14ac:dyDescent="0.3">
      <c r="A256" s="64" t="s">
        <v>174</v>
      </c>
      <c r="B256" s="64" t="s">
        <v>530</v>
      </c>
      <c r="C256" s="64" t="s">
        <v>87</v>
      </c>
      <c r="D256" s="64" t="s">
        <v>531</v>
      </c>
      <c r="E256" s="64" t="s">
        <v>590</v>
      </c>
      <c r="F256" s="29">
        <v>11</v>
      </c>
      <c r="G256" s="29">
        <v>105</v>
      </c>
      <c r="H256" s="29">
        <v>4</v>
      </c>
      <c r="I256" s="22" t="s">
        <v>591</v>
      </c>
      <c r="J256" s="22" t="s">
        <v>592</v>
      </c>
      <c r="K256" s="34"/>
    </row>
    <row r="257" spans="1:11" x14ac:dyDescent="0.3">
      <c r="A257" s="64" t="s">
        <v>174</v>
      </c>
      <c r="B257" s="64" t="s">
        <v>530</v>
      </c>
      <c r="C257" s="64" t="s">
        <v>93</v>
      </c>
      <c r="D257" s="64" t="s">
        <v>531</v>
      </c>
      <c r="E257" s="64" t="s">
        <v>593</v>
      </c>
      <c r="F257" s="29">
        <v>11</v>
      </c>
      <c r="G257" s="29">
        <v>105</v>
      </c>
      <c r="H257" s="29">
        <v>4</v>
      </c>
      <c r="I257" s="22" t="s">
        <v>594</v>
      </c>
      <c r="J257" s="22" t="s">
        <v>592</v>
      </c>
      <c r="K257" s="34"/>
    </row>
    <row r="258" spans="1:11" x14ac:dyDescent="0.3">
      <c r="A258" s="64" t="s">
        <v>174</v>
      </c>
      <c r="B258" s="64" t="s">
        <v>530</v>
      </c>
      <c r="C258" s="64" t="s">
        <v>90</v>
      </c>
      <c r="D258" s="64" t="s">
        <v>531</v>
      </c>
      <c r="E258" s="64" t="s">
        <v>595</v>
      </c>
      <c r="F258" s="29">
        <v>11</v>
      </c>
      <c r="G258" s="29">
        <v>105</v>
      </c>
      <c r="H258" s="29">
        <v>4</v>
      </c>
      <c r="I258" s="22" t="s">
        <v>596</v>
      </c>
      <c r="J258" s="22" t="s">
        <v>592</v>
      </c>
      <c r="K258" s="34"/>
    </row>
    <row r="259" spans="1:11" x14ac:dyDescent="0.3">
      <c r="A259" s="22" t="s">
        <v>174</v>
      </c>
      <c r="B259" s="22" t="s">
        <v>753</v>
      </c>
      <c r="C259" s="22" t="s">
        <v>213</v>
      </c>
      <c r="D259" s="23"/>
      <c r="E259" s="23" t="s">
        <v>814</v>
      </c>
      <c r="F259" s="29">
        <v>11</v>
      </c>
      <c r="G259" s="29">
        <v>105</v>
      </c>
      <c r="H259" s="29">
        <v>4</v>
      </c>
      <c r="I259" s="22" t="s">
        <v>815</v>
      </c>
      <c r="J259" s="22" t="s">
        <v>283</v>
      </c>
      <c r="K259" s="34"/>
    </row>
    <row r="260" spans="1:11" x14ac:dyDescent="0.3">
      <c r="A260" s="22" t="s">
        <v>174</v>
      </c>
      <c r="B260" s="22" t="s">
        <v>753</v>
      </c>
      <c r="C260" s="22" t="s">
        <v>221</v>
      </c>
      <c r="D260" s="23"/>
      <c r="E260" s="23" t="s">
        <v>816</v>
      </c>
      <c r="F260" s="29">
        <v>11</v>
      </c>
      <c r="G260" s="29">
        <v>105</v>
      </c>
      <c r="H260" s="29">
        <v>4</v>
      </c>
      <c r="I260" s="22" t="s">
        <v>817</v>
      </c>
      <c r="J260" s="22" t="s">
        <v>283</v>
      </c>
      <c r="K260" s="34"/>
    </row>
    <row r="261" spans="1:11" x14ac:dyDescent="0.3">
      <c r="A261" s="22" t="s">
        <v>174</v>
      </c>
      <c r="B261" s="22" t="s">
        <v>753</v>
      </c>
      <c r="C261" s="22" t="s">
        <v>217</v>
      </c>
      <c r="D261" s="23"/>
      <c r="E261" s="23" t="s">
        <v>818</v>
      </c>
      <c r="F261" s="29">
        <v>11</v>
      </c>
      <c r="G261" s="29">
        <v>105</v>
      </c>
      <c r="H261" s="29">
        <v>4</v>
      </c>
      <c r="I261" s="22" t="s">
        <v>819</v>
      </c>
      <c r="J261" s="22" t="s">
        <v>283</v>
      </c>
      <c r="K261" s="34"/>
    </row>
    <row r="262" spans="1:11" x14ac:dyDescent="0.3">
      <c r="A262" s="22" t="s">
        <v>174</v>
      </c>
      <c r="B262" s="22" t="s">
        <v>942</v>
      </c>
      <c r="C262" s="22" t="s">
        <v>87</v>
      </c>
      <c r="D262" s="23"/>
      <c r="E262" s="22" t="s">
        <v>993</v>
      </c>
      <c r="F262" s="29">
        <v>11</v>
      </c>
      <c r="G262" s="29">
        <v>105</v>
      </c>
      <c r="H262" s="29">
        <v>4</v>
      </c>
      <c r="I262" s="22" t="s">
        <v>994</v>
      </c>
      <c r="J262" s="22" t="s">
        <v>280</v>
      </c>
      <c r="K262" s="34"/>
    </row>
    <row r="263" spans="1:11" x14ac:dyDescent="0.3">
      <c r="A263" s="22" t="s">
        <v>174</v>
      </c>
      <c r="B263" s="22" t="s">
        <v>942</v>
      </c>
      <c r="C263" s="22" t="s">
        <v>93</v>
      </c>
      <c r="D263" s="23"/>
      <c r="E263" s="22" t="s">
        <v>995</v>
      </c>
      <c r="F263" s="29">
        <v>11</v>
      </c>
      <c r="G263" s="29">
        <v>105</v>
      </c>
      <c r="H263" s="29">
        <v>4</v>
      </c>
      <c r="I263" s="22" t="s">
        <v>996</v>
      </c>
      <c r="J263" s="22" t="s">
        <v>286</v>
      </c>
      <c r="K263" s="34"/>
    </row>
    <row r="264" spans="1:11" x14ac:dyDescent="0.3">
      <c r="A264" s="22" t="s">
        <v>174</v>
      </c>
      <c r="B264" s="22" t="s">
        <v>942</v>
      </c>
      <c r="C264" s="22" t="s">
        <v>90</v>
      </c>
      <c r="D264" s="23"/>
      <c r="E264" s="22" t="s">
        <v>997</v>
      </c>
      <c r="F264" s="29">
        <v>11</v>
      </c>
      <c r="G264" s="29">
        <v>105</v>
      </c>
      <c r="H264" s="29">
        <v>4</v>
      </c>
      <c r="I264" s="22" t="s">
        <v>998</v>
      </c>
      <c r="J264" s="22" t="s">
        <v>999</v>
      </c>
      <c r="K264" s="34"/>
    </row>
    <row r="265" spans="1:11" x14ac:dyDescent="0.3">
      <c r="A265" s="22" t="s">
        <v>174</v>
      </c>
      <c r="B265" s="22" t="s">
        <v>1151</v>
      </c>
      <c r="C265" s="22" t="s">
        <v>87</v>
      </c>
      <c r="D265" s="23"/>
      <c r="E265" s="22" t="s">
        <v>1221</v>
      </c>
      <c r="F265" s="29">
        <v>11</v>
      </c>
      <c r="G265" s="29">
        <v>105</v>
      </c>
      <c r="H265" s="29">
        <v>4</v>
      </c>
      <c r="I265" s="22" t="s">
        <v>1222</v>
      </c>
      <c r="J265" s="22" t="s">
        <v>280</v>
      </c>
      <c r="K265" s="34"/>
    </row>
    <row r="266" spans="1:11" x14ac:dyDescent="0.3">
      <c r="A266" s="22" t="s">
        <v>174</v>
      </c>
      <c r="B266" s="22" t="s">
        <v>1151</v>
      </c>
      <c r="C266" s="22" t="s">
        <v>93</v>
      </c>
      <c r="D266" s="23"/>
      <c r="E266" s="22" t="s">
        <v>1223</v>
      </c>
      <c r="F266" s="29">
        <v>11</v>
      </c>
      <c r="G266" s="29">
        <v>105</v>
      </c>
      <c r="H266" s="29">
        <v>4</v>
      </c>
      <c r="I266" s="22" t="s">
        <v>1224</v>
      </c>
      <c r="J266" s="22" t="s">
        <v>286</v>
      </c>
      <c r="K266" s="34"/>
    </row>
    <row r="267" spans="1:11" x14ac:dyDescent="0.3">
      <c r="A267" s="22" t="s">
        <v>174</v>
      </c>
      <c r="B267" s="22" t="s">
        <v>1151</v>
      </c>
      <c r="C267" s="22" t="s">
        <v>90</v>
      </c>
      <c r="D267" s="23"/>
      <c r="E267" s="22" t="s">
        <v>1225</v>
      </c>
      <c r="F267" s="29">
        <v>11</v>
      </c>
      <c r="G267" s="29">
        <v>105</v>
      </c>
      <c r="H267" s="29">
        <v>4</v>
      </c>
      <c r="I267" s="22" t="s">
        <v>1226</v>
      </c>
      <c r="J267" s="22" t="s">
        <v>999</v>
      </c>
      <c r="K267" s="34"/>
    </row>
    <row r="268" spans="1:11" x14ac:dyDescent="0.3">
      <c r="A268" s="22" t="s">
        <v>174</v>
      </c>
      <c r="B268" s="22" t="s">
        <v>1332</v>
      </c>
      <c r="C268" s="22" t="s">
        <v>87</v>
      </c>
      <c r="D268" s="23"/>
      <c r="E268" s="22" t="s">
        <v>1411</v>
      </c>
      <c r="F268" s="29">
        <v>11</v>
      </c>
      <c r="G268" s="29">
        <v>105</v>
      </c>
      <c r="H268" s="29">
        <v>4</v>
      </c>
      <c r="I268" s="22" t="s">
        <v>1412</v>
      </c>
      <c r="J268" s="22" t="s">
        <v>280</v>
      </c>
      <c r="K268" s="34"/>
    </row>
    <row r="269" spans="1:11" x14ac:dyDescent="0.3">
      <c r="A269" s="22" t="s">
        <v>174</v>
      </c>
      <c r="B269" s="22" t="s">
        <v>1332</v>
      </c>
      <c r="C269" s="22" t="s">
        <v>93</v>
      </c>
      <c r="D269" s="23"/>
      <c r="E269" s="22" t="s">
        <v>1413</v>
      </c>
      <c r="F269" s="29">
        <v>11</v>
      </c>
      <c r="G269" s="29">
        <v>105</v>
      </c>
      <c r="H269" s="29">
        <v>4</v>
      </c>
      <c r="I269" s="22" t="s">
        <v>1414</v>
      </c>
      <c r="J269" s="22" t="s">
        <v>286</v>
      </c>
      <c r="K269" s="34"/>
    </row>
    <row r="270" spans="1:11" x14ac:dyDescent="0.3">
      <c r="A270" s="22" t="s">
        <v>174</v>
      </c>
      <c r="B270" s="22" t="s">
        <v>1332</v>
      </c>
      <c r="C270" s="22" t="s">
        <v>90</v>
      </c>
      <c r="D270" s="23"/>
      <c r="E270" s="22" t="s">
        <v>1415</v>
      </c>
      <c r="F270" s="29">
        <v>11</v>
      </c>
      <c r="G270" s="29">
        <v>105</v>
      </c>
      <c r="H270" s="29">
        <v>4</v>
      </c>
      <c r="I270" s="22" t="s">
        <v>1416</v>
      </c>
      <c r="J270" s="22" t="s">
        <v>999</v>
      </c>
      <c r="K270" s="34"/>
    </row>
    <row r="271" spans="1:11" x14ac:dyDescent="0.3">
      <c r="A271" s="22" t="s">
        <v>174</v>
      </c>
      <c r="B271" s="22" t="s">
        <v>1498</v>
      </c>
      <c r="C271" s="22" t="s">
        <v>176</v>
      </c>
      <c r="D271" s="23"/>
      <c r="E271" s="22" t="s">
        <v>1519</v>
      </c>
      <c r="F271" s="29">
        <v>11</v>
      </c>
      <c r="G271" s="29">
        <v>105</v>
      </c>
      <c r="H271" s="29">
        <v>4</v>
      </c>
      <c r="I271" s="22" t="s">
        <v>1520</v>
      </c>
      <c r="J271" s="22" t="s">
        <v>564</v>
      </c>
      <c r="K271" s="34"/>
    </row>
    <row r="272" spans="1:11" x14ac:dyDescent="0.3">
      <c r="A272" s="22" t="s">
        <v>174</v>
      </c>
      <c r="B272" s="22" t="s">
        <v>1617</v>
      </c>
      <c r="C272" s="22" t="s">
        <v>87</v>
      </c>
      <c r="D272" s="23"/>
      <c r="E272" s="22" t="s">
        <v>1660</v>
      </c>
      <c r="F272" s="29">
        <v>11</v>
      </c>
      <c r="G272" s="29">
        <v>105</v>
      </c>
      <c r="H272" s="29">
        <v>4</v>
      </c>
      <c r="I272" s="22" t="s">
        <v>1661</v>
      </c>
      <c r="J272" s="22" t="s">
        <v>283</v>
      </c>
      <c r="K272" s="34"/>
    </row>
    <row r="273" spans="1:11" x14ac:dyDescent="0.3">
      <c r="A273" s="22" t="s">
        <v>174</v>
      </c>
      <c r="B273" s="22" t="s">
        <v>1617</v>
      </c>
      <c r="C273" s="22" t="s">
        <v>93</v>
      </c>
      <c r="D273" s="23"/>
      <c r="E273" s="22" t="s">
        <v>1662</v>
      </c>
      <c r="F273" s="29">
        <v>11</v>
      </c>
      <c r="G273" s="29">
        <v>105</v>
      </c>
      <c r="H273" s="29">
        <v>4</v>
      </c>
      <c r="I273" s="22" t="s">
        <v>1663</v>
      </c>
      <c r="J273" s="22" t="s">
        <v>283</v>
      </c>
      <c r="K273" s="34"/>
    </row>
    <row r="274" spans="1:11" x14ac:dyDescent="0.3">
      <c r="A274" s="22" t="s">
        <v>174</v>
      </c>
      <c r="B274" s="22" t="s">
        <v>1617</v>
      </c>
      <c r="C274" s="64" t="s">
        <v>90</v>
      </c>
      <c r="D274" s="23"/>
      <c r="E274" s="22" t="s">
        <v>1664</v>
      </c>
      <c r="F274" s="29">
        <v>11</v>
      </c>
      <c r="G274" s="29">
        <v>105</v>
      </c>
      <c r="H274" s="29">
        <v>4</v>
      </c>
      <c r="I274" s="22" t="s">
        <v>1665</v>
      </c>
      <c r="J274" s="22" t="s">
        <v>283</v>
      </c>
      <c r="K274" s="34"/>
    </row>
    <row r="275" spans="1:11" x14ac:dyDescent="0.3">
      <c r="A275" s="22" t="s">
        <v>174</v>
      </c>
      <c r="B275" s="22" t="s">
        <v>1762</v>
      </c>
      <c r="C275" s="22" t="s">
        <v>87</v>
      </c>
      <c r="D275" s="23"/>
      <c r="E275" s="22" t="s">
        <v>1805</v>
      </c>
      <c r="F275" s="29">
        <v>11</v>
      </c>
      <c r="G275" s="29">
        <v>105</v>
      </c>
      <c r="H275" s="29">
        <v>4</v>
      </c>
      <c r="I275" s="22" t="s">
        <v>1806</v>
      </c>
      <c r="J275" s="22" t="s">
        <v>1807</v>
      </c>
      <c r="K275" s="34"/>
    </row>
    <row r="276" spans="1:11" x14ac:dyDescent="0.3">
      <c r="A276" s="22" t="s">
        <v>174</v>
      </c>
      <c r="B276" s="22" t="s">
        <v>1762</v>
      </c>
      <c r="C276" s="22" t="s">
        <v>93</v>
      </c>
      <c r="D276" s="23"/>
      <c r="E276" s="22" t="s">
        <v>1808</v>
      </c>
      <c r="F276" s="29">
        <v>11</v>
      </c>
      <c r="G276" s="29">
        <v>105</v>
      </c>
      <c r="H276" s="29">
        <v>4</v>
      </c>
      <c r="I276" s="22" t="s">
        <v>1809</v>
      </c>
      <c r="J276" s="22" t="s">
        <v>1807</v>
      </c>
      <c r="K276" s="34"/>
    </row>
    <row r="277" spans="1:11" x14ac:dyDescent="0.3">
      <c r="A277" s="22" t="s">
        <v>174</v>
      </c>
      <c r="B277" s="22" t="s">
        <v>1762</v>
      </c>
      <c r="C277" s="22" t="s">
        <v>90</v>
      </c>
      <c r="D277" s="23"/>
      <c r="E277" s="22" t="s">
        <v>1810</v>
      </c>
      <c r="F277" s="29">
        <v>11</v>
      </c>
      <c r="G277" s="29">
        <v>105</v>
      </c>
      <c r="H277" s="29">
        <v>4</v>
      </c>
      <c r="I277" s="22" t="s">
        <v>1811</v>
      </c>
      <c r="J277" s="22" t="s">
        <v>1807</v>
      </c>
      <c r="K277" s="34"/>
    </row>
    <row r="278" spans="1:11" x14ac:dyDescent="0.3">
      <c r="A278" s="29" t="s">
        <v>174</v>
      </c>
      <c r="B278" s="29" t="s">
        <v>175</v>
      </c>
      <c r="C278" s="29" t="s">
        <v>176</v>
      </c>
      <c r="D278" s="29"/>
      <c r="E278" s="29" t="s">
        <v>326</v>
      </c>
      <c r="F278" s="29">
        <v>12</v>
      </c>
      <c r="G278" s="29"/>
      <c r="H278" s="29">
        <v>5</v>
      </c>
      <c r="I278" s="22" t="s">
        <v>327</v>
      </c>
      <c r="J278" s="22" t="s">
        <v>328</v>
      </c>
      <c r="K278" s="34"/>
    </row>
    <row r="279" spans="1:11" x14ac:dyDescent="0.3">
      <c r="A279" s="64" t="s">
        <v>174</v>
      </c>
      <c r="B279" s="64" t="s">
        <v>530</v>
      </c>
      <c r="C279" s="64" t="s">
        <v>176</v>
      </c>
      <c r="D279" s="64" t="s">
        <v>531</v>
      </c>
      <c r="E279" s="64" t="s">
        <v>630</v>
      </c>
      <c r="F279" s="29">
        <v>12</v>
      </c>
      <c r="G279" s="64"/>
      <c r="H279" s="64">
        <v>5</v>
      </c>
      <c r="I279" s="22" t="s">
        <v>631</v>
      </c>
      <c r="J279" s="22" t="s">
        <v>632</v>
      </c>
      <c r="K279" s="34"/>
    </row>
    <row r="280" spans="1:11" x14ac:dyDescent="0.3">
      <c r="A280" s="22" t="s">
        <v>174</v>
      </c>
      <c r="B280" s="22" t="s">
        <v>753</v>
      </c>
      <c r="C280" s="22" t="s">
        <v>176</v>
      </c>
      <c r="D280" s="23"/>
      <c r="E280" s="23" t="s">
        <v>849</v>
      </c>
      <c r="F280" s="29">
        <v>12</v>
      </c>
      <c r="G280" s="23"/>
      <c r="H280" s="64">
        <v>5</v>
      </c>
      <c r="I280" s="22" t="s">
        <v>850</v>
      </c>
      <c r="J280" s="22" t="s">
        <v>851</v>
      </c>
      <c r="K280" s="34"/>
    </row>
    <row r="281" spans="1:11" x14ac:dyDescent="0.3">
      <c r="A281" s="22" t="s">
        <v>174</v>
      </c>
      <c r="B281" s="22" t="s">
        <v>942</v>
      </c>
      <c r="C281" s="22" t="s">
        <v>176</v>
      </c>
      <c r="D281" s="23"/>
      <c r="E281" s="22" t="s">
        <v>1027</v>
      </c>
      <c r="F281" s="29">
        <v>12</v>
      </c>
      <c r="G281" s="22"/>
      <c r="H281" s="64">
        <v>5</v>
      </c>
      <c r="I281" s="22" t="s">
        <v>1028</v>
      </c>
      <c r="J281" s="22" t="s">
        <v>1029</v>
      </c>
      <c r="K281" s="34"/>
    </row>
    <row r="282" spans="1:11" x14ac:dyDescent="0.3">
      <c r="A282" s="22" t="s">
        <v>174</v>
      </c>
      <c r="B282" s="22" t="s">
        <v>1151</v>
      </c>
      <c r="C282" s="22" t="s">
        <v>176</v>
      </c>
      <c r="D282" s="23"/>
      <c r="E282" s="22" t="s">
        <v>1250</v>
      </c>
      <c r="F282" s="29">
        <v>12</v>
      </c>
      <c r="G282" s="22"/>
      <c r="H282" s="64">
        <v>5</v>
      </c>
      <c r="I282" s="22" t="s">
        <v>1251</v>
      </c>
      <c r="J282" s="22" t="s">
        <v>1029</v>
      </c>
      <c r="K282" s="34"/>
    </row>
    <row r="283" spans="1:11" x14ac:dyDescent="0.3">
      <c r="A283" s="22" t="s">
        <v>174</v>
      </c>
      <c r="B283" s="22" t="s">
        <v>1332</v>
      </c>
      <c r="C283" s="22" t="s">
        <v>176</v>
      </c>
      <c r="D283" s="23"/>
      <c r="E283" s="22" t="s">
        <v>1443</v>
      </c>
      <c r="F283" s="29">
        <v>12</v>
      </c>
      <c r="G283" s="22"/>
      <c r="H283" s="64">
        <v>5</v>
      </c>
      <c r="I283" s="22" t="s">
        <v>1444</v>
      </c>
      <c r="J283" s="22" t="s">
        <v>1029</v>
      </c>
      <c r="K283" s="34"/>
    </row>
    <row r="284" spans="1:11" x14ac:dyDescent="0.3">
      <c r="A284" s="22" t="s">
        <v>174</v>
      </c>
      <c r="B284" s="22" t="s">
        <v>1498</v>
      </c>
      <c r="C284" s="22" t="s">
        <v>176</v>
      </c>
      <c r="D284" s="23"/>
      <c r="E284" s="22" t="s">
        <v>1536</v>
      </c>
      <c r="F284" s="29">
        <v>12</v>
      </c>
      <c r="G284" s="22"/>
      <c r="H284" s="64">
        <v>5</v>
      </c>
      <c r="I284" s="22" t="s">
        <v>1537</v>
      </c>
      <c r="J284" s="22" t="s">
        <v>1538</v>
      </c>
      <c r="K284" s="34"/>
    </row>
    <row r="285" spans="1:11" x14ac:dyDescent="0.3">
      <c r="A285" s="22" t="s">
        <v>174</v>
      </c>
      <c r="B285" s="22" t="s">
        <v>1617</v>
      </c>
      <c r="C285" s="22" t="s">
        <v>176</v>
      </c>
      <c r="D285" s="23"/>
      <c r="E285" s="22" t="s">
        <v>1692</v>
      </c>
      <c r="F285" s="29">
        <v>12</v>
      </c>
      <c r="G285" s="22"/>
      <c r="H285" s="64">
        <v>5</v>
      </c>
      <c r="I285" s="22" t="s">
        <v>1693</v>
      </c>
      <c r="J285" s="22" t="s">
        <v>1694</v>
      </c>
      <c r="K285" s="34"/>
    </row>
    <row r="286" spans="1:11" x14ac:dyDescent="0.3">
      <c r="A286" s="22" t="s">
        <v>174</v>
      </c>
      <c r="B286" s="22" t="s">
        <v>1762</v>
      </c>
      <c r="C286" s="22" t="s">
        <v>176</v>
      </c>
      <c r="D286" s="23"/>
      <c r="E286" s="22" t="s">
        <v>1841</v>
      </c>
      <c r="F286" s="29">
        <v>12</v>
      </c>
      <c r="G286" s="22"/>
      <c r="H286" s="64">
        <v>5</v>
      </c>
      <c r="I286" s="22" t="s">
        <v>1842</v>
      </c>
      <c r="J286" s="22" t="s">
        <v>1843</v>
      </c>
      <c r="K286" s="34"/>
    </row>
    <row r="287" spans="1:11" x14ac:dyDescent="0.3">
      <c r="A287" s="29" t="s">
        <v>174</v>
      </c>
      <c r="B287" s="29" t="s">
        <v>175</v>
      </c>
      <c r="C287" s="29" t="s">
        <v>176</v>
      </c>
      <c r="D287" s="29"/>
      <c r="E287" s="29" t="s">
        <v>329</v>
      </c>
      <c r="F287" s="29">
        <v>13</v>
      </c>
      <c r="G287" s="29"/>
      <c r="H287" s="29">
        <v>6</v>
      </c>
      <c r="I287" s="22" t="s">
        <v>330</v>
      </c>
      <c r="J287" s="22" t="s">
        <v>331</v>
      </c>
      <c r="K287" s="34"/>
    </row>
    <row r="288" spans="1:11" x14ac:dyDescent="0.3">
      <c r="A288" s="64" t="s">
        <v>174</v>
      </c>
      <c r="B288" s="64" t="s">
        <v>530</v>
      </c>
      <c r="C288" s="64" t="s">
        <v>176</v>
      </c>
      <c r="D288" s="64" t="s">
        <v>531</v>
      </c>
      <c r="E288" s="64" t="s">
        <v>633</v>
      </c>
      <c r="F288" s="29">
        <v>13</v>
      </c>
      <c r="G288" s="64"/>
      <c r="H288" s="64">
        <v>6</v>
      </c>
      <c r="I288" s="22" t="s">
        <v>634</v>
      </c>
      <c r="J288" s="22" t="s">
        <v>635</v>
      </c>
      <c r="K288" s="34"/>
    </row>
    <row r="289" spans="1:11" x14ac:dyDescent="0.3">
      <c r="A289" s="22" t="s">
        <v>174</v>
      </c>
      <c r="B289" s="22" t="s">
        <v>753</v>
      </c>
      <c r="C289" s="22" t="s">
        <v>176</v>
      </c>
      <c r="D289" s="23"/>
      <c r="E289" s="23" t="s">
        <v>852</v>
      </c>
      <c r="F289" s="29">
        <v>13</v>
      </c>
      <c r="G289" s="23"/>
      <c r="H289" s="64">
        <v>6</v>
      </c>
      <c r="I289" s="22" t="s">
        <v>853</v>
      </c>
      <c r="J289" s="22" t="s">
        <v>854</v>
      </c>
      <c r="K289" s="34"/>
    </row>
    <row r="290" spans="1:11" x14ac:dyDescent="0.3">
      <c r="A290" s="22" t="s">
        <v>174</v>
      </c>
      <c r="B290" s="22" t="s">
        <v>942</v>
      </c>
      <c r="C290" s="22" t="s">
        <v>176</v>
      </c>
      <c r="D290" s="23"/>
      <c r="E290" s="22" t="s">
        <v>1030</v>
      </c>
      <c r="F290" s="29">
        <v>13</v>
      </c>
      <c r="G290" s="22"/>
      <c r="H290" s="64">
        <v>6</v>
      </c>
      <c r="I290" s="22" t="s">
        <v>1031</v>
      </c>
      <c r="J290" s="22" t="s">
        <v>1032</v>
      </c>
      <c r="K290" s="34"/>
    </row>
    <row r="291" spans="1:11" x14ac:dyDescent="0.3">
      <c r="A291" s="22" t="s">
        <v>174</v>
      </c>
      <c r="B291" s="22" t="s">
        <v>1151</v>
      </c>
      <c r="C291" s="22" t="s">
        <v>176</v>
      </c>
      <c r="D291" s="23"/>
      <c r="E291" s="22" t="s">
        <v>1252</v>
      </c>
      <c r="F291" s="29">
        <v>13</v>
      </c>
      <c r="G291" s="22"/>
      <c r="H291" s="64">
        <v>6</v>
      </c>
      <c r="I291" s="22" t="s">
        <v>1253</v>
      </c>
      <c r="J291" s="22" t="s">
        <v>1032</v>
      </c>
      <c r="K291" s="34"/>
    </row>
    <row r="292" spans="1:11" x14ac:dyDescent="0.3">
      <c r="A292" s="22" t="s">
        <v>174</v>
      </c>
      <c r="B292" s="22" t="s">
        <v>1332</v>
      </c>
      <c r="C292" s="22" t="s">
        <v>176</v>
      </c>
      <c r="D292" s="23"/>
      <c r="E292" s="22" t="s">
        <v>1445</v>
      </c>
      <c r="F292" s="29">
        <v>13</v>
      </c>
      <c r="G292" s="22"/>
      <c r="H292" s="64">
        <v>6</v>
      </c>
      <c r="I292" s="22" t="s">
        <v>1446</v>
      </c>
      <c r="J292" s="22" t="s">
        <v>1032</v>
      </c>
      <c r="K292" s="34"/>
    </row>
    <row r="293" spans="1:11" x14ac:dyDescent="0.3">
      <c r="A293" s="22" t="s">
        <v>174</v>
      </c>
      <c r="B293" s="22" t="s">
        <v>1498</v>
      </c>
      <c r="C293" s="22" t="s">
        <v>176</v>
      </c>
      <c r="D293" s="23"/>
      <c r="E293" s="22" t="s">
        <v>1539</v>
      </c>
      <c r="F293" s="29">
        <v>13</v>
      </c>
      <c r="G293" s="22"/>
      <c r="H293" s="64">
        <v>6</v>
      </c>
      <c r="I293" s="22" t="s">
        <v>1540</v>
      </c>
      <c r="J293" s="22" t="s">
        <v>1541</v>
      </c>
      <c r="K293" s="34"/>
    </row>
    <row r="294" spans="1:11" x14ac:dyDescent="0.3">
      <c r="A294" s="22" t="s">
        <v>174</v>
      </c>
      <c r="B294" s="22" t="s">
        <v>1617</v>
      </c>
      <c r="C294" s="22" t="s">
        <v>176</v>
      </c>
      <c r="D294" s="23"/>
      <c r="E294" s="22" t="s">
        <v>1695</v>
      </c>
      <c r="F294" s="29">
        <v>13</v>
      </c>
      <c r="G294" s="22"/>
      <c r="H294" s="64">
        <v>6</v>
      </c>
      <c r="I294" s="22" t="s">
        <v>1696</v>
      </c>
      <c r="J294" s="22" t="s">
        <v>1697</v>
      </c>
      <c r="K294" s="34"/>
    </row>
    <row r="295" spans="1:11" x14ac:dyDescent="0.3">
      <c r="A295" s="22" t="s">
        <v>174</v>
      </c>
      <c r="B295" s="22" t="s">
        <v>1762</v>
      </c>
      <c r="C295" s="22" t="s">
        <v>176</v>
      </c>
      <c r="D295" s="23"/>
      <c r="E295" s="22" t="s">
        <v>1844</v>
      </c>
      <c r="F295" s="29">
        <v>13</v>
      </c>
      <c r="G295" s="22"/>
      <c r="H295" s="22">
        <v>6</v>
      </c>
      <c r="I295" s="22" t="s">
        <v>1845</v>
      </c>
      <c r="J295" s="22" t="s">
        <v>1846</v>
      </c>
      <c r="K295" s="34"/>
    </row>
    <row r="296" spans="1:11" x14ac:dyDescent="0.3">
      <c r="A296" s="29" t="s">
        <v>174</v>
      </c>
      <c r="B296" s="29" t="s">
        <v>175</v>
      </c>
      <c r="C296" s="29" t="s">
        <v>176</v>
      </c>
      <c r="D296" s="29"/>
      <c r="E296" s="29" t="s">
        <v>332</v>
      </c>
      <c r="F296" s="29">
        <v>14</v>
      </c>
      <c r="G296" s="29"/>
      <c r="H296" s="29">
        <v>7</v>
      </c>
      <c r="I296" s="22" t="s">
        <v>333</v>
      </c>
      <c r="J296" s="22" t="s">
        <v>334</v>
      </c>
      <c r="K296" s="34"/>
    </row>
    <row r="297" spans="1:11" x14ac:dyDescent="0.3">
      <c r="A297" s="64" t="s">
        <v>174</v>
      </c>
      <c r="B297" s="64" t="s">
        <v>530</v>
      </c>
      <c r="C297" s="64" t="s">
        <v>176</v>
      </c>
      <c r="D297" s="64" t="s">
        <v>531</v>
      </c>
      <c r="E297" s="64" t="s">
        <v>636</v>
      </c>
      <c r="F297" s="29">
        <v>14</v>
      </c>
      <c r="G297" s="64"/>
      <c r="H297" s="64">
        <v>7</v>
      </c>
      <c r="I297" s="22" t="s">
        <v>637</v>
      </c>
      <c r="J297" s="22" t="s">
        <v>638</v>
      </c>
      <c r="K297" s="34"/>
    </row>
    <row r="298" spans="1:11" x14ac:dyDescent="0.3">
      <c r="A298" s="22" t="s">
        <v>174</v>
      </c>
      <c r="B298" s="22" t="s">
        <v>753</v>
      </c>
      <c r="C298" s="22" t="s">
        <v>176</v>
      </c>
      <c r="D298" s="23"/>
      <c r="E298" s="23" t="s">
        <v>855</v>
      </c>
      <c r="F298" s="29">
        <v>14</v>
      </c>
      <c r="G298" s="23"/>
      <c r="H298" s="64">
        <v>7</v>
      </c>
      <c r="I298" s="22" t="s">
        <v>856</v>
      </c>
      <c r="J298" s="22" t="s">
        <v>857</v>
      </c>
      <c r="K298" s="34"/>
    </row>
    <row r="299" spans="1:11" x14ac:dyDescent="0.3">
      <c r="A299" s="22" t="s">
        <v>174</v>
      </c>
      <c r="B299" s="22" t="s">
        <v>942</v>
      </c>
      <c r="C299" s="22" t="s">
        <v>176</v>
      </c>
      <c r="D299" s="23"/>
      <c r="E299" s="22" t="s">
        <v>1033</v>
      </c>
      <c r="F299" s="29">
        <v>14</v>
      </c>
      <c r="G299" s="22"/>
      <c r="H299" s="64">
        <v>7</v>
      </c>
      <c r="I299" s="22" t="s">
        <v>1034</v>
      </c>
      <c r="J299" s="22" t="s">
        <v>1035</v>
      </c>
      <c r="K299" s="34"/>
    </row>
    <row r="300" spans="1:11" x14ac:dyDescent="0.3">
      <c r="A300" s="22" t="s">
        <v>174</v>
      </c>
      <c r="B300" s="22" t="s">
        <v>1151</v>
      </c>
      <c r="C300" s="22" t="s">
        <v>176</v>
      </c>
      <c r="D300" s="23"/>
      <c r="E300" s="22" t="s">
        <v>1254</v>
      </c>
      <c r="F300" s="29">
        <v>14</v>
      </c>
      <c r="G300" s="22"/>
      <c r="H300" s="64">
        <v>7</v>
      </c>
      <c r="I300" s="22" t="s">
        <v>1255</v>
      </c>
      <c r="J300" s="22" t="s">
        <v>1035</v>
      </c>
      <c r="K300" s="34"/>
    </row>
    <row r="301" spans="1:11" x14ac:dyDescent="0.3">
      <c r="A301" s="22" t="s">
        <v>174</v>
      </c>
      <c r="B301" s="22" t="s">
        <v>1332</v>
      </c>
      <c r="C301" s="22" t="s">
        <v>176</v>
      </c>
      <c r="D301" s="23"/>
      <c r="E301" s="22" t="s">
        <v>1447</v>
      </c>
      <c r="F301" s="29">
        <v>14</v>
      </c>
      <c r="G301" s="22"/>
      <c r="H301" s="64">
        <v>7</v>
      </c>
      <c r="I301" s="22" t="s">
        <v>1448</v>
      </c>
      <c r="J301" s="22" t="s">
        <v>1035</v>
      </c>
      <c r="K301" s="34"/>
    </row>
    <row r="302" spans="1:11" x14ac:dyDescent="0.3">
      <c r="A302" s="22" t="s">
        <v>174</v>
      </c>
      <c r="B302" s="22" t="s">
        <v>1498</v>
      </c>
      <c r="C302" s="22" t="s">
        <v>176</v>
      </c>
      <c r="D302" s="23"/>
      <c r="E302" s="22" t="s">
        <v>1542</v>
      </c>
      <c r="F302" s="29">
        <v>14</v>
      </c>
      <c r="G302" s="22"/>
      <c r="H302" s="64">
        <v>7</v>
      </c>
      <c r="I302" s="22" t="s">
        <v>1543</v>
      </c>
      <c r="J302" s="22" t="s">
        <v>1544</v>
      </c>
      <c r="K302" s="34"/>
    </row>
    <row r="303" spans="1:11" x14ac:dyDescent="0.3">
      <c r="A303" s="22" t="s">
        <v>174</v>
      </c>
      <c r="B303" s="22" t="s">
        <v>1617</v>
      </c>
      <c r="C303" s="22" t="s">
        <v>176</v>
      </c>
      <c r="D303" s="23"/>
      <c r="E303" s="22" t="s">
        <v>1698</v>
      </c>
      <c r="F303" s="29">
        <v>14</v>
      </c>
      <c r="G303" s="22"/>
      <c r="H303" s="64">
        <v>7</v>
      </c>
      <c r="I303" s="22" t="s">
        <v>1699</v>
      </c>
      <c r="J303" s="22" t="s">
        <v>1700</v>
      </c>
      <c r="K303" s="34"/>
    </row>
    <row r="304" spans="1:11" x14ac:dyDescent="0.3">
      <c r="A304" s="22" t="s">
        <v>174</v>
      </c>
      <c r="B304" s="22" t="s">
        <v>1762</v>
      </c>
      <c r="C304" s="22" t="s">
        <v>176</v>
      </c>
      <c r="D304" s="23"/>
      <c r="E304" s="22" t="s">
        <v>1847</v>
      </c>
      <c r="F304" s="29">
        <v>14</v>
      </c>
      <c r="G304" s="22"/>
      <c r="H304" s="22">
        <v>7</v>
      </c>
      <c r="I304" s="22" t="s">
        <v>1848</v>
      </c>
      <c r="J304" s="22" t="s">
        <v>1849</v>
      </c>
      <c r="K304" s="34"/>
    </row>
    <row r="305" spans="1:11" x14ac:dyDescent="0.3">
      <c r="A305" s="29" t="s">
        <v>174</v>
      </c>
      <c r="B305" s="29" t="s">
        <v>175</v>
      </c>
      <c r="C305" s="29" t="s">
        <v>176</v>
      </c>
      <c r="D305" s="29"/>
      <c r="E305" s="29" t="s">
        <v>335</v>
      </c>
      <c r="F305" s="29">
        <v>15</v>
      </c>
      <c r="G305" s="29"/>
      <c r="H305" s="29">
        <v>8</v>
      </c>
      <c r="I305" s="22" t="s">
        <v>336</v>
      </c>
      <c r="J305" s="22" t="s">
        <v>337</v>
      </c>
      <c r="K305" s="34"/>
    </row>
    <row r="306" spans="1:11" x14ac:dyDescent="0.3">
      <c r="A306" s="64" t="s">
        <v>174</v>
      </c>
      <c r="B306" s="64" t="s">
        <v>530</v>
      </c>
      <c r="C306" s="64" t="s">
        <v>176</v>
      </c>
      <c r="D306" s="64" t="s">
        <v>531</v>
      </c>
      <c r="E306" s="64" t="s">
        <v>639</v>
      </c>
      <c r="F306" s="29">
        <v>15</v>
      </c>
      <c r="G306" s="64"/>
      <c r="H306" s="64">
        <v>8</v>
      </c>
      <c r="I306" s="22" t="s">
        <v>640</v>
      </c>
      <c r="J306" s="22" t="s">
        <v>641</v>
      </c>
      <c r="K306" s="34"/>
    </row>
    <row r="307" spans="1:11" x14ac:dyDescent="0.3">
      <c r="A307" s="22" t="s">
        <v>174</v>
      </c>
      <c r="B307" s="22" t="s">
        <v>753</v>
      </c>
      <c r="C307" s="22" t="s">
        <v>176</v>
      </c>
      <c r="D307" s="23"/>
      <c r="E307" s="23" t="s">
        <v>858</v>
      </c>
      <c r="F307" s="29">
        <v>15</v>
      </c>
      <c r="G307" s="23"/>
      <c r="H307" s="64">
        <v>8</v>
      </c>
      <c r="I307" s="22" t="s">
        <v>859</v>
      </c>
      <c r="J307" s="22" t="s">
        <v>860</v>
      </c>
      <c r="K307" s="34"/>
    </row>
    <row r="308" spans="1:11" x14ac:dyDescent="0.3">
      <c r="A308" s="22" t="s">
        <v>174</v>
      </c>
      <c r="B308" s="22" t="s">
        <v>942</v>
      </c>
      <c r="C308" s="22" t="s">
        <v>176</v>
      </c>
      <c r="D308" s="23"/>
      <c r="E308" s="22" t="s">
        <v>1036</v>
      </c>
      <c r="F308" s="29">
        <v>15</v>
      </c>
      <c r="G308" s="22"/>
      <c r="H308" s="64">
        <v>8</v>
      </c>
      <c r="I308" s="22" t="s">
        <v>1037</v>
      </c>
      <c r="J308" s="22" t="s">
        <v>1038</v>
      </c>
      <c r="K308" s="34"/>
    </row>
    <row r="309" spans="1:11" x14ac:dyDescent="0.3">
      <c r="A309" s="22" t="s">
        <v>174</v>
      </c>
      <c r="B309" s="22" t="s">
        <v>1151</v>
      </c>
      <c r="C309" s="22" t="s">
        <v>176</v>
      </c>
      <c r="D309" s="23"/>
      <c r="E309" s="22" t="s">
        <v>1256</v>
      </c>
      <c r="F309" s="29">
        <v>15</v>
      </c>
      <c r="G309" s="22"/>
      <c r="H309" s="64">
        <v>8</v>
      </c>
      <c r="I309" s="22" t="s">
        <v>1257</v>
      </c>
      <c r="J309" s="22" t="s">
        <v>1038</v>
      </c>
      <c r="K309" s="34"/>
    </row>
    <row r="310" spans="1:11" x14ac:dyDescent="0.3">
      <c r="A310" s="22" t="s">
        <v>174</v>
      </c>
      <c r="B310" s="22" t="s">
        <v>1332</v>
      </c>
      <c r="C310" s="22" t="s">
        <v>176</v>
      </c>
      <c r="D310" s="23"/>
      <c r="E310" s="22" t="s">
        <v>1449</v>
      </c>
      <c r="F310" s="29">
        <v>15</v>
      </c>
      <c r="G310" s="22"/>
      <c r="H310" s="64">
        <v>8</v>
      </c>
      <c r="I310" s="22" t="s">
        <v>1450</v>
      </c>
      <c r="J310" s="22" t="s">
        <v>1038</v>
      </c>
      <c r="K310" s="34"/>
    </row>
    <row r="311" spans="1:11" x14ac:dyDescent="0.3">
      <c r="A311" s="22" t="s">
        <v>174</v>
      </c>
      <c r="B311" s="22" t="s">
        <v>1498</v>
      </c>
      <c r="C311" s="22" t="s">
        <v>176</v>
      </c>
      <c r="D311" s="23"/>
      <c r="E311" s="22" t="s">
        <v>1545</v>
      </c>
      <c r="F311" s="29">
        <v>15</v>
      </c>
      <c r="G311" s="22"/>
      <c r="H311" s="64">
        <v>8</v>
      </c>
      <c r="I311" s="22" t="s">
        <v>1546</v>
      </c>
      <c r="J311" s="22" t="s">
        <v>1547</v>
      </c>
      <c r="K311" s="34"/>
    </row>
    <row r="312" spans="1:11" x14ac:dyDescent="0.3">
      <c r="A312" s="22" t="s">
        <v>174</v>
      </c>
      <c r="B312" s="22" t="s">
        <v>1617</v>
      </c>
      <c r="C312" s="22" t="s">
        <v>176</v>
      </c>
      <c r="D312" s="23"/>
      <c r="E312" s="22" t="s">
        <v>1701</v>
      </c>
      <c r="F312" s="29">
        <v>15</v>
      </c>
      <c r="G312" s="22"/>
      <c r="H312" s="64">
        <v>8</v>
      </c>
      <c r="I312" s="22" t="s">
        <v>1702</v>
      </c>
      <c r="J312" s="22" t="s">
        <v>1703</v>
      </c>
      <c r="K312" s="34"/>
    </row>
    <row r="313" spans="1:11" x14ac:dyDescent="0.3">
      <c r="A313" s="22" t="s">
        <v>174</v>
      </c>
      <c r="B313" s="22" t="s">
        <v>1762</v>
      </c>
      <c r="C313" s="22" t="s">
        <v>176</v>
      </c>
      <c r="D313" s="23"/>
      <c r="E313" s="22" t="s">
        <v>1850</v>
      </c>
      <c r="F313" s="29">
        <v>15</v>
      </c>
      <c r="G313" s="22"/>
      <c r="H313" s="22">
        <v>8</v>
      </c>
      <c r="I313" s="22" t="s">
        <v>1851</v>
      </c>
      <c r="J313" s="22" t="s">
        <v>1852</v>
      </c>
      <c r="K313" s="34"/>
    </row>
    <row r="314" spans="1:11" x14ac:dyDescent="0.3">
      <c r="A314" s="29" t="s">
        <v>174</v>
      </c>
      <c r="B314" s="29" t="s">
        <v>175</v>
      </c>
      <c r="C314" s="29" t="s">
        <v>176</v>
      </c>
      <c r="D314" s="29"/>
      <c r="E314" s="29" t="s">
        <v>338</v>
      </c>
      <c r="F314" s="29">
        <v>16</v>
      </c>
      <c r="G314" s="29"/>
      <c r="H314" s="29">
        <v>9</v>
      </c>
      <c r="I314" s="22" t="s">
        <v>339</v>
      </c>
      <c r="J314" s="22" t="s">
        <v>340</v>
      </c>
      <c r="K314" s="34"/>
    </row>
    <row r="315" spans="1:11" x14ac:dyDescent="0.3">
      <c r="A315" s="64" t="s">
        <v>174</v>
      </c>
      <c r="B315" s="64" t="s">
        <v>530</v>
      </c>
      <c r="C315" s="64" t="s">
        <v>176</v>
      </c>
      <c r="D315" s="64" t="s">
        <v>531</v>
      </c>
      <c r="E315" s="64" t="s">
        <v>642</v>
      </c>
      <c r="F315" s="29">
        <v>16</v>
      </c>
      <c r="G315" s="64"/>
      <c r="H315" s="64">
        <v>9</v>
      </c>
      <c r="I315" s="22" t="s">
        <v>643</v>
      </c>
      <c r="J315" s="22" t="s">
        <v>644</v>
      </c>
      <c r="K315" s="34"/>
    </row>
    <row r="316" spans="1:11" x14ac:dyDescent="0.3">
      <c r="A316" s="22" t="s">
        <v>174</v>
      </c>
      <c r="B316" s="22" t="s">
        <v>753</v>
      </c>
      <c r="C316" s="22" t="s">
        <v>176</v>
      </c>
      <c r="D316" s="23"/>
      <c r="E316" s="23" t="s">
        <v>861</v>
      </c>
      <c r="F316" s="29">
        <v>16</v>
      </c>
      <c r="G316" s="23"/>
      <c r="H316" s="64">
        <v>9</v>
      </c>
      <c r="I316" s="22" t="s">
        <v>862</v>
      </c>
      <c r="J316" s="22" t="s">
        <v>863</v>
      </c>
      <c r="K316" s="34"/>
    </row>
    <row r="317" spans="1:11" x14ac:dyDescent="0.3">
      <c r="A317" s="22" t="s">
        <v>174</v>
      </c>
      <c r="B317" s="22" t="s">
        <v>942</v>
      </c>
      <c r="C317" s="22" t="s">
        <v>176</v>
      </c>
      <c r="D317" s="23"/>
      <c r="E317" s="22" t="s">
        <v>1039</v>
      </c>
      <c r="F317" s="29">
        <v>16</v>
      </c>
      <c r="G317" s="22"/>
      <c r="H317" s="64">
        <v>9</v>
      </c>
      <c r="I317" s="22" t="s">
        <v>1040</v>
      </c>
      <c r="J317" s="22" t="s">
        <v>1041</v>
      </c>
      <c r="K317" s="34"/>
    </row>
    <row r="318" spans="1:11" x14ac:dyDescent="0.3">
      <c r="A318" s="22" t="s">
        <v>174</v>
      </c>
      <c r="B318" s="22" t="s">
        <v>1151</v>
      </c>
      <c r="C318" s="22" t="s">
        <v>176</v>
      </c>
      <c r="D318" s="23"/>
      <c r="E318" s="22" t="s">
        <v>1258</v>
      </c>
      <c r="F318" s="29">
        <v>16</v>
      </c>
      <c r="G318" s="22"/>
      <c r="H318" s="64">
        <v>9</v>
      </c>
      <c r="I318" s="22" t="s">
        <v>1259</v>
      </c>
      <c r="J318" s="22" t="s">
        <v>1041</v>
      </c>
      <c r="K318" s="34"/>
    </row>
    <row r="319" spans="1:11" x14ac:dyDescent="0.3">
      <c r="A319" s="22" t="s">
        <v>174</v>
      </c>
      <c r="B319" s="22" t="s">
        <v>1332</v>
      </c>
      <c r="C319" s="22" t="s">
        <v>176</v>
      </c>
      <c r="D319" s="23"/>
      <c r="E319" s="22" t="s">
        <v>1451</v>
      </c>
      <c r="F319" s="29">
        <v>16</v>
      </c>
      <c r="G319" s="22"/>
      <c r="H319" s="64">
        <v>9</v>
      </c>
      <c r="I319" s="22" t="s">
        <v>1452</v>
      </c>
      <c r="J319" s="22" t="s">
        <v>1041</v>
      </c>
      <c r="K319" s="34"/>
    </row>
    <row r="320" spans="1:11" x14ac:dyDescent="0.3">
      <c r="A320" s="22" t="s">
        <v>174</v>
      </c>
      <c r="B320" s="22" t="s">
        <v>1498</v>
      </c>
      <c r="C320" s="22" t="s">
        <v>176</v>
      </c>
      <c r="D320" s="23"/>
      <c r="E320" s="22" t="s">
        <v>1548</v>
      </c>
      <c r="F320" s="29">
        <v>16</v>
      </c>
      <c r="G320" s="22"/>
      <c r="H320" s="64">
        <v>9</v>
      </c>
      <c r="I320" s="22" t="s">
        <v>1549</v>
      </c>
      <c r="J320" s="22" t="s">
        <v>1550</v>
      </c>
      <c r="K320" s="34"/>
    </row>
    <row r="321" spans="1:11" x14ac:dyDescent="0.3">
      <c r="A321" s="22" t="s">
        <v>174</v>
      </c>
      <c r="B321" s="22" t="s">
        <v>1617</v>
      </c>
      <c r="C321" s="22" t="s">
        <v>176</v>
      </c>
      <c r="D321" s="23"/>
      <c r="E321" s="22" t="s">
        <v>1704</v>
      </c>
      <c r="F321" s="29">
        <v>16</v>
      </c>
      <c r="G321" s="22"/>
      <c r="H321" s="64">
        <v>9</v>
      </c>
      <c r="I321" s="22" t="s">
        <v>1705</v>
      </c>
      <c r="J321" s="22" t="s">
        <v>929</v>
      </c>
      <c r="K321" s="34"/>
    </row>
    <row r="322" spans="1:11" x14ac:dyDescent="0.3">
      <c r="A322" s="22" t="s">
        <v>174</v>
      </c>
      <c r="B322" s="22" t="s">
        <v>1762</v>
      </c>
      <c r="C322" s="22" t="s">
        <v>176</v>
      </c>
      <c r="D322" s="23"/>
      <c r="E322" s="22" t="s">
        <v>1853</v>
      </c>
      <c r="F322" s="29">
        <v>16</v>
      </c>
      <c r="G322" s="22"/>
      <c r="H322" s="22">
        <v>9</v>
      </c>
      <c r="I322" s="22" t="s">
        <v>1854</v>
      </c>
      <c r="J322" s="22" t="s">
        <v>1855</v>
      </c>
      <c r="K322" s="34"/>
    </row>
    <row r="323" spans="1:11" x14ac:dyDescent="0.3">
      <c r="A323" s="29" t="s">
        <v>174</v>
      </c>
      <c r="B323" s="29" t="s">
        <v>175</v>
      </c>
      <c r="C323" s="29" t="s">
        <v>176</v>
      </c>
      <c r="D323" s="29"/>
      <c r="E323" s="29" t="s">
        <v>341</v>
      </c>
      <c r="F323" s="29">
        <v>17</v>
      </c>
      <c r="G323" s="29"/>
      <c r="H323" s="29">
        <v>10</v>
      </c>
      <c r="I323" s="22" t="s">
        <v>342</v>
      </c>
      <c r="J323" s="22" t="s">
        <v>343</v>
      </c>
      <c r="K323" s="34"/>
    </row>
    <row r="324" spans="1:11" x14ac:dyDescent="0.3">
      <c r="A324" s="64" t="s">
        <v>174</v>
      </c>
      <c r="B324" s="64" t="s">
        <v>530</v>
      </c>
      <c r="C324" s="64" t="s">
        <v>176</v>
      </c>
      <c r="D324" s="64" t="s">
        <v>531</v>
      </c>
      <c r="E324" s="64" t="s">
        <v>645</v>
      </c>
      <c r="F324" s="29">
        <v>17</v>
      </c>
      <c r="G324" s="64"/>
      <c r="H324" s="64">
        <v>10</v>
      </c>
      <c r="I324" s="22" t="s">
        <v>646</v>
      </c>
      <c r="J324" s="22" t="s">
        <v>647</v>
      </c>
      <c r="K324" s="34"/>
    </row>
    <row r="325" spans="1:11" x14ac:dyDescent="0.3">
      <c r="A325" s="22" t="s">
        <v>174</v>
      </c>
      <c r="B325" s="22" t="s">
        <v>753</v>
      </c>
      <c r="C325" s="22" t="s">
        <v>176</v>
      </c>
      <c r="D325" s="23"/>
      <c r="E325" s="23" t="s">
        <v>864</v>
      </c>
      <c r="F325" s="29">
        <v>17</v>
      </c>
      <c r="G325" s="23"/>
      <c r="H325" s="64">
        <v>10</v>
      </c>
      <c r="I325" s="22" t="s">
        <v>865</v>
      </c>
      <c r="J325" s="22" t="s">
        <v>866</v>
      </c>
      <c r="K325" s="34"/>
    </row>
    <row r="326" spans="1:11" x14ac:dyDescent="0.3">
      <c r="A326" s="22" t="s">
        <v>174</v>
      </c>
      <c r="B326" s="22" t="s">
        <v>942</v>
      </c>
      <c r="C326" s="22" t="s">
        <v>176</v>
      </c>
      <c r="D326" s="23"/>
      <c r="E326" s="22" t="s">
        <v>1042</v>
      </c>
      <c r="F326" s="29">
        <v>17</v>
      </c>
      <c r="G326" s="22"/>
      <c r="H326" s="64">
        <v>10</v>
      </c>
      <c r="I326" s="22" t="s">
        <v>1043</v>
      </c>
      <c r="J326" s="22" t="s">
        <v>1044</v>
      </c>
      <c r="K326" s="34"/>
    </row>
    <row r="327" spans="1:11" x14ac:dyDescent="0.3">
      <c r="A327" s="22" t="s">
        <v>174</v>
      </c>
      <c r="B327" s="22" t="s">
        <v>1151</v>
      </c>
      <c r="C327" s="22" t="s">
        <v>176</v>
      </c>
      <c r="D327" s="23"/>
      <c r="E327" s="22" t="s">
        <v>1260</v>
      </c>
      <c r="F327" s="29">
        <v>17</v>
      </c>
      <c r="G327" s="22"/>
      <c r="H327" s="64">
        <v>10</v>
      </c>
      <c r="I327" s="22" t="s">
        <v>1261</v>
      </c>
      <c r="J327" s="22" t="s">
        <v>1044</v>
      </c>
      <c r="K327" s="34"/>
    </row>
    <row r="328" spans="1:11" x14ac:dyDescent="0.3">
      <c r="A328" s="22" t="s">
        <v>174</v>
      </c>
      <c r="B328" s="22" t="s">
        <v>1332</v>
      </c>
      <c r="C328" s="22" t="s">
        <v>176</v>
      </c>
      <c r="D328" s="23"/>
      <c r="E328" s="22" t="s">
        <v>1453</v>
      </c>
      <c r="F328" s="29">
        <v>17</v>
      </c>
      <c r="G328" s="22"/>
      <c r="H328" s="64">
        <v>10</v>
      </c>
      <c r="I328" s="22" t="s">
        <v>1454</v>
      </c>
      <c r="J328" s="22" t="s">
        <v>1044</v>
      </c>
      <c r="K328" s="34"/>
    </row>
    <row r="329" spans="1:11" x14ac:dyDescent="0.3">
      <c r="A329" s="22" t="s">
        <v>174</v>
      </c>
      <c r="B329" s="22" t="s">
        <v>1498</v>
      </c>
      <c r="C329" s="22" t="s">
        <v>176</v>
      </c>
      <c r="D329" s="23"/>
      <c r="E329" s="22" t="s">
        <v>1551</v>
      </c>
      <c r="F329" s="29">
        <v>17</v>
      </c>
      <c r="G329" s="22"/>
      <c r="H329" s="64">
        <v>10</v>
      </c>
      <c r="I329" s="22" t="s">
        <v>1552</v>
      </c>
      <c r="J329" s="22" t="s">
        <v>606</v>
      </c>
      <c r="K329" s="34"/>
    </row>
    <row r="330" spans="1:11" x14ac:dyDescent="0.3">
      <c r="A330" s="22" t="s">
        <v>174</v>
      </c>
      <c r="B330" s="22" t="s">
        <v>1617</v>
      </c>
      <c r="C330" s="22" t="s">
        <v>176</v>
      </c>
      <c r="D330" s="23"/>
      <c r="E330" s="22" t="s">
        <v>1706</v>
      </c>
      <c r="F330" s="29">
        <v>17</v>
      </c>
      <c r="G330" s="22"/>
      <c r="H330" s="64">
        <v>10</v>
      </c>
      <c r="I330" s="22" t="s">
        <v>1707</v>
      </c>
      <c r="J330" s="22" t="s">
        <v>1708</v>
      </c>
      <c r="K330" s="34"/>
    </row>
    <row r="331" spans="1:11" x14ac:dyDescent="0.3">
      <c r="A331" s="22" t="s">
        <v>174</v>
      </c>
      <c r="B331" s="22" t="s">
        <v>1762</v>
      </c>
      <c r="C331" s="22" t="s">
        <v>176</v>
      </c>
      <c r="D331" s="23"/>
      <c r="E331" s="22" t="s">
        <v>1856</v>
      </c>
      <c r="F331" s="29">
        <v>17</v>
      </c>
      <c r="G331" s="22"/>
      <c r="H331" s="22">
        <v>10</v>
      </c>
      <c r="I331" s="22" t="s">
        <v>1857</v>
      </c>
      <c r="J331" s="22" t="s">
        <v>1858</v>
      </c>
      <c r="K331" s="34"/>
    </row>
    <row r="332" spans="1:11" x14ac:dyDescent="0.3">
      <c r="A332" s="29" t="s">
        <v>174</v>
      </c>
      <c r="B332" s="29" t="s">
        <v>175</v>
      </c>
      <c r="C332" s="29" t="s">
        <v>176</v>
      </c>
      <c r="D332" s="29"/>
      <c r="E332" s="29" t="s">
        <v>362</v>
      </c>
      <c r="F332" s="29">
        <v>18</v>
      </c>
      <c r="G332" s="29"/>
      <c r="H332" s="29">
        <v>11</v>
      </c>
      <c r="I332" s="22" t="s">
        <v>363</v>
      </c>
      <c r="J332" s="22" t="s">
        <v>364</v>
      </c>
      <c r="K332" s="34"/>
    </row>
    <row r="333" spans="1:11" x14ac:dyDescent="0.3">
      <c r="A333" s="64" t="s">
        <v>174</v>
      </c>
      <c r="B333" s="64" t="s">
        <v>530</v>
      </c>
      <c r="C333" s="64" t="s">
        <v>176</v>
      </c>
      <c r="D333" s="64" t="s">
        <v>531</v>
      </c>
      <c r="E333" s="64" t="s">
        <v>666</v>
      </c>
      <c r="F333" s="29">
        <v>18</v>
      </c>
      <c r="G333" s="64"/>
      <c r="H333" s="64">
        <v>11</v>
      </c>
      <c r="I333" s="22" t="s">
        <v>667</v>
      </c>
      <c r="J333" s="22" t="s">
        <v>668</v>
      </c>
      <c r="K333" s="34"/>
    </row>
    <row r="334" spans="1:11" x14ac:dyDescent="0.3">
      <c r="A334" s="22" t="s">
        <v>174</v>
      </c>
      <c r="B334" s="22" t="s">
        <v>753</v>
      </c>
      <c r="C334" s="22" t="s">
        <v>176</v>
      </c>
      <c r="D334" s="23"/>
      <c r="E334" s="23" t="s">
        <v>883</v>
      </c>
      <c r="F334" s="29">
        <v>18</v>
      </c>
      <c r="G334" s="23"/>
      <c r="H334" s="64">
        <v>11</v>
      </c>
      <c r="I334" s="22" t="s">
        <v>884</v>
      </c>
      <c r="J334" s="22" t="s">
        <v>885</v>
      </c>
      <c r="K334" s="34"/>
    </row>
    <row r="335" spans="1:11" x14ac:dyDescent="0.3">
      <c r="A335" s="22" t="s">
        <v>174</v>
      </c>
      <c r="B335" s="22" t="s">
        <v>942</v>
      </c>
      <c r="C335" s="22" t="s">
        <v>176</v>
      </c>
      <c r="D335" s="23"/>
      <c r="E335" s="22" t="s">
        <v>1057</v>
      </c>
      <c r="F335" s="29">
        <v>18</v>
      </c>
      <c r="G335" s="22"/>
      <c r="H335" s="64">
        <v>11</v>
      </c>
      <c r="I335" s="22" t="s">
        <v>1058</v>
      </c>
      <c r="J335" s="22" t="s">
        <v>885</v>
      </c>
      <c r="K335" s="34"/>
    </row>
    <row r="336" spans="1:11" x14ac:dyDescent="0.3">
      <c r="A336" s="22" t="s">
        <v>174</v>
      </c>
      <c r="B336" s="22" t="s">
        <v>1151</v>
      </c>
      <c r="C336" s="22" t="s">
        <v>176</v>
      </c>
      <c r="D336" s="23"/>
      <c r="E336" s="22" t="s">
        <v>1274</v>
      </c>
      <c r="F336" s="29">
        <v>18</v>
      </c>
      <c r="G336" s="22"/>
      <c r="H336" s="64">
        <v>11</v>
      </c>
      <c r="I336" s="22" t="s">
        <v>1275</v>
      </c>
      <c r="J336" s="22" t="s">
        <v>1276</v>
      </c>
      <c r="K336" s="34"/>
    </row>
    <row r="337" spans="1:11" x14ac:dyDescent="0.3">
      <c r="A337" s="22" t="s">
        <v>174</v>
      </c>
      <c r="B337" s="22" t="s">
        <v>1332</v>
      </c>
      <c r="C337" s="22" t="s">
        <v>176</v>
      </c>
      <c r="D337" s="23"/>
      <c r="E337" s="22" t="s">
        <v>1461</v>
      </c>
      <c r="F337" s="29">
        <v>18</v>
      </c>
      <c r="G337" s="22"/>
      <c r="H337" s="64">
        <v>11</v>
      </c>
      <c r="I337" s="22" t="s">
        <v>1275</v>
      </c>
      <c r="J337" s="22" t="s">
        <v>1276</v>
      </c>
      <c r="K337" s="34"/>
    </row>
    <row r="338" spans="1:11" x14ac:dyDescent="0.3">
      <c r="A338" s="22" t="s">
        <v>174</v>
      </c>
      <c r="B338" s="22" t="s">
        <v>1498</v>
      </c>
      <c r="C338" s="22" t="s">
        <v>176</v>
      </c>
      <c r="D338" s="23"/>
      <c r="E338" s="22" t="s">
        <v>1569</v>
      </c>
      <c r="F338" s="29">
        <v>18</v>
      </c>
      <c r="G338" s="22"/>
      <c r="H338" s="64">
        <v>11</v>
      </c>
      <c r="I338" s="22" t="s">
        <v>1570</v>
      </c>
      <c r="J338" s="22" t="s">
        <v>1571</v>
      </c>
      <c r="K338" s="34"/>
    </row>
    <row r="339" spans="1:11" x14ac:dyDescent="0.3">
      <c r="A339" s="22" t="s">
        <v>174</v>
      </c>
      <c r="B339" s="22" t="s">
        <v>1617</v>
      </c>
      <c r="C339" s="22" t="s">
        <v>176</v>
      </c>
      <c r="D339" s="23"/>
      <c r="E339" s="22" t="s">
        <v>1721</v>
      </c>
      <c r="F339" s="29">
        <v>18</v>
      </c>
      <c r="G339" s="22"/>
      <c r="H339" s="64">
        <v>11</v>
      </c>
      <c r="I339" s="22" t="s">
        <v>1722</v>
      </c>
      <c r="J339" s="22" t="s">
        <v>885</v>
      </c>
      <c r="K339" s="34"/>
    </row>
    <row r="340" spans="1:11" x14ac:dyDescent="0.3">
      <c r="A340" s="22" t="s">
        <v>174</v>
      </c>
      <c r="B340" s="22" t="s">
        <v>1762</v>
      </c>
      <c r="C340" s="22" t="s">
        <v>176</v>
      </c>
      <c r="D340" s="23"/>
      <c r="E340" s="22" t="s">
        <v>1865</v>
      </c>
      <c r="F340" s="29">
        <v>18</v>
      </c>
      <c r="G340" s="22"/>
      <c r="H340" s="22">
        <v>11</v>
      </c>
      <c r="I340" s="22" t="s">
        <v>1722</v>
      </c>
      <c r="J340" s="22" t="s">
        <v>885</v>
      </c>
      <c r="K340" s="34"/>
    </row>
    <row r="341" spans="1:11" x14ac:dyDescent="0.3">
      <c r="A341" s="29" t="s">
        <v>174</v>
      </c>
      <c r="B341" s="29" t="s">
        <v>175</v>
      </c>
      <c r="C341" s="29" t="s">
        <v>176</v>
      </c>
      <c r="D341" s="29"/>
      <c r="E341" s="29" t="s">
        <v>365</v>
      </c>
      <c r="F341" s="29">
        <v>19</v>
      </c>
      <c r="G341" s="29"/>
      <c r="H341" s="29">
        <v>12</v>
      </c>
      <c r="I341" s="22" t="s">
        <v>366</v>
      </c>
      <c r="J341" s="22" t="s">
        <v>367</v>
      </c>
      <c r="K341" s="34"/>
    </row>
    <row r="342" spans="1:11" x14ac:dyDescent="0.3">
      <c r="A342" s="64" t="s">
        <v>174</v>
      </c>
      <c r="B342" s="64" t="s">
        <v>530</v>
      </c>
      <c r="C342" s="64" t="s">
        <v>176</v>
      </c>
      <c r="D342" s="64" t="s">
        <v>531</v>
      </c>
      <c r="E342" s="64" t="s">
        <v>669</v>
      </c>
      <c r="F342" s="29">
        <v>19</v>
      </c>
      <c r="G342" s="64"/>
      <c r="H342" s="64">
        <v>12</v>
      </c>
      <c r="I342" s="22" t="s">
        <v>670</v>
      </c>
      <c r="J342" s="22" t="s">
        <v>671</v>
      </c>
      <c r="K342" s="34"/>
    </row>
    <row r="343" spans="1:11" x14ac:dyDescent="0.3">
      <c r="A343" s="22" t="s">
        <v>174</v>
      </c>
      <c r="B343" s="22" t="s">
        <v>753</v>
      </c>
      <c r="C343" s="22" t="s">
        <v>176</v>
      </c>
      <c r="D343" s="23"/>
      <c r="E343" s="23" t="s">
        <v>886</v>
      </c>
      <c r="F343" s="29">
        <v>19</v>
      </c>
      <c r="G343" s="23"/>
      <c r="H343" s="64">
        <v>12</v>
      </c>
      <c r="I343" s="22" t="s">
        <v>887</v>
      </c>
      <c r="J343" s="22" t="s">
        <v>888</v>
      </c>
      <c r="K343" s="34"/>
    </row>
    <row r="344" spans="1:11" x14ac:dyDescent="0.3">
      <c r="A344" s="22" t="s">
        <v>174</v>
      </c>
      <c r="B344" s="22" t="s">
        <v>942</v>
      </c>
      <c r="C344" s="64" t="s">
        <v>90</v>
      </c>
      <c r="D344" s="23"/>
      <c r="E344" s="22" t="s">
        <v>1059</v>
      </c>
      <c r="F344" s="29">
        <v>19</v>
      </c>
      <c r="G344" s="22"/>
      <c r="H344" s="64">
        <v>12</v>
      </c>
      <c r="I344" s="22" t="s">
        <v>1060</v>
      </c>
      <c r="J344" s="22" t="s">
        <v>888</v>
      </c>
      <c r="K344" s="34"/>
    </row>
    <row r="345" spans="1:11" x14ac:dyDescent="0.3">
      <c r="A345" s="22" t="s">
        <v>174</v>
      </c>
      <c r="B345" s="22" t="s">
        <v>1151</v>
      </c>
      <c r="C345" s="22" t="s">
        <v>176</v>
      </c>
      <c r="D345" s="23"/>
      <c r="E345" s="22" t="s">
        <v>1277</v>
      </c>
      <c r="F345" s="29">
        <v>19</v>
      </c>
      <c r="G345" s="22"/>
      <c r="H345" s="64">
        <v>12</v>
      </c>
      <c r="I345" s="22" t="s">
        <v>1278</v>
      </c>
      <c r="J345" s="22" t="s">
        <v>1279</v>
      </c>
      <c r="K345" s="34"/>
    </row>
    <row r="346" spans="1:11" x14ac:dyDescent="0.3">
      <c r="A346" s="22" t="s">
        <v>174</v>
      </c>
      <c r="B346" s="22" t="s">
        <v>1332</v>
      </c>
      <c r="C346" s="64" t="s">
        <v>90</v>
      </c>
      <c r="D346" s="23"/>
      <c r="E346" s="22" t="s">
        <v>1462</v>
      </c>
      <c r="F346" s="29">
        <v>19</v>
      </c>
      <c r="G346" s="22"/>
      <c r="H346" s="64">
        <v>12</v>
      </c>
      <c r="I346" s="22" t="s">
        <v>1463</v>
      </c>
      <c r="J346" s="22" t="s">
        <v>1279</v>
      </c>
      <c r="K346" s="34"/>
    </row>
    <row r="347" spans="1:11" x14ac:dyDescent="0.3">
      <c r="A347" s="22" t="s">
        <v>174</v>
      </c>
      <c r="B347" s="22" t="s">
        <v>1498</v>
      </c>
      <c r="C347" s="64" t="s">
        <v>90</v>
      </c>
      <c r="D347" s="23"/>
      <c r="E347" s="22" t="s">
        <v>1572</v>
      </c>
      <c r="F347" s="29">
        <v>19</v>
      </c>
      <c r="G347" s="22"/>
      <c r="H347" s="64">
        <v>12</v>
      </c>
      <c r="I347" s="22" t="s">
        <v>1573</v>
      </c>
      <c r="J347" s="22" t="s">
        <v>1574</v>
      </c>
      <c r="K347" s="34"/>
    </row>
    <row r="348" spans="1:11" x14ac:dyDescent="0.3">
      <c r="A348" s="22" t="s">
        <v>174</v>
      </c>
      <c r="B348" s="22" t="s">
        <v>1617</v>
      </c>
      <c r="C348" s="22" t="s">
        <v>176</v>
      </c>
      <c r="D348" s="23"/>
      <c r="E348" s="22" t="s">
        <v>1723</v>
      </c>
      <c r="F348" s="29">
        <v>19</v>
      </c>
      <c r="G348" s="22"/>
      <c r="H348" s="64">
        <v>12</v>
      </c>
      <c r="I348" s="22" t="s">
        <v>1724</v>
      </c>
      <c r="J348" s="22" t="s">
        <v>888</v>
      </c>
      <c r="K348" s="34"/>
    </row>
    <row r="349" spans="1:11" x14ac:dyDescent="0.3">
      <c r="A349" s="22" t="s">
        <v>174</v>
      </c>
      <c r="B349" s="22" t="s">
        <v>1762</v>
      </c>
      <c r="C349" s="22" t="s">
        <v>176</v>
      </c>
      <c r="D349" s="23"/>
      <c r="E349" s="22" t="s">
        <v>1866</v>
      </c>
      <c r="F349" s="29">
        <v>19</v>
      </c>
      <c r="G349" s="22"/>
      <c r="H349" s="22">
        <v>12</v>
      </c>
      <c r="I349" s="22" t="s">
        <v>1724</v>
      </c>
      <c r="J349" s="22" t="s">
        <v>888</v>
      </c>
      <c r="K349" s="34"/>
    </row>
    <row r="350" spans="1:11" x14ac:dyDescent="0.3">
      <c r="A350" s="29" t="s">
        <v>174</v>
      </c>
      <c r="B350" s="29" t="s">
        <v>175</v>
      </c>
      <c r="C350" s="29" t="s">
        <v>176</v>
      </c>
      <c r="D350" s="29"/>
      <c r="E350" s="29" t="s">
        <v>368</v>
      </c>
      <c r="F350" s="29">
        <v>20</v>
      </c>
      <c r="G350" s="29"/>
      <c r="H350" s="29">
        <v>13</v>
      </c>
      <c r="I350" s="22" t="s">
        <v>369</v>
      </c>
      <c r="J350" s="22" t="s">
        <v>370</v>
      </c>
      <c r="K350" s="34"/>
    </row>
    <row r="351" spans="1:11" x14ac:dyDescent="0.3">
      <c r="A351" s="64" t="s">
        <v>174</v>
      </c>
      <c r="B351" s="64" t="s">
        <v>530</v>
      </c>
      <c r="C351" s="64" t="s">
        <v>176</v>
      </c>
      <c r="D351" s="64" t="s">
        <v>531</v>
      </c>
      <c r="E351" s="64" t="s">
        <v>672</v>
      </c>
      <c r="F351" s="29">
        <v>20</v>
      </c>
      <c r="G351" s="64"/>
      <c r="H351" s="64">
        <v>13</v>
      </c>
      <c r="I351" s="22" t="s">
        <v>673</v>
      </c>
      <c r="J351" s="22" t="s">
        <v>674</v>
      </c>
      <c r="K351" s="34"/>
    </row>
    <row r="352" spans="1:11" x14ac:dyDescent="0.3">
      <c r="A352" s="22" t="s">
        <v>174</v>
      </c>
      <c r="B352" s="22" t="s">
        <v>753</v>
      </c>
      <c r="C352" s="22" t="s">
        <v>176</v>
      </c>
      <c r="D352" s="23"/>
      <c r="E352" s="23" t="s">
        <v>889</v>
      </c>
      <c r="F352" s="29">
        <v>20</v>
      </c>
      <c r="G352" s="23"/>
      <c r="H352" s="64">
        <v>13</v>
      </c>
      <c r="I352" s="22" t="s">
        <v>890</v>
      </c>
      <c r="J352" s="22" t="s">
        <v>891</v>
      </c>
      <c r="K352" s="34"/>
    </row>
    <row r="353" spans="1:11" x14ac:dyDescent="0.3">
      <c r="A353" s="22" t="s">
        <v>174</v>
      </c>
      <c r="B353" s="22" t="s">
        <v>942</v>
      </c>
      <c r="C353" s="22" t="s">
        <v>176</v>
      </c>
      <c r="D353" s="23"/>
      <c r="E353" s="22" t="s">
        <v>1061</v>
      </c>
      <c r="F353" s="29">
        <v>20</v>
      </c>
      <c r="G353" s="22"/>
      <c r="H353" s="64">
        <v>13</v>
      </c>
      <c r="I353" s="22" t="s">
        <v>1062</v>
      </c>
      <c r="J353" s="22" t="s">
        <v>891</v>
      </c>
      <c r="K353" s="34"/>
    </row>
    <row r="354" spans="1:11" x14ac:dyDescent="0.3">
      <c r="A354" s="22" t="s">
        <v>174</v>
      </c>
      <c r="B354" s="22" t="s">
        <v>1151</v>
      </c>
      <c r="C354" s="22" t="s">
        <v>176</v>
      </c>
      <c r="D354" s="23"/>
      <c r="E354" s="22" t="s">
        <v>1280</v>
      </c>
      <c r="F354" s="29">
        <v>20</v>
      </c>
      <c r="G354" s="22"/>
      <c r="H354" s="64">
        <v>13</v>
      </c>
      <c r="I354" s="22" t="s">
        <v>1281</v>
      </c>
      <c r="J354" s="22" t="s">
        <v>1282</v>
      </c>
      <c r="K354" s="34"/>
    </row>
    <row r="355" spans="1:11" x14ac:dyDescent="0.3">
      <c r="A355" s="22" t="s">
        <v>174</v>
      </c>
      <c r="B355" s="22" t="s">
        <v>1332</v>
      </c>
      <c r="C355" s="22" t="s">
        <v>176</v>
      </c>
      <c r="D355" s="23"/>
      <c r="E355" s="22" t="s">
        <v>1464</v>
      </c>
      <c r="F355" s="29">
        <v>20</v>
      </c>
      <c r="G355" s="22"/>
      <c r="H355" s="64">
        <v>13</v>
      </c>
      <c r="I355" s="22" t="s">
        <v>1281</v>
      </c>
      <c r="J355" s="22" t="s">
        <v>1282</v>
      </c>
      <c r="K355" s="34"/>
    </row>
    <row r="356" spans="1:11" x14ac:dyDescent="0.3">
      <c r="A356" s="22" t="s">
        <v>174</v>
      </c>
      <c r="B356" s="22" t="s">
        <v>1498</v>
      </c>
      <c r="C356" s="22" t="s">
        <v>176</v>
      </c>
      <c r="D356" s="23"/>
      <c r="E356" s="22" t="s">
        <v>1575</v>
      </c>
      <c r="F356" s="29">
        <v>20</v>
      </c>
      <c r="G356" s="22"/>
      <c r="H356" s="64">
        <v>13</v>
      </c>
      <c r="I356" s="22" t="s">
        <v>1576</v>
      </c>
      <c r="J356" s="22" t="s">
        <v>650</v>
      </c>
      <c r="K356" s="34"/>
    </row>
    <row r="357" spans="1:11" x14ac:dyDescent="0.3">
      <c r="A357" s="22" t="s">
        <v>174</v>
      </c>
      <c r="B357" s="22" t="s">
        <v>1617</v>
      </c>
      <c r="C357" s="22" t="s">
        <v>176</v>
      </c>
      <c r="D357" s="23"/>
      <c r="E357" s="22" t="s">
        <v>1725</v>
      </c>
      <c r="F357" s="29">
        <v>20</v>
      </c>
      <c r="G357" s="22"/>
      <c r="H357" s="64">
        <v>13</v>
      </c>
      <c r="I357" s="22" t="s">
        <v>1726</v>
      </c>
      <c r="J357" s="22" t="s">
        <v>891</v>
      </c>
      <c r="K357" s="34"/>
    </row>
    <row r="358" spans="1:11" x14ac:dyDescent="0.3">
      <c r="A358" s="22" t="s">
        <v>174</v>
      </c>
      <c r="B358" s="22" t="s">
        <v>1762</v>
      </c>
      <c r="C358" s="22" t="s">
        <v>176</v>
      </c>
      <c r="D358" s="23"/>
      <c r="E358" s="22" t="s">
        <v>1867</v>
      </c>
      <c r="F358" s="29">
        <v>20</v>
      </c>
      <c r="G358" s="22"/>
      <c r="H358" s="22">
        <v>13</v>
      </c>
      <c r="I358" s="22" t="s">
        <v>1726</v>
      </c>
      <c r="J358" s="22" t="s">
        <v>891</v>
      </c>
      <c r="K358" s="34"/>
    </row>
    <row r="359" spans="1:11" x14ac:dyDescent="0.3">
      <c r="A359" s="29" t="s">
        <v>174</v>
      </c>
      <c r="B359" s="29" t="s">
        <v>175</v>
      </c>
      <c r="C359" s="29" t="s">
        <v>176</v>
      </c>
      <c r="D359" s="29"/>
      <c r="E359" s="29" t="s">
        <v>371</v>
      </c>
      <c r="F359" s="29">
        <v>21</v>
      </c>
      <c r="G359" s="29"/>
      <c r="H359" s="29">
        <v>14</v>
      </c>
      <c r="I359" s="22" t="s">
        <v>372</v>
      </c>
      <c r="J359" s="22" t="s">
        <v>373</v>
      </c>
      <c r="K359" s="34"/>
    </row>
    <row r="360" spans="1:11" x14ac:dyDescent="0.3">
      <c r="A360" s="64" t="s">
        <v>174</v>
      </c>
      <c r="B360" s="64" t="s">
        <v>530</v>
      </c>
      <c r="C360" s="64" t="s">
        <v>176</v>
      </c>
      <c r="D360" s="64" t="s">
        <v>531</v>
      </c>
      <c r="E360" s="64" t="s">
        <v>675</v>
      </c>
      <c r="F360" s="29">
        <v>21</v>
      </c>
      <c r="G360" s="64"/>
      <c r="H360" s="64">
        <v>14</v>
      </c>
      <c r="I360" s="22" t="s">
        <v>676</v>
      </c>
      <c r="J360" s="22" t="s">
        <v>677</v>
      </c>
      <c r="K360" s="34"/>
    </row>
    <row r="361" spans="1:11" x14ac:dyDescent="0.3">
      <c r="A361" s="22" t="s">
        <v>174</v>
      </c>
      <c r="B361" s="22" t="s">
        <v>753</v>
      </c>
      <c r="C361" s="22" t="s">
        <v>176</v>
      </c>
      <c r="D361" s="23"/>
      <c r="E361" s="23" t="s">
        <v>892</v>
      </c>
      <c r="F361" s="29">
        <v>21</v>
      </c>
      <c r="G361" s="23"/>
      <c r="H361" s="64">
        <v>14</v>
      </c>
      <c r="I361" s="22" t="s">
        <v>893</v>
      </c>
      <c r="J361" s="22" t="s">
        <v>894</v>
      </c>
      <c r="K361" s="34"/>
    </row>
    <row r="362" spans="1:11" x14ac:dyDescent="0.3">
      <c r="A362" s="22" t="s">
        <v>174</v>
      </c>
      <c r="B362" s="22" t="s">
        <v>942</v>
      </c>
      <c r="C362" s="22" t="s">
        <v>176</v>
      </c>
      <c r="D362" s="23"/>
      <c r="E362" s="22" t="s">
        <v>1063</v>
      </c>
      <c r="F362" s="29">
        <v>21</v>
      </c>
      <c r="G362" s="22"/>
      <c r="H362" s="64">
        <v>14</v>
      </c>
      <c r="I362" s="22" t="s">
        <v>1064</v>
      </c>
      <c r="J362" s="22" t="s">
        <v>894</v>
      </c>
      <c r="K362" s="34"/>
    </row>
    <row r="363" spans="1:11" x14ac:dyDescent="0.3">
      <c r="A363" s="22" t="s">
        <v>174</v>
      </c>
      <c r="B363" s="22" t="s">
        <v>1151</v>
      </c>
      <c r="C363" s="22" t="s">
        <v>176</v>
      </c>
      <c r="D363" s="23"/>
      <c r="E363" s="22" t="s">
        <v>1283</v>
      </c>
      <c r="F363" s="29">
        <v>21</v>
      </c>
      <c r="G363" s="22"/>
      <c r="H363" s="64">
        <v>14</v>
      </c>
      <c r="I363" s="22" t="s">
        <v>1284</v>
      </c>
      <c r="J363" s="22" t="s">
        <v>1285</v>
      </c>
      <c r="K363" s="34"/>
    </row>
    <row r="364" spans="1:11" x14ac:dyDescent="0.3">
      <c r="A364" s="22" t="s">
        <v>174</v>
      </c>
      <c r="B364" s="22" t="s">
        <v>1332</v>
      </c>
      <c r="C364" s="22" t="s">
        <v>176</v>
      </c>
      <c r="D364" s="23"/>
      <c r="E364" s="22" t="s">
        <v>1465</v>
      </c>
      <c r="F364" s="29">
        <v>21</v>
      </c>
      <c r="G364" s="22"/>
      <c r="H364" s="64">
        <v>14</v>
      </c>
      <c r="I364" s="22" t="s">
        <v>1284</v>
      </c>
      <c r="J364" s="22" t="s">
        <v>1285</v>
      </c>
      <c r="K364" s="34"/>
    </row>
    <row r="365" spans="1:11" x14ac:dyDescent="0.3">
      <c r="A365" s="22" t="s">
        <v>174</v>
      </c>
      <c r="B365" s="22" t="s">
        <v>1498</v>
      </c>
      <c r="C365" s="22" t="s">
        <v>176</v>
      </c>
      <c r="D365" s="23"/>
      <c r="E365" s="22" t="s">
        <v>1577</v>
      </c>
      <c r="F365" s="29">
        <v>21</v>
      </c>
      <c r="G365" s="22"/>
      <c r="H365" s="64">
        <v>14</v>
      </c>
      <c r="I365" s="22" t="s">
        <v>1578</v>
      </c>
      <c r="J365" s="22" t="s">
        <v>1579</v>
      </c>
      <c r="K365" s="34"/>
    </row>
    <row r="366" spans="1:11" x14ac:dyDescent="0.3">
      <c r="A366" s="22" t="s">
        <v>174</v>
      </c>
      <c r="B366" s="22" t="s">
        <v>1617</v>
      </c>
      <c r="C366" s="22" t="s">
        <v>176</v>
      </c>
      <c r="D366" s="23"/>
      <c r="E366" s="22" t="s">
        <v>1727</v>
      </c>
      <c r="F366" s="29">
        <v>21</v>
      </c>
      <c r="G366" s="22"/>
      <c r="H366" s="64">
        <v>14</v>
      </c>
      <c r="I366" s="22" t="s">
        <v>1728</v>
      </c>
      <c r="J366" s="22" t="s">
        <v>894</v>
      </c>
      <c r="K366" s="34"/>
    </row>
    <row r="367" spans="1:11" x14ac:dyDescent="0.3">
      <c r="A367" s="22" t="s">
        <v>174</v>
      </c>
      <c r="B367" s="22" t="s">
        <v>1762</v>
      </c>
      <c r="C367" s="22" t="s">
        <v>176</v>
      </c>
      <c r="D367" s="23"/>
      <c r="E367" s="22" t="s">
        <v>1868</v>
      </c>
      <c r="F367" s="29">
        <v>21</v>
      </c>
      <c r="G367" s="22"/>
      <c r="H367" s="22">
        <v>14</v>
      </c>
      <c r="I367" s="22" t="s">
        <v>1728</v>
      </c>
      <c r="J367" s="22" t="s">
        <v>894</v>
      </c>
      <c r="K367" s="34"/>
    </row>
    <row r="368" spans="1:11" x14ac:dyDescent="0.3">
      <c r="A368" s="29" t="s">
        <v>174</v>
      </c>
      <c r="B368" s="29" t="s">
        <v>175</v>
      </c>
      <c r="C368" s="29" t="s">
        <v>176</v>
      </c>
      <c r="D368" s="29"/>
      <c r="E368" s="29" t="s">
        <v>374</v>
      </c>
      <c r="F368" s="29">
        <v>22</v>
      </c>
      <c r="G368" s="29"/>
      <c r="H368" s="29">
        <v>15</v>
      </c>
      <c r="I368" s="22" t="s">
        <v>375</v>
      </c>
      <c r="J368" s="22" t="s">
        <v>376</v>
      </c>
      <c r="K368" s="34"/>
    </row>
    <row r="369" spans="1:11" x14ac:dyDescent="0.3">
      <c r="A369" s="64" t="s">
        <v>174</v>
      </c>
      <c r="B369" s="64" t="s">
        <v>530</v>
      </c>
      <c r="C369" s="64" t="s">
        <v>176</v>
      </c>
      <c r="D369" s="64" t="s">
        <v>531</v>
      </c>
      <c r="E369" s="64" t="s">
        <v>678</v>
      </c>
      <c r="F369" s="29">
        <v>22</v>
      </c>
      <c r="G369" s="64"/>
      <c r="H369" s="64">
        <v>15</v>
      </c>
      <c r="I369" s="22" t="s">
        <v>679</v>
      </c>
      <c r="J369" s="22" t="s">
        <v>680</v>
      </c>
      <c r="K369" s="34"/>
    </row>
    <row r="370" spans="1:11" x14ac:dyDescent="0.3">
      <c r="A370" s="22" t="s">
        <v>174</v>
      </c>
      <c r="B370" s="22" t="s">
        <v>753</v>
      </c>
      <c r="C370" s="22" t="s">
        <v>176</v>
      </c>
      <c r="D370" s="23"/>
      <c r="E370" s="23" t="s">
        <v>895</v>
      </c>
      <c r="F370" s="29">
        <v>22</v>
      </c>
      <c r="G370" s="23"/>
      <c r="H370" s="64">
        <v>15</v>
      </c>
      <c r="I370" s="22" t="s">
        <v>896</v>
      </c>
      <c r="J370" s="22" t="s">
        <v>897</v>
      </c>
      <c r="K370" s="34"/>
    </row>
    <row r="371" spans="1:11" x14ac:dyDescent="0.3">
      <c r="A371" s="22" t="s">
        <v>174</v>
      </c>
      <c r="B371" s="22" t="s">
        <v>942</v>
      </c>
      <c r="C371" s="22" t="s">
        <v>176</v>
      </c>
      <c r="D371" s="23"/>
      <c r="E371" s="22" t="s">
        <v>1065</v>
      </c>
      <c r="F371" s="29">
        <v>22</v>
      </c>
      <c r="G371" s="22"/>
      <c r="H371" s="64">
        <v>15</v>
      </c>
      <c r="I371" s="22" t="s">
        <v>1066</v>
      </c>
      <c r="J371" s="22" t="s">
        <v>897</v>
      </c>
      <c r="K371" s="34"/>
    </row>
    <row r="372" spans="1:11" x14ac:dyDescent="0.3">
      <c r="A372" s="22" t="s">
        <v>174</v>
      </c>
      <c r="B372" s="22" t="s">
        <v>1151</v>
      </c>
      <c r="C372" s="22" t="s">
        <v>176</v>
      </c>
      <c r="D372" s="23"/>
      <c r="E372" s="22" t="s">
        <v>1286</v>
      </c>
      <c r="F372" s="29">
        <v>22</v>
      </c>
      <c r="G372" s="22"/>
      <c r="H372" s="64">
        <v>15</v>
      </c>
      <c r="I372" s="22" t="s">
        <v>1287</v>
      </c>
      <c r="J372" s="22" t="s">
        <v>1288</v>
      </c>
      <c r="K372" s="34"/>
    </row>
    <row r="373" spans="1:11" x14ac:dyDescent="0.3">
      <c r="A373" s="22" t="s">
        <v>174</v>
      </c>
      <c r="B373" s="22" t="s">
        <v>1332</v>
      </c>
      <c r="C373" s="22" t="s">
        <v>176</v>
      </c>
      <c r="D373" s="23"/>
      <c r="E373" s="22" t="s">
        <v>1466</v>
      </c>
      <c r="F373" s="29">
        <v>22</v>
      </c>
      <c r="G373" s="22"/>
      <c r="H373" s="64">
        <v>15</v>
      </c>
      <c r="I373" s="22" t="s">
        <v>1287</v>
      </c>
      <c r="J373" s="22" t="s">
        <v>1288</v>
      </c>
      <c r="K373" s="34"/>
    </row>
    <row r="374" spans="1:11" x14ac:dyDescent="0.3">
      <c r="A374" s="22" t="s">
        <v>174</v>
      </c>
      <c r="B374" s="22" t="s">
        <v>1498</v>
      </c>
      <c r="C374" s="22" t="s">
        <v>176</v>
      </c>
      <c r="D374" s="23"/>
      <c r="E374" s="22" t="s">
        <v>1580</v>
      </c>
      <c r="F374" s="29">
        <v>22</v>
      </c>
      <c r="G374" s="22"/>
      <c r="H374" s="64">
        <v>15</v>
      </c>
      <c r="I374" s="22" t="s">
        <v>1581</v>
      </c>
      <c r="J374" s="22" t="s">
        <v>1582</v>
      </c>
      <c r="K374" s="34"/>
    </row>
    <row r="375" spans="1:11" x14ac:dyDescent="0.3">
      <c r="A375" s="22" t="s">
        <v>174</v>
      </c>
      <c r="B375" s="22" t="s">
        <v>1617</v>
      </c>
      <c r="C375" s="22" t="s">
        <v>176</v>
      </c>
      <c r="D375" s="23"/>
      <c r="E375" s="22" t="s">
        <v>1729</v>
      </c>
      <c r="F375" s="29">
        <v>22</v>
      </c>
      <c r="G375" s="22"/>
      <c r="H375" s="64">
        <v>15</v>
      </c>
      <c r="I375" s="22" t="s">
        <v>1730</v>
      </c>
      <c r="J375" s="22" t="s">
        <v>897</v>
      </c>
      <c r="K375" s="34"/>
    </row>
    <row r="376" spans="1:11" x14ac:dyDescent="0.3">
      <c r="A376" s="22" t="s">
        <v>174</v>
      </c>
      <c r="B376" s="22" t="s">
        <v>1762</v>
      </c>
      <c r="C376" s="22" t="s">
        <v>176</v>
      </c>
      <c r="D376" s="23"/>
      <c r="E376" s="22" t="s">
        <v>1869</v>
      </c>
      <c r="F376" s="29">
        <v>22</v>
      </c>
      <c r="G376" s="22"/>
      <c r="H376" s="22">
        <v>15</v>
      </c>
      <c r="I376" s="22" t="s">
        <v>1730</v>
      </c>
      <c r="J376" s="22" t="s">
        <v>897</v>
      </c>
      <c r="K376" s="34"/>
    </row>
    <row r="377" spans="1:11" x14ac:dyDescent="0.3">
      <c r="A377" s="29" t="s">
        <v>174</v>
      </c>
      <c r="B377" s="29" t="s">
        <v>175</v>
      </c>
      <c r="C377" s="29" t="s">
        <v>176</v>
      </c>
      <c r="D377" s="29"/>
      <c r="E377" s="29" t="s">
        <v>377</v>
      </c>
      <c r="F377" s="29">
        <v>23</v>
      </c>
      <c r="G377" s="29"/>
      <c r="H377" s="29">
        <v>16</v>
      </c>
      <c r="I377" s="22" t="s">
        <v>378</v>
      </c>
      <c r="J377" s="22" t="s">
        <v>379</v>
      </c>
      <c r="K377" s="34"/>
    </row>
    <row r="378" spans="1:11" x14ac:dyDescent="0.3">
      <c r="A378" s="64" t="s">
        <v>174</v>
      </c>
      <c r="B378" s="64" t="s">
        <v>530</v>
      </c>
      <c r="C378" s="64" t="s">
        <v>176</v>
      </c>
      <c r="D378" s="64" t="s">
        <v>531</v>
      </c>
      <c r="E378" s="64" t="s">
        <v>681</v>
      </c>
      <c r="F378" s="29">
        <v>23</v>
      </c>
      <c r="G378" s="64"/>
      <c r="H378" s="64">
        <v>16</v>
      </c>
      <c r="I378" s="22" t="s">
        <v>682</v>
      </c>
      <c r="J378" s="22" t="s">
        <v>683</v>
      </c>
      <c r="K378" s="34"/>
    </row>
    <row r="379" spans="1:11" x14ac:dyDescent="0.3">
      <c r="A379" s="22" t="s">
        <v>174</v>
      </c>
      <c r="B379" s="22" t="s">
        <v>753</v>
      </c>
      <c r="C379" s="22" t="s">
        <v>176</v>
      </c>
      <c r="D379" s="23"/>
      <c r="E379" s="23" t="s">
        <v>898</v>
      </c>
      <c r="F379" s="29">
        <v>23</v>
      </c>
      <c r="G379" s="23"/>
      <c r="H379" s="64">
        <v>16</v>
      </c>
      <c r="I379" s="22" t="s">
        <v>899</v>
      </c>
      <c r="J379" s="22" t="s">
        <v>900</v>
      </c>
      <c r="K379" s="34"/>
    </row>
    <row r="380" spans="1:11" x14ac:dyDescent="0.3">
      <c r="A380" s="22" t="s">
        <v>174</v>
      </c>
      <c r="B380" s="22" t="s">
        <v>942</v>
      </c>
      <c r="C380" s="22" t="s">
        <v>176</v>
      </c>
      <c r="D380" s="23"/>
      <c r="E380" s="22" t="s">
        <v>1067</v>
      </c>
      <c r="F380" s="29">
        <v>23</v>
      </c>
      <c r="G380" s="22"/>
      <c r="H380" s="64">
        <v>16</v>
      </c>
      <c r="I380" s="22" t="s">
        <v>1068</v>
      </c>
      <c r="J380" s="22" t="s">
        <v>900</v>
      </c>
      <c r="K380" s="34"/>
    </row>
    <row r="381" spans="1:11" x14ac:dyDescent="0.3">
      <c r="A381" s="22" t="s">
        <v>174</v>
      </c>
      <c r="B381" s="22" t="s">
        <v>1151</v>
      </c>
      <c r="C381" s="22" t="s">
        <v>176</v>
      </c>
      <c r="D381" s="23"/>
      <c r="E381" s="22" t="s">
        <v>1289</v>
      </c>
      <c r="F381" s="29">
        <v>23</v>
      </c>
      <c r="G381" s="22"/>
      <c r="H381" s="64">
        <v>16</v>
      </c>
      <c r="I381" s="22" t="s">
        <v>1290</v>
      </c>
      <c r="J381" s="22" t="s">
        <v>1291</v>
      </c>
      <c r="K381" s="34"/>
    </row>
    <row r="382" spans="1:11" x14ac:dyDescent="0.3">
      <c r="A382" s="22" t="s">
        <v>174</v>
      </c>
      <c r="B382" s="22" t="s">
        <v>1332</v>
      </c>
      <c r="C382" s="22" t="s">
        <v>176</v>
      </c>
      <c r="D382" s="23"/>
      <c r="E382" s="22" t="s">
        <v>1467</v>
      </c>
      <c r="F382" s="29">
        <v>23</v>
      </c>
      <c r="G382" s="22"/>
      <c r="H382" s="64">
        <v>16</v>
      </c>
      <c r="I382" s="22" t="s">
        <v>1290</v>
      </c>
      <c r="J382" s="22" t="s">
        <v>1291</v>
      </c>
      <c r="K382" s="34"/>
    </row>
    <row r="383" spans="1:11" x14ac:dyDescent="0.3">
      <c r="A383" s="22" t="s">
        <v>174</v>
      </c>
      <c r="B383" s="22" t="s">
        <v>1498</v>
      </c>
      <c r="C383" s="22" t="s">
        <v>176</v>
      </c>
      <c r="D383" s="23"/>
      <c r="E383" s="22" t="s">
        <v>1583</v>
      </c>
      <c r="F383" s="29">
        <v>23</v>
      </c>
      <c r="G383" s="22"/>
      <c r="H383" s="64">
        <v>16</v>
      </c>
      <c r="I383" s="22" t="s">
        <v>1584</v>
      </c>
      <c r="J383" s="22" t="s">
        <v>1585</v>
      </c>
      <c r="K383" s="34"/>
    </row>
    <row r="384" spans="1:11" x14ac:dyDescent="0.3">
      <c r="A384" s="22" t="s">
        <v>174</v>
      </c>
      <c r="B384" s="22" t="s">
        <v>1617</v>
      </c>
      <c r="C384" s="22" t="s">
        <v>176</v>
      </c>
      <c r="D384" s="23"/>
      <c r="E384" s="22" t="s">
        <v>1731</v>
      </c>
      <c r="F384" s="29">
        <v>23</v>
      </c>
      <c r="G384" s="22"/>
      <c r="H384" s="64">
        <v>16</v>
      </c>
      <c r="I384" s="22" t="s">
        <v>1732</v>
      </c>
      <c r="J384" s="22" t="s">
        <v>900</v>
      </c>
      <c r="K384" s="34"/>
    </row>
    <row r="385" spans="1:11" x14ac:dyDescent="0.3">
      <c r="A385" s="22" t="s">
        <v>174</v>
      </c>
      <c r="B385" s="22" t="s">
        <v>1762</v>
      </c>
      <c r="C385" s="22" t="s">
        <v>176</v>
      </c>
      <c r="D385" s="23"/>
      <c r="E385" s="22" t="s">
        <v>1870</v>
      </c>
      <c r="F385" s="29">
        <v>23</v>
      </c>
      <c r="G385" s="22"/>
      <c r="H385" s="22">
        <v>16</v>
      </c>
      <c r="I385" s="22" t="s">
        <v>1732</v>
      </c>
      <c r="J385" s="22" t="s">
        <v>900</v>
      </c>
      <c r="K385" s="34"/>
    </row>
    <row r="386" spans="1:11" x14ac:dyDescent="0.3">
      <c r="A386" s="29" t="s">
        <v>174</v>
      </c>
      <c r="B386" s="29" t="s">
        <v>175</v>
      </c>
      <c r="C386" s="29" t="s">
        <v>176</v>
      </c>
      <c r="D386" s="29"/>
      <c r="E386" s="29" t="s">
        <v>380</v>
      </c>
      <c r="F386" s="29">
        <v>24</v>
      </c>
      <c r="G386" s="29"/>
      <c r="H386" s="29">
        <v>17</v>
      </c>
      <c r="I386" s="22" t="s">
        <v>381</v>
      </c>
      <c r="J386" s="22" t="s">
        <v>382</v>
      </c>
      <c r="K386" s="34"/>
    </row>
    <row r="387" spans="1:11" x14ac:dyDescent="0.3">
      <c r="A387" s="64" t="s">
        <v>174</v>
      </c>
      <c r="B387" s="64" t="s">
        <v>530</v>
      </c>
      <c r="C387" s="64" t="s">
        <v>176</v>
      </c>
      <c r="D387" s="64" t="s">
        <v>531</v>
      </c>
      <c r="E387" s="64" t="s">
        <v>684</v>
      </c>
      <c r="F387" s="29">
        <v>24</v>
      </c>
      <c r="G387" s="64"/>
      <c r="H387" s="64">
        <v>17</v>
      </c>
      <c r="I387" s="22" t="s">
        <v>685</v>
      </c>
      <c r="J387" s="22" t="s">
        <v>686</v>
      </c>
      <c r="K387" s="34"/>
    </row>
    <row r="388" spans="1:11" x14ac:dyDescent="0.3">
      <c r="A388" s="22" t="s">
        <v>174</v>
      </c>
      <c r="B388" s="22" t="s">
        <v>753</v>
      </c>
      <c r="C388" s="22" t="s">
        <v>176</v>
      </c>
      <c r="D388" s="23"/>
      <c r="E388" s="23" t="s">
        <v>901</v>
      </c>
      <c r="F388" s="29">
        <v>24</v>
      </c>
      <c r="G388" s="23"/>
      <c r="H388" s="64">
        <v>17</v>
      </c>
      <c r="I388" s="22" t="s">
        <v>902</v>
      </c>
      <c r="J388" s="22" t="s">
        <v>903</v>
      </c>
      <c r="K388" s="34"/>
    </row>
    <row r="389" spans="1:11" x14ac:dyDescent="0.3">
      <c r="A389" s="22" t="s">
        <v>174</v>
      </c>
      <c r="B389" s="22" t="s">
        <v>942</v>
      </c>
      <c r="C389" s="22" t="s">
        <v>176</v>
      </c>
      <c r="D389" s="23"/>
      <c r="E389" s="22" t="s">
        <v>1069</v>
      </c>
      <c r="F389" s="29">
        <v>24</v>
      </c>
      <c r="G389" s="22"/>
      <c r="H389" s="64">
        <v>17</v>
      </c>
      <c r="I389" s="22" t="s">
        <v>1070</v>
      </c>
      <c r="J389" s="22" t="s">
        <v>903</v>
      </c>
      <c r="K389" s="34"/>
    </row>
    <row r="390" spans="1:11" x14ac:dyDescent="0.3">
      <c r="A390" s="22" t="s">
        <v>174</v>
      </c>
      <c r="B390" s="22" t="s">
        <v>1151</v>
      </c>
      <c r="C390" s="22" t="s">
        <v>176</v>
      </c>
      <c r="D390" s="23"/>
      <c r="E390" s="22" t="s">
        <v>1292</v>
      </c>
      <c r="F390" s="29">
        <v>24</v>
      </c>
      <c r="G390" s="22"/>
      <c r="H390" s="64">
        <v>17</v>
      </c>
      <c r="I390" s="22" t="s">
        <v>1293</v>
      </c>
      <c r="J390" s="22" t="s">
        <v>1294</v>
      </c>
      <c r="K390" s="34"/>
    </row>
    <row r="391" spans="1:11" x14ac:dyDescent="0.3">
      <c r="A391" s="22" t="s">
        <v>174</v>
      </c>
      <c r="B391" s="22" t="s">
        <v>1332</v>
      </c>
      <c r="C391" s="22" t="s">
        <v>176</v>
      </c>
      <c r="D391" s="23"/>
      <c r="E391" s="22" t="s">
        <v>1468</v>
      </c>
      <c r="F391" s="29">
        <v>24</v>
      </c>
      <c r="G391" s="22"/>
      <c r="H391" s="64">
        <v>17</v>
      </c>
      <c r="I391" s="22" t="s">
        <v>1293</v>
      </c>
      <c r="J391" s="22" t="s">
        <v>1294</v>
      </c>
      <c r="K391" s="34"/>
    </row>
    <row r="392" spans="1:11" x14ac:dyDescent="0.3">
      <c r="A392" s="22" t="s">
        <v>174</v>
      </c>
      <c r="B392" s="22" t="s">
        <v>1498</v>
      </c>
      <c r="C392" s="22" t="s">
        <v>176</v>
      </c>
      <c r="D392" s="23"/>
      <c r="E392" s="22" t="s">
        <v>1586</v>
      </c>
      <c r="F392" s="29">
        <v>24</v>
      </c>
      <c r="G392" s="22"/>
      <c r="H392" s="64">
        <v>17</v>
      </c>
      <c r="I392" s="22" t="s">
        <v>1587</v>
      </c>
      <c r="J392" s="22" t="s">
        <v>1588</v>
      </c>
      <c r="K392" s="34"/>
    </row>
    <row r="393" spans="1:11" x14ac:dyDescent="0.3">
      <c r="A393" s="22" t="s">
        <v>174</v>
      </c>
      <c r="B393" s="22" t="s">
        <v>1617</v>
      </c>
      <c r="C393" s="22" t="s">
        <v>176</v>
      </c>
      <c r="D393" s="23"/>
      <c r="E393" s="22" t="s">
        <v>1733</v>
      </c>
      <c r="F393" s="29">
        <v>24</v>
      </c>
      <c r="G393" s="22"/>
      <c r="H393" s="64">
        <v>17</v>
      </c>
      <c r="I393" s="22" t="s">
        <v>1734</v>
      </c>
      <c r="J393" s="22" t="s">
        <v>903</v>
      </c>
      <c r="K393" s="34"/>
    </row>
    <row r="394" spans="1:11" x14ac:dyDescent="0.3">
      <c r="A394" s="22" t="s">
        <v>174</v>
      </c>
      <c r="B394" s="22" t="s">
        <v>1762</v>
      </c>
      <c r="C394" s="22" t="s">
        <v>176</v>
      </c>
      <c r="D394" s="23"/>
      <c r="E394" s="22" t="s">
        <v>1871</v>
      </c>
      <c r="F394" s="29">
        <v>24</v>
      </c>
      <c r="G394" s="22"/>
      <c r="H394" s="22">
        <v>17</v>
      </c>
      <c r="I394" s="22" t="s">
        <v>1734</v>
      </c>
      <c r="J394" s="22" t="s">
        <v>903</v>
      </c>
      <c r="K394" s="34"/>
    </row>
    <row r="395" spans="1:11" x14ac:dyDescent="0.3">
      <c r="A395" s="29" t="s">
        <v>174</v>
      </c>
      <c r="B395" s="29" t="s">
        <v>175</v>
      </c>
      <c r="C395" s="29" t="s">
        <v>176</v>
      </c>
      <c r="D395" s="29"/>
      <c r="E395" s="29" t="s">
        <v>383</v>
      </c>
      <c r="F395" s="29">
        <v>25</v>
      </c>
      <c r="G395" s="29"/>
      <c r="H395" s="29">
        <v>18</v>
      </c>
      <c r="I395" s="22" t="s">
        <v>384</v>
      </c>
      <c r="J395" s="22" t="s">
        <v>385</v>
      </c>
      <c r="K395" s="34"/>
    </row>
    <row r="396" spans="1:11" x14ac:dyDescent="0.3">
      <c r="A396" s="64" t="s">
        <v>174</v>
      </c>
      <c r="B396" s="64" t="s">
        <v>530</v>
      </c>
      <c r="C396" s="64" t="s">
        <v>176</v>
      </c>
      <c r="D396" s="64" t="s">
        <v>531</v>
      </c>
      <c r="E396" s="64" t="s">
        <v>687</v>
      </c>
      <c r="F396" s="29">
        <v>25</v>
      </c>
      <c r="G396" s="64"/>
      <c r="H396" s="64">
        <v>18</v>
      </c>
      <c r="I396" s="22" t="s">
        <v>688</v>
      </c>
      <c r="J396" s="22" t="s">
        <v>689</v>
      </c>
      <c r="K396" s="34"/>
    </row>
    <row r="397" spans="1:11" x14ac:dyDescent="0.3">
      <c r="A397" s="22" t="s">
        <v>174</v>
      </c>
      <c r="B397" s="22" t="s">
        <v>753</v>
      </c>
      <c r="C397" s="22" t="s">
        <v>176</v>
      </c>
      <c r="D397" s="23"/>
      <c r="E397" s="23" t="s">
        <v>904</v>
      </c>
      <c r="F397" s="29">
        <v>25</v>
      </c>
      <c r="G397" s="23"/>
      <c r="H397" s="64">
        <v>18</v>
      </c>
      <c r="I397" s="22" t="s">
        <v>905</v>
      </c>
      <c r="J397" s="22" t="s">
        <v>906</v>
      </c>
      <c r="K397" s="34"/>
    </row>
    <row r="398" spans="1:11" x14ac:dyDescent="0.3">
      <c r="A398" s="22" t="s">
        <v>174</v>
      </c>
      <c r="B398" s="22" t="s">
        <v>942</v>
      </c>
      <c r="C398" s="22" t="s">
        <v>176</v>
      </c>
      <c r="D398" s="23"/>
      <c r="E398" s="22" t="s">
        <v>1071</v>
      </c>
      <c r="F398" s="29">
        <v>25</v>
      </c>
      <c r="G398" s="22"/>
      <c r="H398" s="64">
        <v>18</v>
      </c>
      <c r="I398" s="22" t="s">
        <v>1072</v>
      </c>
      <c r="J398" s="22" t="s">
        <v>906</v>
      </c>
      <c r="K398" s="34"/>
    </row>
    <row r="399" spans="1:11" x14ac:dyDescent="0.3">
      <c r="A399" s="22" t="s">
        <v>174</v>
      </c>
      <c r="B399" s="22" t="s">
        <v>1151</v>
      </c>
      <c r="C399" s="22" t="s">
        <v>176</v>
      </c>
      <c r="D399" s="23"/>
      <c r="E399" s="22" t="s">
        <v>1295</v>
      </c>
      <c r="F399" s="29">
        <v>25</v>
      </c>
      <c r="G399" s="22"/>
      <c r="H399" s="64">
        <v>18</v>
      </c>
      <c r="I399" s="22" t="s">
        <v>1296</v>
      </c>
      <c r="J399" s="22" t="s">
        <v>1297</v>
      </c>
      <c r="K399" s="34"/>
    </row>
    <row r="400" spans="1:11" x14ac:dyDescent="0.3">
      <c r="A400" s="22" t="s">
        <v>174</v>
      </c>
      <c r="B400" s="22" t="s">
        <v>1332</v>
      </c>
      <c r="C400" s="22" t="s">
        <v>176</v>
      </c>
      <c r="D400" s="23"/>
      <c r="E400" s="22" t="s">
        <v>1469</v>
      </c>
      <c r="F400" s="29">
        <v>25</v>
      </c>
      <c r="G400" s="22"/>
      <c r="H400" s="64">
        <v>18</v>
      </c>
      <c r="I400" s="22" t="s">
        <v>1296</v>
      </c>
      <c r="J400" s="22" t="s">
        <v>1297</v>
      </c>
      <c r="K400" s="34"/>
    </row>
    <row r="401" spans="1:11" x14ac:dyDescent="0.3">
      <c r="A401" s="22" t="s">
        <v>174</v>
      </c>
      <c r="B401" s="22" t="s">
        <v>1498</v>
      </c>
      <c r="C401" s="22" t="s">
        <v>176</v>
      </c>
      <c r="D401" s="23"/>
      <c r="E401" s="22" t="s">
        <v>1589</v>
      </c>
      <c r="F401" s="29">
        <v>25</v>
      </c>
      <c r="G401" s="22"/>
      <c r="H401" s="64">
        <v>18</v>
      </c>
      <c r="I401" s="22" t="s">
        <v>1590</v>
      </c>
      <c r="J401" s="22" t="s">
        <v>656</v>
      </c>
      <c r="K401" s="34"/>
    </row>
    <row r="402" spans="1:11" x14ac:dyDescent="0.3">
      <c r="A402" s="22" t="s">
        <v>174</v>
      </c>
      <c r="B402" s="22" t="s">
        <v>1617</v>
      </c>
      <c r="C402" s="22" t="s">
        <v>176</v>
      </c>
      <c r="D402" s="23"/>
      <c r="E402" s="22" t="s">
        <v>1735</v>
      </c>
      <c r="F402" s="29">
        <v>25</v>
      </c>
      <c r="G402" s="22"/>
      <c r="H402" s="64">
        <v>18</v>
      </c>
      <c r="I402" s="22" t="s">
        <v>1736</v>
      </c>
      <c r="J402" s="22" t="s">
        <v>906</v>
      </c>
      <c r="K402" s="34"/>
    </row>
    <row r="403" spans="1:11" x14ac:dyDescent="0.3">
      <c r="A403" s="22" t="s">
        <v>174</v>
      </c>
      <c r="B403" s="22" t="s">
        <v>1762</v>
      </c>
      <c r="C403" s="22" t="s">
        <v>176</v>
      </c>
      <c r="D403" s="23"/>
      <c r="E403" s="22" t="s">
        <v>1872</v>
      </c>
      <c r="F403" s="29">
        <v>25</v>
      </c>
      <c r="G403" s="22"/>
      <c r="H403" s="22">
        <v>18</v>
      </c>
      <c r="I403" s="22" t="s">
        <v>1736</v>
      </c>
      <c r="J403" s="22" t="s">
        <v>906</v>
      </c>
      <c r="K403" s="34"/>
    </row>
    <row r="404" spans="1:11" x14ac:dyDescent="0.3">
      <c r="A404" s="29" t="s">
        <v>174</v>
      </c>
      <c r="B404" s="29" t="s">
        <v>175</v>
      </c>
      <c r="C404" s="29" t="s">
        <v>176</v>
      </c>
      <c r="D404" s="29"/>
      <c r="E404" s="29" t="s">
        <v>386</v>
      </c>
      <c r="F404" s="29">
        <v>26</v>
      </c>
      <c r="G404" s="29"/>
      <c r="H404" s="29">
        <v>19</v>
      </c>
      <c r="I404" s="22" t="s">
        <v>387</v>
      </c>
      <c r="J404" s="22" t="s">
        <v>388</v>
      </c>
      <c r="K404" s="34"/>
    </row>
    <row r="405" spans="1:11" x14ac:dyDescent="0.3">
      <c r="A405" s="64" t="s">
        <v>174</v>
      </c>
      <c r="B405" s="64" t="s">
        <v>530</v>
      </c>
      <c r="C405" s="64" t="s">
        <v>176</v>
      </c>
      <c r="D405" s="64" t="s">
        <v>531</v>
      </c>
      <c r="E405" s="64" t="s">
        <v>690</v>
      </c>
      <c r="F405" s="29">
        <v>26</v>
      </c>
      <c r="G405" s="64"/>
      <c r="H405" s="64">
        <v>19</v>
      </c>
      <c r="I405" s="22" t="s">
        <v>691</v>
      </c>
      <c r="J405" s="22" t="s">
        <v>692</v>
      </c>
      <c r="K405" s="34"/>
    </row>
    <row r="406" spans="1:11" x14ac:dyDescent="0.3">
      <c r="A406" s="22" t="s">
        <v>174</v>
      </c>
      <c r="B406" s="22" t="s">
        <v>753</v>
      </c>
      <c r="C406" s="22" t="s">
        <v>176</v>
      </c>
      <c r="D406" s="23"/>
      <c r="E406" s="23" t="s">
        <v>907</v>
      </c>
      <c r="F406" s="29">
        <v>26</v>
      </c>
      <c r="G406" s="23"/>
      <c r="H406" s="64">
        <v>19</v>
      </c>
      <c r="I406" s="22" t="s">
        <v>908</v>
      </c>
      <c r="J406" s="22" t="s">
        <v>909</v>
      </c>
      <c r="K406" s="34"/>
    </row>
    <row r="407" spans="1:11" x14ac:dyDescent="0.3">
      <c r="A407" s="22" t="s">
        <v>174</v>
      </c>
      <c r="B407" s="22" t="s">
        <v>942</v>
      </c>
      <c r="C407" s="22" t="s">
        <v>176</v>
      </c>
      <c r="D407" s="23"/>
      <c r="E407" s="22" t="s">
        <v>1073</v>
      </c>
      <c r="F407" s="29">
        <v>26</v>
      </c>
      <c r="G407" s="22"/>
      <c r="H407" s="64">
        <v>19</v>
      </c>
      <c r="I407" s="22" t="s">
        <v>1074</v>
      </c>
      <c r="J407" s="22" t="s">
        <v>909</v>
      </c>
      <c r="K407" s="34"/>
    </row>
    <row r="408" spans="1:11" x14ac:dyDescent="0.3">
      <c r="A408" s="22" t="s">
        <v>174</v>
      </c>
      <c r="B408" s="22" t="s">
        <v>1151</v>
      </c>
      <c r="C408" s="22" t="s">
        <v>176</v>
      </c>
      <c r="D408" s="23"/>
      <c r="E408" s="22" t="s">
        <v>1298</v>
      </c>
      <c r="F408" s="29">
        <v>26</v>
      </c>
      <c r="G408" s="22"/>
      <c r="H408" s="64">
        <v>19</v>
      </c>
      <c r="I408" s="22" t="s">
        <v>1299</v>
      </c>
      <c r="J408" s="22" t="s">
        <v>1300</v>
      </c>
      <c r="K408" s="34"/>
    </row>
    <row r="409" spans="1:11" x14ac:dyDescent="0.3">
      <c r="A409" s="22" t="s">
        <v>174</v>
      </c>
      <c r="B409" s="22" t="s">
        <v>1332</v>
      </c>
      <c r="C409" s="22" t="s">
        <v>176</v>
      </c>
      <c r="D409" s="23"/>
      <c r="E409" s="22" t="s">
        <v>1470</v>
      </c>
      <c r="F409" s="29">
        <v>26</v>
      </c>
      <c r="G409" s="22"/>
      <c r="H409" s="64">
        <v>19</v>
      </c>
      <c r="I409" s="22" t="s">
        <v>1299</v>
      </c>
      <c r="J409" s="22" t="s">
        <v>1300</v>
      </c>
      <c r="K409" s="34"/>
    </row>
    <row r="410" spans="1:11" x14ac:dyDescent="0.3">
      <c r="A410" s="22" t="s">
        <v>174</v>
      </c>
      <c r="B410" s="22" t="s">
        <v>1498</v>
      </c>
      <c r="C410" s="22" t="s">
        <v>176</v>
      </c>
      <c r="D410" s="23"/>
      <c r="E410" s="22" t="s">
        <v>1591</v>
      </c>
      <c r="F410" s="29">
        <v>26</v>
      </c>
      <c r="G410" s="22"/>
      <c r="H410" s="64">
        <v>19</v>
      </c>
      <c r="I410" s="22" t="s">
        <v>1592</v>
      </c>
      <c r="J410" s="22" t="s">
        <v>1593</v>
      </c>
      <c r="K410" s="34"/>
    </row>
    <row r="411" spans="1:11" x14ac:dyDescent="0.3">
      <c r="A411" s="22" t="s">
        <v>174</v>
      </c>
      <c r="B411" s="22" t="s">
        <v>1617</v>
      </c>
      <c r="C411" s="22" t="s">
        <v>176</v>
      </c>
      <c r="D411" s="23"/>
      <c r="E411" s="22" t="s">
        <v>1737</v>
      </c>
      <c r="F411" s="29">
        <v>26</v>
      </c>
      <c r="G411" s="22"/>
      <c r="H411" s="64">
        <v>19</v>
      </c>
      <c r="I411" s="22" t="s">
        <v>1738</v>
      </c>
      <c r="J411" s="22" t="s">
        <v>909</v>
      </c>
      <c r="K411" s="34"/>
    </row>
    <row r="412" spans="1:11" x14ac:dyDescent="0.3">
      <c r="A412" s="22" t="s">
        <v>174</v>
      </c>
      <c r="B412" s="22" t="s">
        <v>1762</v>
      </c>
      <c r="C412" s="22" t="s">
        <v>176</v>
      </c>
      <c r="D412" s="23"/>
      <c r="E412" s="22" t="s">
        <v>1873</v>
      </c>
      <c r="F412" s="29">
        <v>26</v>
      </c>
      <c r="G412" s="22"/>
      <c r="H412" s="22">
        <v>19</v>
      </c>
      <c r="I412" s="22" t="s">
        <v>1738</v>
      </c>
      <c r="J412" s="22" t="s">
        <v>909</v>
      </c>
      <c r="K412" s="34"/>
    </row>
    <row r="413" spans="1:11" x14ac:dyDescent="0.3">
      <c r="A413" s="29" t="s">
        <v>174</v>
      </c>
      <c r="B413" s="29" t="s">
        <v>175</v>
      </c>
      <c r="C413" s="29" t="s">
        <v>176</v>
      </c>
      <c r="D413" s="29"/>
      <c r="E413" s="29" t="s">
        <v>389</v>
      </c>
      <c r="F413" s="29">
        <v>27</v>
      </c>
      <c r="G413" s="29"/>
      <c r="H413" s="29">
        <v>20</v>
      </c>
      <c r="I413" s="22" t="s">
        <v>390</v>
      </c>
      <c r="J413" s="22" t="s">
        <v>391</v>
      </c>
      <c r="K413" s="34"/>
    </row>
    <row r="414" spans="1:11" x14ac:dyDescent="0.3">
      <c r="A414" s="64" t="s">
        <v>174</v>
      </c>
      <c r="B414" s="64" t="s">
        <v>530</v>
      </c>
      <c r="C414" s="64" t="s">
        <v>176</v>
      </c>
      <c r="D414" s="64" t="s">
        <v>531</v>
      </c>
      <c r="E414" s="64" t="s">
        <v>693</v>
      </c>
      <c r="F414" s="29">
        <v>27</v>
      </c>
      <c r="G414" s="64"/>
      <c r="H414" s="64">
        <v>20</v>
      </c>
      <c r="I414" s="22" t="s">
        <v>694</v>
      </c>
      <c r="J414" s="22" t="s">
        <v>695</v>
      </c>
      <c r="K414" s="34"/>
    </row>
    <row r="415" spans="1:11" x14ac:dyDescent="0.3">
      <c r="A415" s="22" t="s">
        <v>174</v>
      </c>
      <c r="B415" s="22" t="s">
        <v>753</v>
      </c>
      <c r="C415" s="22" t="s">
        <v>176</v>
      </c>
      <c r="D415" s="23"/>
      <c r="E415" s="23" t="s">
        <v>910</v>
      </c>
      <c r="F415" s="29">
        <v>27</v>
      </c>
      <c r="G415" s="23"/>
      <c r="H415" s="64">
        <v>20</v>
      </c>
      <c r="I415" s="22" t="s">
        <v>911</v>
      </c>
      <c r="J415" s="22" t="s">
        <v>912</v>
      </c>
      <c r="K415" s="34"/>
    </row>
    <row r="416" spans="1:11" x14ac:dyDescent="0.3">
      <c r="A416" s="22" t="s">
        <v>174</v>
      </c>
      <c r="B416" s="22" t="s">
        <v>942</v>
      </c>
      <c r="C416" s="22" t="s">
        <v>176</v>
      </c>
      <c r="D416" s="23"/>
      <c r="E416" s="22" t="s">
        <v>1075</v>
      </c>
      <c r="F416" s="29">
        <v>27</v>
      </c>
      <c r="G416" s="22"/>
      <c r="H416" s="64">
        <v>20</v>
      </c>
      <c r="I416" s="22" t="s">
        <v>1076</v>
      </c>
      <c r="J416" s="22" t="s">
        <v>912</v>
      </c>
      <c r="K416" s="34"/>
    </row>
    <row r="417" spans="1:11" x14ac:dyDescent="0.3">
      <c r="A417" s="22" t="s">
        <v>174</v>
      </c>
      <c r="B417" s="22" t="s">
        <v>1151</v>
      </c>
      <c r="C417" s="22" t="s">
        <v>176</v>
      </c>
      <c r="D417" s="23"/>
      <c r="E417" s="22" t="s">
        <v>1301</v>
      </c>
      <c r="F417" s="29">
        <v>27</v>
      </c>
      <c r="G417" s="22"/>
      <c r="H417" s="64">
        <v>20</v>
      </c>
      <c r="I417" s="22" t="s">
        <v>1302</v>
      </c>
      <c r="J417" s="22" t="s">
        <v>1303</v>
      </c>
      <c r="K417" s="34"/>
    </row>
    <row r="418" spans="1:11" x14ac:dyDescent="0.3">
      <c r="A418" s="22" t="s">
        <v>174</v>
      </c>
      <c r="B418" s="22" t="s">
        <v>1332</v>
      </c>
      <c r="C418" s="22" t="s">
        <v>176</v>
      </c>
      <c r="D418" s="23"/>
      <c r="E418" s="22" t="s">
        <v>1471</v>
      </c>
      <c r="F418" s="29">
        <v>27</v>
      </c>
      <c r="G418" s="22"/>
      <c r="H418" s="64">
        <v>20</v>
      </c>
      <c r="I418" s="22" t="s">
        <v>1302</v>
      </c>
      <c r="J418" s="22" t="s">
        <v>1303</v>
      </c>
      <c r="K418" s="34"/>
    </row>
    <row r="419" spans="1:11" x14ac:dyDescent="0.3">
      <c r="A419" s="22" t="s">
        <v>174</v>
      </c>
      <c r="B419" s="22" t="s">
        <v>1498</v>
      </c>
      <c r="C419" s="22" t="s">
        <v>176</v>
      </c>
      <c r="D419" s="23"/>
      <c r="E419" s="22" t="s">
        <v>1594</v>
      </c>
      <c r="F419" s="29">
        <v>27</v>
      </c>
      <c r="G419" s="22"/>
      <c r="H419" s="64">
        <v>20</v>
      </c>
      <c r="I419" s="22" t="s">
        <v>1595</v>
      </c>
      <c r="J419" s="22" t="s">
        <v>1596</v>
      </c>
      <c r="K419" s="34"/>
    </row>
    <row r="420" spans="1:11" x14ac:dyDescent="0.3">
      <c r="A420" s="22" t="s">
        <v>174</v>
      </c>
      <c r="B420" s="22" t="s">
        <v>1617</v>
      </c>
      <c r="C420" s="22" t="s">
        <v>176</v>
      </c>
      <c r="D420" s="23"/>
      <c r="E420" s="22" t="s">
        <v>1739</v>
      </c>
      <c r="F420" s="29">
        <v>27</v>
      </c>
      <c r="G420" s="22"/>
      <c r="H420" s="64">
        <v>20</v>
      </c>
      <c r="I420" s="22" t="s">
        <v>1740</v>
      </c>
      <c r="J420" s="22" t="s">
        <v>912</v>
      </c>
      <c r="K420" s="34"/>
    </row>
    <row r="421" spans="1:11" x14ac:dyDescent="0.3">
      <c r="A421" s="22" t="s">
        <v>174</v>
      </c>
      <c r="B421" s="22" t="s">
        <v>1762</v>
      </c>
      <c r="C421" s="22" t="s">
        <v>176</v>
      </c>
      <c r="D421" s="23"/>
      <c r="E421" s="22" t="s">
        <v>1874</v>
      </c>
      <c r="F421" s="29">
        <v>27</v>
      </c>
      <c r="G421" s="22"/>
      <c r="H421" s="22">
        <v>20</v>
      </c>
      <c r="I421" s="22" t="s">
        <v>1740</v>
      </c>
      <c r="J421" s="22" t="s">
        <v>912</v>
      </c>
      <c r="K421" s="34"/>
    </row>
    <row r="422" spans="1:11" x14ac:dyDescent="0.3">
      <c r="A422" s="23" t="s">
        <v>174</v>
      </c>
      <c r="B422" s="23" t="s">
        <v>175</v>
      </c>
      <c r="C422" s="23" t="s">
        <v>176</v>
      </c>
      <c r="D422" s="23"/>
      <c r="E422" s="23" t="s">
        <v>177</v>
      </c>
      <c r="F422" s="23"/>
      <c r="G422" s="23">
        <v>1</v>
      </c>
      <c r="H422" s="23"/>
      <c r="I422" s="22" t="s">
        <v>178</v>
      </c>
      <c r="J422" s="22"/>
      <c r="K422" s="34"/>
    </row>
    <row r="423" spans="1:11" x14ac:dyDescent="0.3">
      <c r="A423" s="23" t="s">
        <v>174</v>
      </c>
      <c r="B423" s="23" t="s">
        <v>175</v>
      </c>
      <c r="C423" s="23" t="s">
        <v>176</v>
      </c>
      <c r="D423" s="23"/>
      <c r="E423" s="23" t="s">
        <v>179</v>
      </c>
      <c r="F423" s="23"/>
      <c r="G423" s="23">
        <v>1</v>
      </c>
      <c r="H423" s="23"/>
      <c r="I423" s="22" t="s">
        <v>178</v>
      </c>
      <c r="J423" s="22"/>
      <c r="K423" s="34"/>
    </row>
    <row r="424" spans="1:11" x14ac:dyDescent="0.3">
      <c r="A424" s="23" t="s">
        <v>174</v>
      </c>
      <c r="B424" s="23" t="s">
        <v>175</v>
      </c>
      <c r="C424" s="23" t="s">
        <v>176</v>
      </c>
      <c r="D424" s="23"/>
      <c r="E424" s="23" t="s">
        <v>180</v>
      </c>
      <c r="F424" s="23"/>
      <c r="G424" s="23">
        <v>5</v>
      </c>
      <c r="H424" s="23"/>
      <c r="I424" s="64" t="s">
        <v>181</v>
      </c>
      <c r="J424" s="22"/>
      <c r="K424" s="34"/>
    </row>
    <row r="425" spans="1:11" x14ac:dyDescent="0.3">
      <c r="A425" s="23" t="s">
        <v>174</v>
      </c>
      <c r="B425" s="23" t="s">
        <v>175</v>
      </c>
      <c r="C425" s="23" t="s">
        <v>176</v>
      </c>
      <c r="D425" s="23"/>
      <c r="E425" s="23" t="s">
        <v>182</v>
      </c>
      <c r="F425" s="23"/>
      <c r="G425" s="23">
        <v>5</v>
      </c>
      <c r="H425" s="23"/>
      <c r="I425" s="64" t="s">
        <v>183</v>
      </c>
      <c r="J425" s="22"/>
      <c r="K425" s="34"/>
    </row>
    <row r="426" spans="1:11" x14ac:dyDescent="0.3">
      <c r="A426" s="23" t="s">
        <v>174</v>
      </c>
      <c r="B426" s="23" t="s">
        <v>175</v>
      </c>
      <c r="C426" s="23" t="s">
        <v>176</v>
      </c>
      <c r="D426" s="23"/>
      <c r="E426" s="23" t="s">
        <v>184</v>
      </c>
      <c r="F426" s="23"/>
      <c r="G426" s="23">
        <v>5</v>
      </c>
      <c r="H426" s="23"/>
      <c r="I426" s="64" t="s">
        <v>185</v>
      </c>
      <c r="J426" s="22"/>
      <c r="K426" s="34"/>
    </row>
    <row r="427" spans="1:11" x14ac:dyDescent="0.3">
      <c r="A427" s="23" t="s">
        <v>174</v>
      </c>
      <c r="B427" s="23" t="s">
        <v>175</v>
      </c>
      <c r="C427" s="23" t="s">
        <v>176</v>
      </c>
      <c r="D427" s="23"/>
      <c r="E427" s="23" t="s">
        <v>186</v>
      </c>
      <c r="F427" s="23"/>
      <c r="G427" s="23">
        <v>10</v>
      </c>
      <c r="H427" s="23"/>
      <c r="I427" s="64" t="s">
        <v>187</v>
      </c>
      <c r="J427" s="22"/>
      <c r="K427" s="34"/>
    </row>
    <row r="428" spans="1:11" x14ac:dyDescent="0.3">
      <c r="A428" s="23" t="s">
        <v>174</v>
      </c>
      <c r="B428" s="23" t="s">
        <v>175</v>
      </c>
      <c r="C428" s="23" t="s">
        <v>176</v>
      </c>
      <c r="D428" s="23"/>
      <c r="E428" s="23" t="s">
        <v>188</v>
      </c>
      <c r="F428" s="23"/>
      <c r="G428" s="23">
        <v>10</v>
      </c>
      <c r="H428" s="23"/>
      <c r="I428" s="64" t="s">
        <v>189</v>
      </c>
      <c r="J428" s="22"/>
      <c r="K428" s="34"/>
    </row>
    <row r="429" spans="1:11" x14ac:dyDescent="0.3">
      <c r="A429" s="23" t="s">
        <v>174</v>
      </c>
      <c r="B429" s="23" t="s">
        <v>175</v>
      </c>
      <c r="C429" s="23" t="s">
        <v>176</v>
      </c>
      <c r="D429" s="23"/>
      <c r="E429" s="23" t="s">
        <v>190</v>
      </c>
      <c r="F429" s="23"/>
      <c r="G429" s="23">
        <v>10</v>
      </c>
      <c r="H429" s="23"/>
      <c r="I429" s="64" t="s">
        <v>191</v>
      </c>
      <c r="J429" s="22"/>
      <c r="K429" s="34"/>
    </row>
    <row r="430" spans="1:11" x14ac:dyDescent="0.3">
      <c r="A430" s="23" t="s">
        <v>174</v>
      </c>
      <c r="B430" s="23" t="s">
        <v>175</v>
      </c>
      <c r="C430" s="23" t="s">
        <v>176</v>
      </c>
      <c r="D430" s="23"/>
      <c r="E430" s="23" t="s">
        <v>192</v>
      </c>
      <c r="F430" s="23"/>
      <c r="G430" s="23">
        <v>15</v>
      </c>
      <c r="H430" s="23"/>
      <c r="I430" s="64" t="s">
        <v>193</v>
      </c>
      <c r="J430" s="22"/>
      <c r="K430" s="34"/>
    </row>
    <row r="431" spans="1:11" x14ac:dyDescent="0.3">
      <c r="A431" s="23" t="s">
        <v>174</v>
      </c>
      <c r="B431" s="23" t="s">
        <v>175</v>
      </c>
      <c r="C431" s="23" t="s">
        <v>176</v>
      </c>
      <c r="D431" s="23"/>
      <c r="E431" s="23" t="s">
        <v>194</v>
      </c>
      <c r="F431" s="23"/>
      <c r="G431" s="23">
        <v>15</v>
      </c>
      <c r="H431" s="23"/>
      <c r="I431" s="64" t="s">
        <v>195</v>
      </c>
      <c r="J431" s="22"/>
      <c r="K431" s="34"/>
    </row>
    <row r="432" spans="1:11" x14ac:dyDescent="0.3">
      <c r="A432" s="23" t="s">
        <v>174</v>
      </c>
      <c r="B432" s="23" t="s">
        <v>175</v>
      </c>
      <c r="C432" s="23" t="s">
        <v>176</v>
      </c>
      <c r="D432" s="23"/>
      <c r="E432" s="23" t="s">
        <v>196</v>
      </c>
      <c r="F432" s="23"/>
      <c r="G432" s="23">
        <v>20</v>
      </c>
      <c r="H432" s="23"/>
      <c r="I432" s="64" t="s">
        <v>197</v>
      </c>
      <c r="J432" s="22"/>
      <c r="K432" s="34"/>
    </row>
    <row r="433" spans="1:11" x14ac:dyDescent="0.3">
      <c r="A433" s="23" t="s">
        <v>174</v>
      </c>
      <c r="B433" s="23" t="s">
        <v>175</v>
      </c>
      <c r="C433" s="23" t="s">
        <v>176</v>
      </c>
      <c r="D433" s="23"/>
      <c r="E433" s="23" t="s">
        <v>198</v>
      </c>
      <c r="F433" s="23"/>
      <c r="G433" s="23">
        <v>20</v>
      </c>
      <c r="H433" s="23"/>
      <c r="I433" s="22" t="s">
        <v>199</v>
      </c>
      <c r="J433" s="22"/>
      <c r="K433" s="34"/>
    </row>
    <row r="434" spans="1:11" x14ac:dyDescent="0.3">
      <c r="A434" s="23" t="s">
        <v>174</v>
      </c>
      <c r="B434" s="23" t="s">
        <v>175</v>
      </c>
      <c r="C434" s="23" t="s">
        <v>176</v>
      </c>
      <c r="D434" s="23"/>
      <c r="E434" s="23" t="s">
        <v>200</v>
      </c>
      <c r="F434" s="23"/>
      <c r="G434" s="23">
        <v>20</v>
      </c>
      <c r="H434" s="23"/>
      <c r="I434" s="22" t="s">
        <v>201</v>
      </c>
      <c r="J434" s="22"/>
      <c r="K434" s="34"/>
    </row>
    <row r="435" spans="1:11" x14ac:dyDescent="0.3">
      <c r="A435" s="23" t="s">
        <v>174</v>
      </c>
      <c r="B435" s="23" t="s">
        <v>175</v>
      </c>
      <c r="C435" s="23" t="s">
        <v>176</v>
      </c>
      <c r="D435" s="23"/>
      <c r="E435" s="23" t="s">
        <v>202</v>
      </c>
      <c r="F435" s="23"/>
      <c r="G435" s="23">
        <v>20</v>
      </c>
      <c r="H435" s="23"/>
      <c r="I435" s="22" t="s">
        <v>203</v>
      </c>
      <c r="J435" s="22"/>
      <c r="K435" s="34"/>
    </row>
    <row r="436" spans="1:11" x14ac:dyDescent="0.3">
      <c r="A436" s="23" t="s">
        <v>174</v>
      </c>
      <c r="B436" s="23" t="s">
        <v>175</v>
      </c>
      <c r="C436" s="23" t="s">
        <v>176</v>
      </c>
      <c r="D436" s="23"/>
      <c r="E436" s="23" t="s">
        <v>204</v>
      </c>
      <c r="F436" s="23"/>
      <c r="G436" s="23">
        <v>20</v>
      </c>
      <c r="H436" s="23"/>
      <c r="I436" s="22" t="s">
        <v>205</v>
      </c>
      <c r="J436" s="22"/>
      <c r="K436" s="34"/>
    </row>
    <row r="437" spans="1:11" x14ac:dyDescent="0.3">
      <c r="A437" s="23" t="s">
        <v>174</v>
      </c>
      <c r="B437" s="23" t="s">
        <v>175</v>
      </c>
      <c r="C437" s="23" t="s">
        <v>176</v>
      </c>
      <c r="D437" s="23"/>
      <c r="E437" s="23" t="s">
        <v>206</v>
      </c>
      <c r="F437" s="23"/>
      <c r="G437" s="23">
        <v>20</v>
      </c>
      <c r="H437" s="23"/>
      <c r="I437" s="22" t="s">
        <v>207</v>
      </c>
      <c r="J437" s="22"/>
      <c r="K437" s="34"/>
    </row>
    <row r="438" spans="1:11" x14ac:dyDescent="0.3">
      <c r="A438" s="23" t="s">
        <v>174</v>
      </c>
      <c r="B438" s="23" t="s">
        <v>175</v>
      </c>
      <c r="C438" s="23" t="s">
        <v>176</v>
      </c>
      <c r="D438" s="23"/>
      <c r="E438" s="23" t="s">
        <v>208</v>
      </c>
      <c r="F438" s="23"/>
      <c r="G438" s="23">
        <v>25</v>
      </c>
      <c r="H438" s="23"/>
      <c r="I438" s="22" t="s">
        <v>209</v>
      </c>
      <c r="J438" s="22"/>
      <c r="K438" s="73"/>
    </row>
    <row r="439" spans="1:11" x14ac:dyDescent="0.3">
      <c r="A439" s="23" t="s">
        <v>174</v>
      </c>
      <c r="B439" s="23" t="s">
        <v>175</v>
      </c>
      <c r="C439" s="23" t="s">
        <v>176</v>
      </c>
      <c r="D439" s="23"/>
      <c r="E439" s="23" t="s">
        <v>210</v>
      </c>
      <c r="F439" s="23"/>
      <c r="G439" s="23">
        <v>30</v>
      </c>
      <c r="H439" s="23"/>
      <c r="I439" s="62" t="s">
        <v>211</v>
      </c>
      <c r="J439" s="62" t="s">
        <v>212</v>
      </c>
      <c r="K439" s="34"/>
    </row>
    <row r="440" spans="1:11" x14ac:dyDescent="0.3">
      <c r="A440" s="29" t="s">
        <v>174</v>
      </c>
      <c r="B440" s="29" t="s">
        <v>175</v>
      </c>
      <c r="C440" s="29" t="s">
        <v>176</v>
      </c>
      <c r="D440" s="29"/>
      <c r="E440" s="29" t="s">
        <v>314</v>
      </c>
      <c r="F440" s="29"/>
      <c r="G440" s="29"/>
      <c r="H440" s="29"/>
      <c r="I440" s="22" t="s">
        <v>315</v>
      </c>
      <c r="J440" s="22" t="s">
        <v>316</v>
      </c>
      <c r="K440" s="34"/>
    </row>
    <row r="441" spans="1:11" x14ac:dyDescent="0.3">
      <c r="A441" s="29" t="s">
        <v>174</v>
      </c>
      <c r="B441" s="29" t="s">
        <v>175</v>
      </c>
      <c r="C441" s="29" t="s">
        <v>176</v>
      </c>
      <c r="D441" s="29"/>
      <c r="E441" s="29" t="s">
        <v>317</v>
      </c>
      <c r="F441" s="29"/>
      <c r="G441" s="29"/>
      <c r="H441" s="29"/>
      <c r="I441" s="22" t="s">
        <v>318</v>
      </c>
      <c r="J441" s="22" t="s">
        <v>319</v>
      </c>
      <c r="K441" s="34"/>
    </row>
    <row r="442" spans="1:11" x14ac:dyDescent="0.3">
      <c r="A442" s="29" t="s">
        <v>174</v>
      </c>
      <c r="B442" s="29" t="s">
        <v>175</v>
      </c>
      <c r="C442" s="29" t="s">
        <v>176</v>
      </c>
      <c r="D442" s="29"/>
      <c r="E442" s="29" t="s">
        <v>320</v>
      </c>
      <c r="F442" s="29"/>
      <c r="G442" s="29"/>
      <c r="H442" s="29"/>
      <c r="I442" s="22" t="s">
        <v>321</v>
      </c>
      <c r="J442" s="22" t="s">
        <v>322</v>
      </c>
      <c r="K442" s="34"/>
    </row>
    <row r="443" spans="1:11" x14ac:dyDescent="0.3">
      <c r="A443" s="29" t="s">
        <v>174</v>
      </c>
      <c r="B443" s="29" t="s">
        <v>175</v>
      </c>
      <c r="C443" s="29" t="s">
        <v>176</v>
      </c>
      <c r="D443" s="29"/>
      <c r="E443" s="29" t="s">
        <v>323</v>
      </c>
      <c r="F443" s="29"/>
      <c r="G443" s="29"/>
      <c r="H443" s="29"/>
      <c r="I443" s="22" t="s">
        <v>324</v>
      </c>
      <c r="J443" s="22" t="s">
        <v>325</v>
      </c>
      <c r="K443" s="34"/>
    </row>
    <row r="444" spans="1:11" x14ac:dyDescent="0.3">
      <c r="A444" s="29" t="s">
        <v>174</v>
      </c>
      <c r="B444" s="29" t="s">
        <v>175</v>
      </c>
      <c r="C444" s="29" t="s">
        <v>176</v>
      </c>
      <c r="D444" s="29"/>
      <c r="E444" s="29" t="s">
        <v>344</v>
      </c>
      <c r="F444" s="29"/>
      <c r="G444" s="29"/>
      <c r="H444" s="29"/>
      <c r="I444" s="22" t="s">
        <v>345</v>
      </c>
      <c r="J444" s="22" t="s">
        <v>346</v>
      </c>
      <c r="K444" s="34"/>
    </row>
    <row r="445" spans="1:11" x14ac:dyDescent="0.3">
      <c r="A445" s="29" t="s">
        <v>174</v>
      </c>
      <c r="B445" s="29" t="s">
        <v>175</v>
      </c>
      <c r="C445" s="29" t="s">
        <v>176</v>
      </c>
      <c r="D445" s="29"/>
      <c r="E445" s="29" t="s">
        <v>347</v>
      </c>
      <c r="F445" s="29"/>
      <c r="G445" s="29"/>
      <c r="H445" s="29"/>
      <c r="I445" s="22" t="s">
        <v>348</v>
      </c>
      <c r="J445" s="22" t="s">
        <v>349</v>
      </c>
      <c r="K445" s="34"/>
    </row>
    <row r="446" spans="1:11" x14ac:dyDescent="0.3">
      <c r="A446" s="29" t="s">
        <v>174</v>
      </c>
      <c r="B446" s="29" t="s">
        <v>175</v>
      </c>
      <c r="C446" s="29" t="s">
        <v>176</v>
      </c>
      <c r="D446" s="29"/>
      <c r="E446" s="29" t="s">
        <v>350</v>
      </c>
      <c r="F446" s="29"/>
      <c r="G446" s="29"/>
      <c r="H446" s="29"/>
      <c r="I446" s="22" t="s">
        <v>351</v>
      </c>
      <c r="J446" s="22" t="s">
        <v>352</v>
      </c>
      <c r="K446" s="34"/>
    </row>
    <row r="447" spans="1:11" x14ac:dyDescent="0.3">
      <c r="A447" s="29" t="s">
        <v>174</v>
      </c>
      <c r="B447" s="29" t="s">
        <v>175</v>
      </c>
      <c r="C447" s="29" t="s">
        <v>176</v>
      </c>
      <c r="D447" s="29"/>
      <c r="E447" s="29" t="s">
        <v>353</v>
      </c>
      <c r="F447" s="29"/>
      <c r="G447" s="29"/>
      <c r="H447" s="29"/>
      <c r="I447" s="22" t="s">
        <v>354</v>
      </c>
      <c r="J447" s="22" t="s">
        <v>355</v>
      </c>
      <c r="K447" s="34"/>
    </row>
    <row r="448" spans="1:11" x14ac:dyDescent="0.3">
      <c r="A448" s="29" t="s">
        <v>174</v>
      </c>
      <c r="B448" s="29" t="s">
        <v>175</v>
      </c>
      <c r="C448" s="29" t="s">
        <v>176</v>
      </c>
      <c r="D448" s="29"/>
      <c r="E448" s="29" t="s">
        <v>356</v>
      </c>
      <c r="F448" s="29"/>
      <c r="G448" s="29"/>
      <c r="H448" s="29"/>
      <c r="I448" s="22" t="s">
        <v>357</v>
      </c>
      <c r="J448" s="22" t="s">
        <v>358</v>
      </c>
      <c r="K448" s="34"/>
    </row>
    <row r="449" spans="1:11" x14ac:dyDescent="0.3">
      <c r="A449" s="29" t="s">
        <v>174</v>
      </c>
      <c r="B449" s="29" t="s">
        <v>175</v>
      </c>
      <c r="C449" s="29" t="s">
        <v>176</v>
      </c>
      <c r="D449" s="29"/>
      <c r="E449" s="29" t="s">
        <v>359</v>
      </c>
      <c r="F449" s="29"/>
      <c r="G449" s="29"/>
      <c r="H449" s="29"/>
      <c r="I449" s="22" t="s">
        <v>360</v>
      </c>
      <c r="J449" s="22" t="s">
        <v>361</v>
      </c>
      <c r="K449" s="34"/>
    </row>
    <row r="450" spans="1:11" x14ac:dyDescent="0.3">
      <c r="A450" s="26" t="s">
        <v>174</v>
      </c>
      <c r="B450" s="26" t="s">
        <v>175</v>
      </c>
      <c r="C450" s="26" t="s">
        <v>176</v>
      </c>
      <c r="D450" s="26"/>
      <c r="E450" s="26" t="s">
        <v>392</v>
      </c>
      <c r="F450" s="26"/>
      <c r="G450" s="26">
        <v>1</v>
      </c>
      <c r="H450" s="26"/>
      <c r="I450" s="22" t="s">
        <v>393</v>
      </c>
      <c r="J450" s="22"/>
      <c r="K450" s="34"/>
    </row>
    <row r="451" spans="1:11" x14ac:dyDescent="0.3">
      <c r="A451" s="26" t="s">
        <v>174</v>
      </c>
      <c r="B451" s="26" t="s">
        <v>175</v>
      </c>
      <c r="C451" s="26" t="s">
        <v>176</v>
      </c>
      <c r="D451" s="26"/>
      <c r="E451" s="26" t="s">
        <v>394</v>
      </c>
      <c r="F451" s="26"/>
      <c r="G451" s="26">
        <v>1</v>
      </c>
      <c r="H451" s="26"/>
      <c r="I451" s="22" t="s">
        <v>395</v>
      </c>
      <c r="J451" s="22"/>
      <c r="K451" s="34"/>
    </row>
    <row r="452" spans="1:11" x14ac:dyDescent="0.3">
      <c r="A452" s="26" t="s">
        <v>174</v>
      </c>
      <c r="B452" s="26" t="s">
        <v>175</v>
      </c>
      <c r="C452" s="26" t="s">
        <v>176</v>
      </c>
      <c r="D452" s="26"/>
      <c r="E452" s="26" t="s">
        <v>396</v>
      </c>
      <c r="F452" s="26"/>
      <c r="G452" s="26">
        <v>1</v>
      </c>
      <c r="H452" s="26"/>
      <c r="I452" s="22" t="s">
        <v>397</v>
      </c>
      <c r="J452" s="22"/>
      <c r="K452" s="34"/>
    </row>
    <row r="453" spans="1:11" x14ac:dyDescent="0.3">
      <c r="A453" s="26" t="s">
        <v>174</v>
      </c>
      <c r="B453" s="26" t="s">
        <v>175</v>
      </c>
      <c r="C453" s="26" t="s">
        <v>176</v>
      </c>
      <c r="D453" s="26"/>
      <c r="E453" s="26" t="s">
        <v>398</v>
      </c>
      <c r="F453" s="26"/>
      <c r="G453" s="26"/>
      <c r="H453" s="26"/>
      <c r="I453" s="22" t="s">
        <v>399</v>
      </c>
      <c r="J453" s="22" t="s">
        <v>212</v>
      </c>
      <c r="K453" s="34"/>
    </row>
    <row r="454" spans="1:11" x14ac:dyDescent="0.3">
      <c r="A454" s="26" t="s">
        <v>174</v>
      </c>
      <c r="B454" s="26" t="s">
        <v>175</v>
      </c>
      <c r="C454" s="26" t="s">
        <v>176</v>
      </c>
      <c r="D454" s="26"/>
      <c r="E454" s="26" t="s">
        <v>400</v>
      </c>
      <c r="F454" s="29"/>
      <c r="G454" s="26"/>
      <c r="H454" s="26"/>
      <c r="I454" s="22" t="s">
        <v>401</v>
      </c>
      <c r="J454" s="22" t="s">
        <v>212</v>
      </c>
      <c r="K454" s="34"/>
    </row>
    <row r="455" spans="1:11" x14ac:dyDescent="0.3">
      <c r="A455" s="26" t="s">
        <v>174</v>
      </c>
      <c r="B455" s="26" t="s">
        <v>175</v>
      </c>
      <c r="C455" s="26" t="s">
        <v>176</v>
      </c>
      <c r="D455" s="26"/>
      <c r="E455" s="26" t="s">
        <v>402</v>
      </c>
      <c r="F455" s="26"/>
      <c r="G455" s="26"/>
      <c r="H455" s="26"/>
      <c r="I455" s="22" t="s">
        <v>403</v>
      </c>
      <c r="J455" s="22" t="s">
        <v>212</v>
      </c>
      <c r="K455" s="34"/>
    </row>
    <row r="456" spans="1:11" x14ac:dyDescent="0.3">
      <c r="A456" s="26" t="s">
        <v>174</v>
      </c>
      <c r="B456" s="26" t="s">
        <v>175</v>
      </c>
      <c r="C456" s="26" t="s">
        <v>176</v>
      </c>
      <c r="D456" s="26"/>
      <c r="E456" s="26" t="s">
        <v>404</v>
      </c>
      <c r="F456" s="26"/>
      <c r="G456" s="26"/>
      <c r="H456" s="26"/>
      <c r="I456" s="22" t="s">
        <v>405</v>
      </c>
      <c r="J456" s="22" t="s">
        <v>212</v>
      </c>
      <c r="K456" s="34"/>
    </row>
    <row r="457" spans="1:11" x14ac:dyDescent="0.3">
      <c r="A457" s="26" t="s">
        <v>174</v>
      </c>
      <c r="B457" s="26" t="s">
        <v>175</v>
      </c>
      <c r="C457" s="26" t="s">
        <v>176</v>
      </c>
      <c r="D457" s="26"/>
      <c r="E457" s="26" t="s">
        <v>406</v>
      </c>
      <c r="F457" s="26"/>
      <c r="G457" s="26"/>
      <c r="H457" s="26"/>
      <c r="I457" s="22"/>
      <c r="J457" s="22" t="s">
        <v>212</v>
      </c>
      <c r="K457" s="34"/>
    </row>
    <row r="458" spans="1:11" x14ac:dyDescent="0.3">
      <c r="A458" s="26" t="s">
        <v>174</v>
      </c>
      <c r="B458" s="26" t="s">
        <v>175</v>
      </c>
      <c r="C458" s="26" t="s">
        <v>176</v>
      </c>
      <c r="D458" s="26"/>
      <c r="E458" s="26" t="s">
        <v>407</v>
      </c>
      <c r="F458" s="26"/>
      <c r="G458" s="26"/>
      <c r="H458" s="26"/>
      <c r="I458" s="22"/>
      <c r="J458" s="22" t="s">
        <v>212</v>
      </c>
      <c r="K458" s="34"/>
    </row>
    <row r="459" spans="1:11" x14ac:dyDescent="0.3">
      <c r="A459" s="26" t="s">
        <v>174</v>
      </c>
      <c r="B459" s="26" t="s">
        <v>175</v>
      </c>
      <c r="C459" s="26" t="s">
        <v>176</v>
      </c>
      <c r="D459" s="26"/>
      <c r="E459" s="26" t="s">
        <v>408</v>
      </c>
      <c r="F459" s="26"/>
      <c r="G459" s="26"/>
      <c r="H459" s="26"/>
      <c r="I459" s="22" t="s">
        <v>409</v>
      </c>
      <c r="J459" s="22" t="s">
        <v>212</v>
      </c>
      <c r="K459" s="34"/>
    </row>
    <row r="460" spans="1:11" x14ac:dyDescent="0.3">
      <c r="A460" s="26" t="s">
        <v>174</v>
      </c>
      <c r="B460" s="26" t="s">
        <v>175</v>
      </c>
      <c r="C460" s="26" t="s">
        <v>176</v>
      </c>
      <c r="D460" s="26"/>
      <c r="E460" s="26" t="s">
        <v>410</v>
      </c>
      <c r="F460" s="26"/>
      <c r="G460" s="26"/>
      <c r="H460" s="26"/>
      <c r="I460" s="22" t="s">
        <v>409</v>
      </c>
      <c r="J460" s="22" t="s">
        <v>212</v>
      </c>
      <c r="K460" s="34"/>
    </row>
    <row r="461" spans="1:11" x14ac:dyDescent="0.3">
      <c r="A461" s="26" t="s">
        <v>174</v>
      </c>
      <c r="B461" s="26" t="s">
        <v>175</v>
      </c>
      <c r="C461" s="26" t="s">
        <v>176</v>
      </c>
      <c r="D461" s="26"/>
      <c r="E461" s="26" t="s">
        <v>411</v>
      </c>
      <c r="F461" s="26"/>
      <c r="G461" s="26"/>
      <c r="H461" s="26"/>
      <c r="I461" s="22" t="s">
        <v>409</v>
      </c>
      <c r="J461" s="22" t="s">
        <v>212</v>
      </c>
      <c r="K461" s="34"/>
    </row>
    <row r="462" spans="1:11" x14ac:dyDescent="0.3">
      <c r="A462" s="26" t="s">
        <v>174</v>
      </c>
      <c r="B462" s="26" t="s">
        <v>175</v>
      </c>
      <c r="C462" s="26" t="s">
        <v>176</v>
      </c>
      <c r="D462" s="26"/>
      <c r="E462" s="26" t="s">
        <v>412</v>
      </c>
      <c r="F462" s="26"/>
      <c r="G462" s="26"/>
      <c r="H462" s="26"/>
      <c r="I462" s="22" t="s">
        <v>409</v>
      </c>
      <c r="J462" s="22"/>
      <c r="K462" s="34"/>
    </row>
    <row r="463" spans="1:11" x14ac:dyDescent="0.3">
      <c r="A463" s="26" t="s">
        <v>174</v>
      </c>
      <c r="B463" s="26" t="s">
        <v>175</v>
      </c>
      <c r="C463" s="26" t="s">
        <v>176</v>
      </c>
      <c r="D463" s="26"/>
      <c r="E463" s="26" t="s">
        <v>413</v>
      </c>
      <c r="F463" s="26"/>
      <c r="G463" s="26"/>
      <c r="H463" s="26"/>
      <c r="I463" s="22" t="s">
        <v>409</v>
      </c>
      <c r="J463" s="22"/>
      <c r="K463" s="34"/>
    </row>
    <row r="464" spans="1:11" x14ac:dyDescent="0.3">
      <c r="A464" s="26" t="s">
        <v>174</v>
      </c>
      <c r="B464" s="26" t="s">
        <v>175</v>
      </c>
      <c r="C464" s="26" t="s">
        <v>176</v>
      </c>
      <c r="D464" s="26"/>
      <c r="E464" s="26" t="s">
        <v>414</v>
      </c>
      <c r="F464" s="26"/>
      <c r="G464" s="26"/>
      <c r="H464" s="26"/>
      <c r="I464" s="22" t="s">
        <v>409</v>
      </c>
      <c r="J464" s="22"/>
      <c r="K464" s="34"/>
    </row>
    <row r="465" spans="1:11" x14ac:dyDescent="0.3">
      <c r="A465" s="26" t="s">
        <v>174</v>
      </c>
      <c r="B465" s="26" t="s">
        <v>175</v>
      </c>
      <c r="C465" s="26" t="s">
        <v>176</v>
      </c>
      <c r="D465" s="26"/>
      <c r="E465" s="26" t="s">
        <v>415</v>
      </c>
      <c r="F465" s="26"/>
      <c r="G465" s="26"/>
      <c r="H465" s="26"/>
      <c r="I465" s="22" t="s">
        <v>409</v>
      </c>
      <c r="J465" s="22"/>
      <c r="K465" s="34"/>
    </row>
    <row r="466" spans="1:11" x14ac:dyDescent="0.3">
      <c r="A466" s="26" t="s">
        <v>174</v>
      </c>
      <c r="B466" s="26" t="s">
        <v>175</v>
      </c>
      <c r="C466" s="26" t="s">
        <v>176</v>
      </c>
      <c r="D466" s="26"/>
      <c r="E466" s="26" t="s">
        <v>416</v>
      </c>
      <c r="F466" s="26"/>
      <c r="G466" s="26"/>
      <c r="H466" s="26"/>
      <c r="I466" s="22" t="s">
        <v>417</v>
      </c>
      <c r="J466" s="22" t="s">
        <v>212</v>
      </c>
      <c r="K466" s="34"/>
    </row>
    <row r="467" spans="1:11" x14ac:dyDescent="0.3">
      <c r="A467" s="26" t="s">
        <v>174</v>
      </c>
      <c r="B467" s="26" t="s">
        <v>175</v>
      </c>
      <c r="C467" s="26" t="s">
        <v>176</v>
      </c>
      <c r="D467" s="26"/>
      <c r="E467" s="26" t="s">
        <v>418</v>
      </c>
      <c r="F467" s="26"/>
      <c r="G467" s="26"/>
      <c r="H467" s="26"/>
      <c r="I467" s="22" t="s">
        <v>417</v>
      </c>
      <c r="J467" s="22" t="s">
        <v>212</v>
      </c>
      <c r="K467" s="34"/>
    </row>
    <row r="468" spans="1:11" x14ac:dyDescent="0.3">
      <c r="A468" s="26" t="s">
        <v>174</v>
      </c>
      <c r="B468" s="26" t="s">
        <v>175</v>
      </c>
      <c r="C468" s="26" t="s">
        <v>176</v>
      </c>
      <c r="D468" s="26"/>
      <c r="E468" s="26" t="s">
        <v>419</v>
      </c>
      <c r="F468" s="26"/>
      <c r="G468" s="26"/>
      <c r="H468" s="26"/>
      <c r="I468" s="22" t="s">
        <v>417</v>
      </c>
      <c r="J468" s="22" t="s">
        <v>212</v>
      </c>
      <c r="K468" s="34"/>
    </row>
    <row r="469" spans="1:11" x14ac:dyDescent="0.3">
      <c r="A469" s="26" t="s">
        <v>174</v>
      </c>
      <c r="B469" s="26" t="s">
        <v>175</v>
      </c>
      <c r="C469" s="26" t="s">
        <v>176</v>
      </c>
      <c r="D469" s="26"/>
      <c r="E469" s="26" t="s">
        <v>420</v>
      </c>
      <c r="F469" s="26"/>
      <c r="G469" s="26"/>
      <c r="H469" s="26"/>
      <c r="I469" s="22" t="s">
        <v>417</v>
      </c>
      <c r="J469" s="22"/>
      <c r="K469" s="34"/>
    </row>
    <row r="470" spans="1:11" x14ac:dyDescent="0.3">
      <c r="A470" s="26" t="s">
        <v>174</v>
      </c>
      <c r="B470" s="26" t="s">
        <v>175</v>
      </c>
      <c r="C470" s="26" t="s">
        <v>176</v>
      </c>
      <c r="D470" s="26"/>
      <c r="E470" s="26" t="s">
        <v>421</v>
      </c>
      <c r="F470" s="26"/>
      <c r="G470" s="26"/>
      <c r="H470" s="26"/>
      <c r="I470" s="22" t="s">
        <v>417</v>
      </c>
      <c r="J470" s="22"/>
      <c r="K470" s="34"/>
    </row>
    <row r="471" spans="1:11" x14ac:dyDescent="0.3">
      <c r="A471" s="26" t="s">
        <v>174</v>
      </c>
      <c r="B471" s="26" t="s">
        <v>175</v>
      </c>
      <c r="C471" s="26" t="s">
        <v>176</v>
      </c>
      <c r="D471" s="26"/>
      <c r="E471" s="26" t="s">
        <v>422</v>
      </c>
      <c r="F471" s="26"/>
      <c r="G471" s="26"/>
      <c r="H471" s="26"/>
      <c r="I471" s="22" t="s">
        <v>417</v>
      </c>
      <c r="J471" s="22"/>
      <c r="K471" s="34"/>
    </row>
    <row r="472" spans="1:11" x14ac:dyDescent="0.3">
      <c r="A472" s="26" t="s">
        <v>174</v>
      </c>
      <c r="B472" s="26" t="s">
        <v>175</v>
      </c>
      <c r="C472" s="26" t="s">
        <v>176</v>
      </c>
      <c r="D472" s="26"/>
      <c r="E472" s="26" t="s">
        <v>423</v>
      </c>
      <c r="F472" s="26"/>
      <c r="G472" s="26"/>
      <c r="H472" s="26"/>
      <c r="I472" s="22" t="s">
        <v>417</v>
      </c>
      <c r="J472" s="22" t="s">
        <v>212</v>
      </c>
      <c r="K472" s="34"/>
    </row>
    <row r="473" spans="1:11" x14ac:dyDescent="0.3">
      <c r="A473" s="26" t="s">
        <v>174</v>
      </c>
      <c r="B473" s="26" t="s">
        <v>175</v>
      </c>
      <c r="C473" s="26" t="s">
        <v>176</v>
      </c>
      <c r="D473" s="26"/>
      <c r="E473" s="26" t="s">
        <v>424</v>
      </c>
      <c r="F473" s="26"/>
      <c r="G473" s="26"/>
      <c r="H473" s="26"/>
      <c r="I473" s="22" t="s">
        <v>425</v>
      </c>
      <c r="J473" s="22" t="s">
        <v>212</v>
      </c>
      <c r="K473" s="34"/>
    </row>
    <row r="474" spans="1:11" x14ac:dyDescent="0.3">
      <c r="A474" s="26" t="s">
        <v>174</v>
      </c>
      <c r="B474" s="26" t="s">
        <v>175</v>
      </c>
      <c r="C474" s="26" t="s">
        <v>176</v>
      </c>
      <c r="D474" s="26"/>
      <c r="E474" s="26" t="s">
        <v>426</v>
      </c>
      <c r="F474" s="26"/>
      <c r="G474" s="26"/>
      <c r="H474" s="26"/>
      <c r="I474" s="22" t="s">
        <v>425</v>
      </c>
      <c r="J474" s="22" t="s">
        <v>212</v>
      </c>
      <c r="K474" s="34"/>
    </row>
    <row r="475" spans="1:11" x14ac:dyDescent="0.3">
      <c r="A475" s="26" t="s">
        <v>174</v>
      </c>
      <c r="B475" s="26" t="s">
        <v>175</v>
      </c>
      <c r="C475" s="26" t="s">
        <v>176</v>
      </c>
      <c r="D475" s="26"/>
      <c r="E475" s="26" t="s">
        <v>427</v>
      </c>
      <c r="F475" s="26"/>
      <c r="G475" s="26"/>
      <c r="H475" s="26"/>
      <c r="I475" s="22" t="s">
        <v>425</v>
      </c>
      <c r="J475" s="22" t="s">
        <v>212</v>
      </c>
      <c r="K475" s="34"/>
    </row>
    <row r="476" spans="1:11" x14ac:dyDescent="0.3">
      <c r="A476" s="26" t="s">
        <v>174</v>
      </c>
      <c r="B476" s="26" t="s">
        <v>175</v>
      </c>
      <c r="C476" s="26" t="s">
        <v>176</v>
      </c>
      <c r="D476" s="26"/>
      <c r="E476" s="26" t="s">
        <v>428</v>
      </c>
      <c r="F476" s="26"/>
      <c r="G476" s="26"/>
      <c r="H476" s="26"/>
      <c r="I476" s="22" t="s">
        <v>425</v>
      </c>
      <c r="J476" s="22" t="s">
        <v>212</v>
      </c>
      <c r="K476" s="34"/>
    </row>
    <row r="477" spans="1:11" x14ac:dyDescent="0.3">
      <c r="A477" s="26" t="s">
        <v>174</v>
      </c>
      <c r="B477" s="26" t="s">
        <v>175</v>
      </c>
      <c r="C477" s="26" t="s">
        <v>176</v>
      </c>
      <c r="D477" s="26"/>
      <c r="E477" s="26" t="s">
        <v>429</v>
      </c>
      <c r="F477" s="26"/>
      <c r="G477" s="26"/>
      <c r="H477" s="26"/>
      <c r="I477" s="22" t="s">
        <v>425</v>
      </c>
      <c r="J477" s="22"/>
      <c r="K477" s="34"/>
    </row>
    <row r="478" spans="1:11" x14ac:dyDescent="0.3">
      <c r="A478" s="26" t="s">
        <v>174</v>
      </c>
      <c r="B478" s="26" t="s">
        <v>175</v>
      </c>
      <c r="C478" s="26" t="s">
        <v>176</v>
      </c>
      <c r="D478" s="26"/>
      <c r="E478" s="26" t="s">
        <v>430</v>
      </c>
      <c r="F478" s="26"/>
      <c r="G478" s="26"/>
      <c r="H478" s="26"/>
      <c r="I478" s="22" t="s">
        <v>425</v>
      </c>
      <c r="J478" s="22"/>
      <c r="K478" s="34"/>
    </row>
    <row r="479" spans="1:11" x14ac:dyDescent="0.3">
      <c r="A479" s="26" t="s">
        <v>174</v>
      </c>
      <c r="B479" s="26" t="s">
        <v>175</v>
      </c>
      <c r="C479" s="26" t="s">
        <v>176</v>
      </c>
      <c r="D479" s="26"/>
      <c r="E479" s="26" t="s">
        <v>431</v>
      </c>
      <c r="F479" s="26"/>
      <c r="G479" s="26"/>
      <c r="H479" s="26"/>
      <c r="I479" s="22" t="s">
        <v>425</v>
      </c>
      <c r="J479" s="22"/>
      <c r="K479" s="34"/>
    </row>
    <row r="480" spans="1:11" x14ac:dyDescent="0.3">
      <c r="A480" s="26" t="s">
        <v>174</v>
      </c>
      <c r="B480" s="26" t="s">
        <v>175</v>
      </c>
      <c r="C480" s="26" t="s">
        <v>176</v>
      </c>
      <c r="D480" s="26"/>
      <c r="E480" s="26" t="s">
        <v>432</v>
      </c>
      <c r="F480" s="26"/>
      <c r="G480" s="26"/>
      <c r="H480" s="26"/>
      <c r="I480" s="22"/>
      <c r="J480" s="22" t="s">
        <v>212</v>
      </c>
      <c r="K480" s="34"/>
    </row>
    <row r="481" spans="1:11" x14ac:dyDescent="0.3">
      <c r="A481" s="26" t="s">
        <v>174</v>
      </c>
      <c r="B481" s="26" t="s">
        <v>175</v>
      </c>
      <c r="C481" s="26" t="s">
        <v>176</v>
      </c>
      <c r="D481" s="26"/>
      <c r="E481" s="26" t="s">
        <v>433</v>
      </c>
      <c r="F481" s="26"/>
      <c r="G481" s="26"/>
      <c r="H481" s="26"/>
      <c r="I481" s="22"/>
      <c r="J481" s="22" t="s">
        <v>212</v>
      </c>
      <c r="K481" s="34"/>
    </row>
    <row r="482" spans="1:11" x14ac:dyDescent="0.3">
      <c r="A482" s="26" t="s">
        <v>174</v>
      </c>
      <c r="B482" s="26" t="s">
        <v>175</v>
      </c>
      <c r="C482" s="26" t="s">
        <v>176</v>
      </c>
      <c r="D482" s="26"/>
      <c r="E482" s="26" t="s">
        <v>434</v>
      </c>
      <c r="F482" s="26"/>
      <c r="G482" s="26"/>
      <c r="H482" s="26"/>
      <c r="I482" s="22"/>
      <c r="J482" s="22" t="s">
        <v>212</v>
      </c>
      <c r="K482" s="34"/>
    </row>
    <row r="483" spans="1:11" x14ac:dyDescent="0.3">
      <c r="A483" s="26" t="s">
        <v>174</v>
      </c>
      <c r="B483" s="26" t="s">
        <v>175</v>
      </c>
      <c r="C483" s="26" t="s">
        <v>176</v>
      </c>
      <c r="D483" s="26"/>
      <c r="E483" s="26" t="s">
        <v>435</v>
      </c>
      <c r="F483" s="26"/>
      <c r="G483" s="26"/>
      <c r="H483" s="26"/>
      <c r="I483" s="22"/>
      <c r="J483" s="22" t="s">
        <v>212</v>
      </c>
      <c r="K483" s="34"/>
    </row>
    <row r="484" spans="1:11" x14ac:dyDescent="0.3">
      <c r="A484" s="26" t="s">
        <v>174</v>
      </c>
      <c r="B484" s="26" t="s">
        <v>175</v>
      </c>
      <c r="C484" s="26" t="s">
        <v>176</v>
      </c>
      <c r="D484" s="26"/>
      <c r="E484" s="26" t="s">
        <v>436</v>
      </c>
      <c r="F484" s="26"/>
      <c r="G484" s="26"/>
      <c r="H484" s="26"/>
      <c r="I484" s="22"/>
      <c r="J484" s="22" t="s">
        <v>212</v>
      </c>
      <c r="K484" s="34"/>
    </row>
    <row r="485" spans="1:11" x14ac:dyDescent="0.3">
      <c r="A485" s="26" t="s">
        <v>174</v>
      </c>
      <c r="B485" s="26" t="s">
        <v>175</v>
      </c>
      <c r="C485" s="26" t="s">
        <v>176</v>
      </c>
      <c r="D485" s="26"/>
      <c r="E485" s="26" t="s">
        <v>437</v>
      </c>
      <c r="F485" s="26"/>
      <c r="G485" s="26"/>
      <c r="H485" s="26"/>
      <c r="I485" s="22"/>
      <c r="J485" s="22" t="s">
        <v>212</v>
      </c>
      <c r="K485" s="34"/>
    </row>
    <row r="486" spans="1:11" x14ac:dyDescent="0.3">
      <c r="A486" s="26" t="s">
        <v>174</v>
      </c>
      <c r="B486" s="26" t="s">
        <v>175</v>
      </c>
      <c r="C486" s="26" t="s">
        <v>176</v>
      </c>
      <c r="D486" s="26"/>
      <c r="E486" s="26" t="s">
        <v>438</v>
      </c>
      <c r="F486" s="26"/>
      <c r="G486" s="26"/>
      <c r="H486" s="26"/>
      <c r="I486" s="22"/>
      <c r="J486" s="22" t="s">
        <v>212</v>
      </c>
      <c r="K486" s="34"/>
    </row>
    <row r="487" spans="1:11" x14ac:dyDescent="0.3">
      <c r="A487" s="26" t="s">
        <v>174</v>
      </c>
      <c r="B487" s="26" t="s">
        <v>175</v>
      </c>
      <c r="C487" s="26" t="s">
        <v>176</v>
      </c>
      <c r="D487" s="26"/>
      <c r="E487" s="26" t="s">
        <v>439</v>
      </c>
      <c r="F487" s="26"/>
      <c r="G487" s="26"/>
      <c r="H487" s="26"/>
      <c r="I487" s="22"/>
      <c r="J487" s="22" t="s">
        <v>212</v>
      </c>
      <c r="K487" s="34"/>
    </row>
    <row r="488" spans="1:11" x14ac:dyDescent="0.3">
      <c r="A488" s="26" t="s">
        <v>174</v>
      </c>
      <c r="B488" s="26" t="s">
        <v>175</v>
      </c>
      <c r="C488" s="26" t="s">
        <v>176</v>
      </c>
      <c r="D488" s="26"/>
      <c r="E488" s="26" t="s">
        <v>440</v>
      </c>
      <c r="F488" s="26"/>
      <c r="G488" s="26"/>
      <c r="H488" s="26"/>
      <c r="I488" s="22"/>
      <c r="J488" s="22" t="s">
        <v>212</v>
      </c>
      <c r="K488" s="34"/>
    </row>
    <row r="489" spans="1:11" x14ac:dyDescent="0.3">
      <c r="A489" s="26" t="s">
        <v>174</v>
      </c>
      <c r="B489" s="26" t="s">
        <v>175</v>
      </c>
      <c r="C489" s="26" t="s">
        <v>176</v>
      </c>
      <c r="D489" s="26"/>
      <c r="E489" s="26" t="s">
        <v>441</v>
      </c>
      <c r="F489" s="26"/>
      <c r="G489" s="26"/>
      <c r="H489" s="26"/>
      <c r="I489" s="22"/>
      <c r="J489" s="22" t="s">
        <v>212</v>
      </c>
      <c r="K489" s="34"/>
    </row>
    <row r="490" spans="1:11" x14ac:dyDescent="0.3">
      <c r="A490" s="26" t="s">
        <v>174</v>
      </c>
      <c r="B490" s="26" t="s">
        <v>175</v>
      </c>
      <c r="C490" s="26" t="s">
        <v>176</v>
      </c>
      <c r="D490" s="26"/>
      <c r="E490" s="26" t="s">
        <v>442</v>
      </c>
      <c r="F490" s="26"/>
      <c r="G490" s="26"/>
      <c r="H490" s="26"/>
      <c r="I490" s="22"/>
      <c r="J490" s="22" t="s">
        <v>212</v>
      </c>
      <c r="K490" s="34"/>
    </row>
    <row r="491" spans="1:11" x14ac:dyDescent="0.3">
      <c r="A491" s="26" t="s">
        <v>174</v>
      </c>
      <c r="B491" s="26" t="s">
        <v>175</v>
      </c>
      <c r="C491" s="26" t="s">
        <v>176</v>
      </c>
      <c r="D491" s="26"/>
      <c r="E491" s="26" t="s">
        <v>443</v>
      </c>
      <c r="F491" s="26"/>
      <c r="G491" s="26"/>
      <c r="H491" s="26"/>
      <c r="I491" s="22"/>
      <c r="J491" s="22" t="s">
        <v>212</v>
      </c>
      <c r="K491" s="34"/>
    </row>
    <row r="492" spans="1:11" x14ac:dyDescent="0.3">
      <c r="A492" s="26" t="s">
        <v>174</v>
      </c>
      <c r="B492" s="26" t="s">
        <v>175</v>
      </c>
      <c r="C492" s="26" t="s">
        <v>176</v>
      </c>
      <c r="D492" s="26"/>
      <c r="E492" s="26" t="s">
        <v>444</v>
      </c>
      <c r="F492" s="26"/>
      <c r="G492" s="26"/>
      <c r="H492" s="26"/>
      <c r="I492" s="22"/>
      <c r="J492" s="22" t="s">
        <v>212</v>
      </c>
      <c r="K492" s="34"/>
    </row>
    <row r="493" spans="1:11" x14ac:dyDescent="0.3">
      <c r="A493" s="26" t="s">
        <v>174</v>
      </c>
      <c r="B493" s="26" t="s">
        <v>175</v>
      </c>
      <c r="C493" s="26" t="s">
        <v>176</v>
      </c>
      <c r="D493" s="26"/>
      <c r="E493" s="26" t="s">
        <v>445</v>
      </c>
      <c r="F493" s="26"/>
      <c r="G493" s="26"/>
      <c r="H493" s="26"/>
      <c r="I493" s="22"/>
      <c r="J493" s="22" t="s">
        <v>212</v>
      </c>
      <c r="K493" s="34"/>
    </row>
    <row r="494" spans="1:11" x14ac:dyDescent="0.3">
      <c r="A494" s="26" t="s">
        <v>174</v>
      </c>
      <c r="B494" s="26" t="s">
        <v>175</v>
      </c>
      <c r="C494" s="26" t="s">
        <v>176</v>
      </c>
      <c r="D494" s="26"/>
      <c r="E494" s="26" t="s">
        <v>446</v>
      </c>
      <c r="F494" s="26"/>
      <c r="G494" s="26"/>
      <c r="H494" s="26"/>
      <c r="I494" s="22" t="s">
        <v>447</v>
      </c>
      <c r="J494" s="22" t="s">
        <v>212</v>
      </c>
      <c r="K494" s="34"/>
    </row>
    <row r="495" spans="1:11" x14ac:dyDescent="0.3">
      <c r="A495" s="26" t="s">
        <v>174</v>
      </c>
      <c r="B495" s="26" t="s">
        <v>175</v>
      </c>
      <c r="C495" s="26" t="s">
        <v>176</v>
      </c>
      <c r="D495" s="26"/>
      <c r="E495" s="26" t="s">
        <v>448</v>
      </c>
      <c r="F495" s="26"/>
      <c r="G495" s="26"/>
      <c r="H495" s="26"/>
      <c r="I495" s="22" t="s">
        <v>447</v>
      </c>
      <c r="J495" s="22" t="s">
        <v>212</v>
      </c>
      <c r="K495" s="34"/>
    </row>
    <row r="496" spans="1:11" x14ac:dyDescent="0.3">
      <c r="A496" s="26" t="s">
        <v>174</v>
      </c>
      <c r="B496" s="26" t="s">
        <v>175</v>
      </c>
      <c r="C496" s="26" t="s">
        <v>176</v>
      </c>
      <c r="D496" s="26"/>
      <c r="E496" s="26" t="s">
        <v>449</v>
      </c>
      <c r="F496" s="26"/>
      <c r="G496" s="26"/>
      <c r="H496" s="26"/>
      <c r="I496" s="22" t="s">
        <v>447</v>
      </c>
      <c r="J496" s="22" t="s">
        <v>212</v>
      </c>
      <c r="K496" s="34"/>
    </row>
    <row r="497" spans="1:11" x14ac:dyDescent="0.3">
      <c r="A497" s="26" t="s">
        <v>174</v>
      </c>
      <c r="B497" s="26" t="s">
        <v>175</v>
      </c>
      <c r="C497" s="26" t="s">
        <v>176</v>
      </c>
      <c r="D497" s="26"/>
      <c r="E497" s="26" t="s">
        <v>450</v>
      </c>
      <c r="F497" s="26"/>
      <c r="G497" s="26"/>
      <c r="H497" s="26"/>
      <c r="I497" s="22" t="s">
        <v>447</v>
      </c>
      <c r="J497" s="22" t="s">
        <v>212</v>
      </c>
      <c r="K497" s="34"/>
    </row>
    <row r="498" spans="1:11" x14ac:dyDescent="0.3">
      <c r="A498" s="26" t="s">
        <v>174</v>
      </c>
      <c r="B498" s="26" t="s">
        <v>175</v>
      </c>
      <c r="C498" s="26" t="s">
        <v>176</v>
      </c>
      <c r="D498" s="26"/>
      <c r="E498" s="26" t="s">
        <v>451</v>
      </c>
      <c r="F498" s="26"/>
      <c r="G498" s="26"/>
      <c r="H498" s="26"/>
      <c r="I498" s="22" t="s">
        <v>447</v>
      </c>
      <c r="J498" s="22" t="s">
        <v>212</v>
      </c>
      <c r="K498" s="34"/>
    </row>
    <row r="499" spans="1:11" x14ac:dyDescent="0.3">
      <c r="A499" s="26" t="s">
        <v>174</v>
      </c>
      <c r="B499" s="26" t="s">
        <v>175</v>
      </c>
      <c r="C499" s="26" t="s">
        <v>176</v>
      </c>
      <c r="D499" s="26"/>
      <c r="E499" s="26" t="s">
        <v>452</v>
      </c>
      <c r="F499" s="26"/>
      <c r="G499" s="26"/>
      <c r="H499" s="26"/>
      <c r="I499" s="22" t="s">
        <v>447</v>
      </c>
      <c r="J499" s="22" t="s">
        <v>212</v>
      </c>
      <c r="K499" s="34"/>
    </row>
    <row r="500" spans="1:11" x14ac:dyDescent="0.3">
      <c r="A500" s="26" t="s">
        <v>174</v>
      </c>
      <c r="B500" s="26" t="s">
        <v>175</v>
      </c>
      <c r="C500" s="26" t="s">
        <v>176</v>
      </c>
      <c r="D500" s="26"/>
      <c r="E500" s="26" t="s">
        <v>453</v>
      </c>
      <c r="F500" s="26"/>
      <c r="G500" s="26"/>
      <c r="H500" s="26"/>
      <c r="I500" s="22" t="s">
        <v>447</v>
      </c>
      <c r="J500" s="22" t="s">
        <v>212</v>
      </c>
      <c r="K500" s="34"/>
    </row>
    <row r="501" spans="1:11" x14ac:dyDescent="0.3">
      <c r="A501" s="26" t="s">
        <v>174</v>
      </c>
      <c r="B501" s="26" t="s">
        <v>175</v>
      </c>
      <c r="C501" s="26" t="s">
        <v>176</v>
      </c>
      <c r="D501" s="26"/>
      <c r="E501" s="26" t="s">
        <v>454</v>
      </c>
      <c r="F501" s="26"/>
      <c r="G501" s="26"/>
      <c r="H501" s="26"/>
      <c r="I501" s="22" t="s">
        <v>455</v>
      </c>
      <c r="J501" s="22" t="s">
        <v>212</v>
      </c>
      <c r="K501" s="34"/>
    </row>
    <row r="502" spans="1:11" x14ac:dyDescent="0.3">
      <c r="A502" s="26" t="s">
        <v>174</v>
      </c>
      <c r="B502" s="26" t="s">
        <v>175</v>
      </c>
      <c r="C502" s="26" t="s">
        <v>176</v>
      </c>
      <c r="D502" s="26"/>
      <c r="E502" s="26" t="s">
        <v>456</v>
      </c>
      <c r="F502" s="26"/>
      <c r="G502" s="26"/>
      <c r="H502" s="26"/>
      <c r="I502" s="22" t="s">
        <v>455</v>
      </c>
      <c r="J502" s="22" t="s">
        <v>212</v>
      </c>
      <c r="K502" s="34"/>
    </row>
    <row r="503" spans="1:11" x14ac:dyDescent="0.3">
      <c r="A503" s="26" t="s">
        <v>174</v>
      </c>
      <c r="B503" s="26" t="s">
        <v>175</v>
      </c>
      <c r="C503" s="26" t="s">
        <v>176</v>
      </c>
      <c r="D503" s="26"/>
      <c r="E503" s="26" t="s">
        <v>457</v>
      </c>
      <c r="F503" s="26"/>
      <c r="G503" s="26"/>
      <c r="H503" s="26"/>
      <c r="I503" s="22" t="s">
        <v>455</v>
      </c>
      <c r="J503" s="22" t="s">
        <v>212</v>
      </c>
      <c r="K503" s="34"/>
    </row>
    <row r="504" spans="1:11" x14ac:dyDescent="0.3">
      <c r="A504" s="26" t="s">
        <v>174</v>
      </c>
      <c r="B504" s="26" t="s">
        <v>175</v>
      </c>
      <c r="C504" s="26" t="s">
        <v>176</v>
      </c>
      <c r="D504" s="26"/>
      <c r="E504" s="26" t="s">
        <v>458</v>
      </c>
      <c r="F504" s="26"/>
      <c r="G504" s="26"/>
      <c r="H504" s="26"/>
      <c r="I504" s="22" t="s">
        <v>455</v>
      </c>
      <c r="J504" s="22" t="s">
        <v>212</v>
      </c>
      <c r="K504" s="34"/>
    </row>
    <row r="505" spans="1:11" x14ac:dyDescent="0.3">
      <c r="A505" s="26" t="s">
        <v>174</v>
      </c>
      <c r="B505" s="26" t="s">
        <v>175</v>
      </c>
      <c r="C505" s="26" t="s">
        <v>176</v>
      </c>
      <c r="D505" s="26"/>
      <c r="E505" s="26" t="s">
        <v>459</v>
      </c>
      <c r="F505" s="26"/>
      <c r="G505" s="26"/>
      <c r="H505" s="26"/>
      <c r="I505" s="22" t="s">
        <v>455</v>
      </c>
      <c r="J505" s="22" t="s">
        <v>212</v>
      </c>
      <c r="K505" s="34"/>
    </row>
    <row r="506" spans="1:11" x14ac:dyDescent="0.3">
      <c r="A506" s="26" t="s">
        <v>174</v>
      </c>
      <c r="B506" s="26" t="s">
        <v>175</v>
      </c>
      <c r="C506" s="26" t="s">
        <v>176</v>
      </c>
      <c r="D506" s="26"/>
      <c r="E506" s="26" t="s">
        <v>460</v>
      </c>
      <c r="F506" s="26"/>
      <c r="G506" s="26"/>
      <c r="H506" s="26"/>
      <c r="I506" s="22" t="s">
        <v>455</v>
      </c>
      <c r="J506" s="22" t="s">
        <v>212</v>
      </c>
      <c r="K506" s="34"/>
    </row>
    <row r="507" spans="1:11" x14ac:dyDescent="0.3">
      <c r="A507" s="26" t="s">
        <v>174</v>
      </c>
      <c r="B507" s="26" t="s">
        <v>175</v>
      </c>
      <c r="C507" s="26" t="s">
        <v>176</v>
      </c>
      <c r="D507" s="26"/>
      <c r="E507" s="26" t="s">
        <v>461</v>
      </c>
      <c r="F507" s="26"/>
      <c r="G507" s="26"/>
      <c r="H507" s="26"/>
      <c r="I507" s="22" t="s">
        <v>455</v>
      </c>
      <c r="J507" s="22" t="s">
        <v>212</v>
      </c>
      <c r="K507" s="34"/>
    </row>
    <row r="508" spans="1:11" x14ac:dyDescent="0.3">
      <c r="A508" s="26" t="s">
        <v>174</v>
      </c>
      <c r="B508" s="26" t="s">
        <v>175</v>
      </c>
      <c r="C508" s="26" t="s">
        <v>176</v>
      </c>
      <c r="D508" s="26"/>
      <c r="E508" s="26" t="s">
        <v>462</v>
      </c>
      <c r="F508" s="26"/>
      <c r="G508" s="26"/>
      <c r="H508" s="26"/>
      <c r="I508" s="22" t="s">
        <v>463</v>
      </c>
      <c r="J508" s="22" t="s">
        <v>212</v>
      </c>
      <c r="K508" s="34"/>
    </row>
    <row r="509" spans="1:11" x14ac:dyDescent="0.3">
      <c r="A509" s="26" t="s">
        <v>174</v>
      </c>
      <c r="B509" s="26" t="s">
        <v>175</v>
      </c>
      <c r="C509" s="26" t="s">
        <v>176</v>
      </c>
      <c r="D509" s="26"/>
      <c r="E509" s="26" t="s">
        <v>464</v>
      </c>
      <c r="F509" s="26"/>
      <c r="G509" s="26"/>
      <c r="H509" s="26"/>
      <c r="I509" s="22" t="s">
        <v>463</v>
      </c>
      <c r="J509" s="22" t="s">
        <v>212</v>
      </c>
      <c r="K509" s="34"/>
    </row>
    <row r="510" spans="1:11" x14ac:dyDescent="0.3">
      <c r="A510" s="26" t="s">
        <v>174</v>
      </c>
      <c r="B510" s="26" t="s">
        <v>175</v>
      </c>
      <c r="C510" s="26" t="s">
        <v>176</v>
      </c>
      <c r="D510" s="26"/>
      <c r="E510" s="26" t="s">
        <v>465</v>
      </c>
      <c r="F510" s="26"/>
      <c r="G510" s="26"/>
      <c r="H510" s="26"/>
      <c r="I510" s="22" t="s">
        <v>463</v>
      </c>
      <c r="J510" s="22" t="s">
        <v>212</v>
      </c>
      <c r="K510" s="34"/>
    </row>
    <row r="511" spans="1:11" x14ac:dyDescent="0.3">
      <c r="A511" s="26" t="s">
        <v>174</v>
      </c>
      <c r="B511" s="26" t="s">
        <v>175</v>
      </c>
      <c r="C511" s="26" t="s">
        <v>176</v>
      </c>
      <c r="D511" s="26"/>
      <c r="E511" s="26" t="s">
        <v>466</v>
      </c>
      <c r="F511" s="26"/>
      <c r="G511" s="26"/>
      <c r="H511" s="26"/>
      <c r="I511" s="22" t="s">
        <v>463</v>
      </c>
      <c r="J511" s="22" t="s">
        <v>212</v>
      </c>
      <c r="K511" s="34"/>
    </row>
    <row r="512" spans="1:11" x14ac:dyDescent="0.3">
      <c r="A512" s="26" t="s">
        <v>174</v>
      </c>
      <c r="B512" s="26" t="s">
        <v>175</v>
      </c>
      <c r="C512" s="26" t="s">
        <v>176</v>
      </c>
      <c r="D512" s="26"/>
      <c r="E512" s="26" t="s">
        <v>467</v>
      </c>
      <c r="F512" s="26"/>
      <c r="G512" s="26"/>
      <c r="H512" s="26"/>
      <c r="I512" s="22" t="s">
        <v>463</v>
      </c>
      <c r="J512" s="22" t="s">
        <v>212</v>
      </c>
      <c r="K512" s="34"/>
    </row>
    <row r="513" spans="1:11" x14ac:dyDescent="0.3">
      <c r="A513" s="26" t="s">
        <v>174</v>
      </c>
      <c r="B513" s="26" t="s">
        <v>175</v>
      </c>
      <c r="C513" s="26" t="s">
        <v>176</v>
      </c>
      <c r="D513" s="26"/>
      <c r="E513" s="26" t="s">
        <v>468</v>
      </c>
      <c r="F513" s="26"/>
      <c r="G513" s="26"/>
      <c r="H513" s="26"/>
      <c r="I513" s="22" t="s">
        <v>463</v>
      </c>
      <c r="J513" s="22" t="s">
        <v>212</v>
      </c>
      <c r="K513" s="34"/>
    </row>
    <row r="514" spans="1:11" x14ac:dyDescent="0.3">
      <c r="A514" s="26" t="s">
        <v>174</v>
      </c>
      <c r="B514" s="26" t="s">
        <v>175</v>
      </c>
      <c r="C514" s="26" t="s">
        <v>176</v>
      </c>
      <c r="D514" s="26"/>
      <c r="E514" s="26" t="s">
        <v>469</v>
      </c>
      <c r="F514" s="26"/>
      <c r="G514" s="26"/>
      <c r="H514" s="26"/>
      <c r="I514" s="22" t="s">
        <v>463</v>
      </c>
      <c r="J514" s="22" t="s">
        <v>212</v>
      </c>
      <c r="K514" s="34"/>
    </row>
    <row r="515" spans="1:11" x14ac:dyDescent="0.3">
      <c r="A515" s="26" t="s">
        <v>174</v>
      </c>
      <c r="B515" s="26" t="s">
        <v>175</v>
      </c>
      <c r="C515" s="26" t="s">
        <v>176</v>
      </c>
      <c r="D515" s="26"/>
      <c r="E515" s="26" t="s">
        <v>470</v>
      </c>
      <c r="F515" s="26"/>
      <c r="G515" s="26"/>
      <c r="H515" s="26"/>
      <c r="I515" s="22"/>
      <c r="J515" s="22" t="s">
        <v>212</v>
      </c>
      <c r="K515" s="34"/>
    </row>
    <row r="516" spans="1:11" x14ac:dyDescent="0.3">
      <c r="A516" s="26" t="s">
        <v>174</v>
      </c>
      <c r="B516" s="26" t="s">
        <v>175</v>
      </c>
      <c r="C516" s="26" t="s">
        <v>176</v>
      </c>
      <c r="D516" s="26"/>
      <c r="E516" s="26" t="s">
        <v>471</v>
      </c>
      <c r="F516" s="26"/>
      <c r="G516" s="26"/>
      <c r="H516" s="26"/>
      <c r="I516" s="22"/>
      <c r="J516" s="22" t="s">
        <v>212</v>
      </c>
      <c r="K516" s="34"/>
    </row>
    <row r="517" spans="1:11" x14ac:dyDescent="0.3">
      <c r="A517" s="26" t="s">
        <v>174</v>
      </c>
      <c r="B517" s="26" t="s">
        <v>175</v>
      </c>
      <c r="C517" s="26" t="s">
        <v>176</v>
      </c>
      <c r="D517" s="26"/>
      <c r="E517" s="26" t="s">
        <v>472</v>
      </c>
      <c r="F517" s="26"/>
      <c r="G517" s="26"/>
      <c r="H517" s="26"/>
      <c r="I517" s="22"/>
      <c r="J517" s="22" t="s">
        <v>212</v>
      </c>
      <c r="K517" s="34"/>
    </row>
    <row r="518" spans="1:11" x14ac:dyDescent="0.3">
      <c r="A518" s="26" t="s">
        <v>174</v>
      </c>
      <c r="B518" s="26" t="s">
        <v>175</v>
      </c>
      <c r="C518" s="26" t="s">
        <v>176</v>
      </c>
      <c r="D518" s="26"/>
      <c r="E518" s="26" t="s">
        <v>473</v>
      </c>
      <c r="F518" s="26"/>
      <c r="G518" s="26"/>
      <c r="H518" s="26"/>
      <c r="I518" s="22"/>
      <c r="J518" s="22" t="s">
        <v>212</v>
      </c>
      <c r="K518" s="34"/>
    </row>
    <row r="519" spans="1:11" x14ac:dyDescent="0.3">
      <c r="A519" s="26" t="s">
        <v>174</v>
      </c>
      <c r="B519" s="26" t="s">
        <v>175</v>
      </c>
      <c r="C519" s="26" t="s">
        <v>176</v>
      </c>
      <c r="D519" s="26"/>
      <c r="E519" s="26" t="s">
        <v>474</v>
      </c>
      <c r="F519" s="26"/>
      <c r="G519" s="26"/>
      <c r="H519" s="26"/>
      <c r="I519" s="22"/>
      <c r="J519" s="22" t="s">
        <v>212</v>
      </c>
      <c r="K519" s="34"/>
    </row>
    <row r="520" spans="1:11" x14ac:dyDescent="0.3">
      <c r="A520" s="26" t="s">
        <v>174</v>
      </c>
      <c r="B520" s="26" t="s">
        <v>175</v>
      </c>
      <c r="C520" s="26" t="s">
        <v>176</v>
      </c>
      <c r="D520" s="26"/>
      <c r="E520" s="26" t="s">
        <v>475</v>
      </c>
      <c r="F520" s="26"/>
      <c r="G520" s="26"/>
      <c r="H520" s="26"/>
      <c r="I520" s="22"/>
      <c r="J520" s="22" t="s">
        <v>212</v>
      </c>
      <c r="K520" s="34"/>
    </row>
    <row r="521" spans="1:11" x14ac:dyDescent="0.3">
      <c r="A521" s="26" t="s">
        <v>174</v>
      </c>
      <c r="B521" s="26" t="s">
        <v>175</v>
      </c>
      <c r="C521" s="26" t="s">
        <v>176</v>
      </c>
      <c r="D521" s="26"/>
      <c r="E521" s="26" t="s">
        <v>476</v>
      </c>
      <c r="F521" s="26"/>
      <c r="G521" s="26"/>
      <c r="H521" s="26"/>
      <c r="I521" s="22"/>
      <c r="J521" s="22" t="s">
        <v>212</v>
      </c>
      <c r="K521" s="34"/>
    </row>
    <row r="522" spans="1:11" x14ac:dyDescent="0.3">
      <c r="A522" s="26" t="s">
        <v>174</v>
      </c>
      <c r="B522" s="26" t="s">
        <v>175</v>
      </c>
      <c r="C522" s="26" t="s">
        <v>176</v>
      </c>
      <c r="D522" s="26"/>
      <c r="E522" s="26" t="s">
        <v>477</v>
      </c>
      <c r="F522" s="26"/>
      <c r="G522" s="26"/>
      <c r="H522" s="26"/>
      <c r="I522" s="22"/>
      <c r="J522" s="22" t="s">
        <v>212</v>
      </c>
      <c r="K522" s="34"/>
    </row>
    <row r="523" spans="1:11" x14ac:dyDescent="0.3">
      <c r="A523" s="26" t="s">
        <v>174</v>
      </c>
      <c r="B523" s="26" t="s">
        <v>175</v>
      </c>
      <c r="C523" s="26" t="s">
        <v>176</v>
      </c>
      <c r="D523" s="26"/>
      <c r="E523" s="26" t="s">
        <v>478</v>
      </c>
      <c r="F523" s="26"/>
      <c r="G523" s="26"/>
      <c r="H523" s="26"/>
      <c r="I523" s="22"/>
      <c r="J523" s="22" t="s">
        <v>212</v>
      </c>
      <c r="K523" s="34"/>
    </row>
    <row r="524" spans="1:11" x14ac:dyDescent="0.3">
      <c r="A524" s="26" t="s">
        <v>174</v>
      </c>
      <c r="B524" s="26" t="s">
        <v>175</v>
      </c>
      <c r="C524" s="26" t="s">
        <v>176</v>
      </c>
      <c r="D524" s="26"/>
      <c r="E524" s="26" t="s">
        <v>479</v>
      </c>
      <c r="F524" s="26"/>
      <c r="G524" s="26"/>
      <c r="H524" s="26"/>
      <c r="I524" s="22"/>
      <c r="J524" s="22" t="s">
        <v>212</v>
      </c>
      <c r="K524" s="34"/>
    </row>
    <row r="525" spans="1:11" x14ac:dyDescent="0.3">
      <c r="A525" s="26" t="s">
        <v>174</v>
      </c>
      <c r="B525" s="26" t="s">
        <v>175</v>
      </c>
      <c r="C525" s="26" t="s">
        <v>176</v>
      </c>
      <c r="D525" s="26"/>
      <c r="E525" s="26" t="s">
        <v>480</v>
      </c>
      <c r="F525" s="26"/>
      <c r="G525" s="26"/>
      <c r="H525" s="26"/>
      <c r="I525" s="22"/>
      <c r="J525" s="22" t="s">
        <v>212</v>
      </c>
      <c r="K525" s="34"/>
    </row>
    <row r="526" spans="1:11" x14ac:dyDescent="0.3">
      <c r="A526" s="26" t="s">
        <v>174</v>
      </c>
      <c r="B526" s="26" t="s">
        <v>175</v>
      </c>
      <c r="C526" s="26" t="s">
        <v>176</v>
      </c>
      <c r="D526" s="26"/>
      <c r="E526" s="26" t="s">
        <v>481</v>
      </c>
      <c r="F526" s="26"/>
      <c r="G526" s="26"/>
      <c r="H526" s="26"/>
      <c r="I526" s="22"/>
      <c r="J526" s="22" t="s">
        <v>212</v>
      </c>
      <c r="K526" s="34"/>
    </row>
    <row r="527" spans="1:11" x14ac:dyDescent="0.3">
      <c r="A527" s="26" t="s">
        <v>174</v>
      </c>
      <c r="B527" s="26" t="s">
        <v>175</v>
      </c>
      <c r="C527" s="26" t="s">
        <v>176</v>
      </c>
      <c r="D527" s="26"/>
      <c r="E527" s="26" t="s">
        <v>482</v>
      </c>
      <c r="F527" s="26"/>
      <c r="G527" s="26"/>
      <c r="H527" s="26"/>
      <c r="I527" s="22"/>
      <c r="J527" s="22" t="s">
        <v>212</v>
      </c>
      <c r="K527" s="34"/>
    </row>
    <row r="528" spans="1:11" x14ac:dyDescent="0.3">
      <c r="A528" s="26" t="s">
        <v>174</v>
      </c>
      <c r="B528" s="26" t="s">
        <v>175</v>
      </c>
      <c r="C528" s="26" t="s">
        <v>176</v>
      </c>
      <c r="D528" s="26"/>
      <c r="E528" s="26" t="s">
        <v>483</v>
      </c>
      <c r="F528" s="26"/>
      <c r="G528" s="26"/>
      <c r="H528" s="26"/>
      <c r="I528" s="22"/>
      <c r="J528" s="22" t="s">
        <v>212</v>
      </c>
      <c r="K528" s="34"/>
    </row>
    <row r="529" spans="1:11" x14ac:dyDescent="0.3">
      <c r="A529" s="26" t="s">
        <v>174</v>
      </c>
      <c r="B529" s="26" t="s">
        <v>175</v>
      </c>
      <c r="C529" s="26" t="s">
        <v>176</v>
      </c>
      <c r="D529" s="26"/>
      <c r="E529" s="26" t="s">
        <v>484</v>
      </c>
      <c r="F529" s="26"/>
      <c r="G529" s="26"/>
      <c r="H529" s="26"/>
      <c r="I529" s="22" t="s">
        <v>485</v>
      </c>
      <c r="J529" s="22"/>
      <c r="K529" s="34"/>
    </row>
    <row r="530" spans="1:11" x14ac:dyDescent="0.3">
      <c r="A530" s="26" t="s">
        <v>174</v>
      </c>
      <c r="B530" s="26" t="s">
        <v>175</v>
      </c>
      <c r="C530" s="26" t="s">
        <v>176</v>
      </c>
      <c r="D530" s="26"/>
      <c r="E530" s="26" t="s">
        <v>486</v>
      </c>
      <c r="F530" s="26"/>
      <c r="G530" s="26"/>
      <c r="H530" s="26"/>
      <c r="I530" s="22" t="s">
        <v>485</v>
      </c>
      <c r="J530" s="22"/>
      <c r="K530" s="34"/>
    </row>
    <row r="531" spans="1:11" x14ac:dyDescent="0.3">
      <c r="A531" s="26" t="s">
        <v>174</v>
      </c>
      <c r="B531" s="26" t="s">
        <v>175</v>
      </c>
      <c r="C531" s="26" t="s">
        <v>176</v>
      </c>
      <c r="D531" s="26"/>
      <c r="E531" s="26" t="s">
        <v>487</v>
      </c>
      <c r="F531" s="26"/>
      <c r="G531" s="26"/>
      <c r="H531" s="26"/>
      <c r="I531" s="22" t="s">
        <v>488</v>
      </c>
      <c r="J531" s="22"/>
      <c r="K531" s="34"/>
    </row>
    <row r="532" spans="1:11" x14ac:dyDescent="0.3">
      <c r="A532" s="26" t="s">
        <v>174</v>
      </c>
      <c r="B532" s="26" t="s">
        <v>175</v>
      </c>
      <c r="C532" s="26" t="s">
        <v>176</v>
      </c>
      <c r="D532" s="26"/>
      <c r="E532" s="26" t="s">
        <v>489</v>
      </c>
      <c r="F532" s="26"/>
      <c r="G532" s="26"/>
      <c r="H532" s="26"/>
      <c r="I532" s="22" t="s">
        <v>488</v>
      </c>
      <c r="J532" s="22"/>
      <c r="K532" s="34"/>
    </row>
    <row r="533" spans="1:11" x14ac:dyDescent="0.3">
      <c r="A533" s="26" t="s">
        <v>174</v>
      </c>
      <c r="B533" s="26" t="s">
        <v>175</v>
      </c>
      <c r="C533" s="26" t="s">
        <v>176</v>
      </c>
      <c r="D533" s="26"/>
      <c r="E533" s="26" t="s">
        <v>490</v>
      </c>
      <c r="F533" s="26"/>
      <c r="G533" s="26"/>
      <c r="H533" s="26"/>
      <c r="I533" s="22" t="s">
        <v>491</v>
      </c>
      <c r="J533" s="22"/>
      <c r="K533" s="34"/>
    </row>
    <row r="534" spans="1:11" x14ac:dyDescent="0.3">
      <c r="A534" s="26" t="s">
        <v>174</v>
      </c>
      <c r="B534" s="26" t="s">
        <v>175</v>
      </c>
      <c r="C534" s="26" t="s">
        <v>176</v>
      </c>
      <c r="D534" s="26"/>
      <c r="E534" s="26" t="s">
        <v>492</v>
      </c>
      <c r="F534" s="26"/>
      <c r="G534" s="26"/>
      <c r="H534" s="26"/>
      <c r="I534" s="22" t="s">
        <v>491</v>
      </c>
      <c r="J534" s="22"/>
      <c r="K534" s="34"/>
    </row>
    <row r="535" spans="1:11" x14ac:dyDescent="0.3">
      <c r="A535" s="26" t="s">
        <v>174</v>
      </c>
      <c r="B535" s="26" t="s">
        <v>175</v>
      </c>
      <c r="C535" s="26" t="s">
        <v>176</v>
      </c>
      <c r="D535" s="26"/>
      <c r="E535" s="26" t="s">
        <v>493</v>
      </c>
      <c r="F535" s="26"/>
      <c r="G535" s="26"/>
      <c r="H535" s="26"/>
      <c r="I535" s="22" t="s">
        <v>491</v>
      </c>
      <c r="J535" s="22"/>
      <c r="K535" s="74"/>
    </row>
    <row r="536" spans="1:11" x14ac:dyDescent="0.3">
      <c r="A536" s="29" t="s">
        <v>174</v>
      </c>
      <c r="B536" s="29" t="s">
        <v>175</v>
      </c>
      <c r="C536" s="29" t="s">
        <v>176</v>
      </c>
      <c r="D536" s="26"/>
      <c r="E536" s="29" t="s">
        <v>494</v>
      </c>
      <c r="F536" s="23"/>
      <c r="G536" s="29">
        <v>30</v>
      </c>
      <c r="H536" s="29"/>
      <c r="I536" s="65" t="s">
        <v>211</v>
      </c>
      <c r="J536" s="65" t="s">
        <v>212</v>
      </c>
      <c r="K536" s="74"/>
    </row>
    <row r="537" spans="1:11" x14ac:dyDescent="0.3">
      <c r="A537" s="29" t="s">
        <v>174</v>
      </c>
      <c r="B537" s="29" t="s">
        <v>175</v>
      </c>
      <c r="C537" s="29" t="s">
        <v>176</v>
      </c>
      <c r="D537" s="26"/>
      <c r="E537" s="29" t="s">
        <v>495</v>
      </c>
      <c r="F537" s="23"/>
      <c r="G537" s="29">
        <v>30</v>
      </c>
      <c r="H537" s="29"/>
      <c r="I537" s="65" t="s">
        <v>211</v>
      </c>
      <c r="J537" s="65" t="s">
        <v>212</v>
      </c>
      <c r="K537" s="75"/>
    </row>
    <row r="538" spans="1:11" x14ac:dyDescent="0.3">
      <c r="A538" s="29" t="s">
        <v>174</v>
      </c>
      <c r="B538" s="29" t="s">
        <v>175</v>
      </c>
      <c r="C538" s="29" t="s">
        <v>213</v>
      </c>
      <c r="D538" s="29"/>
      <c r="E538" s="29" t="s">
        <v>496</v>
      </c>
      <c r="F538" s="29"/>
      <c r="G538" s="29"/>
      <c r="H538" s="29"/>
      <c r="I538" s="29" t="s">
        <v>497</v>
      </c>
      <c r="J538" s="29" t="s">
        <v>498</v>
      </c>
      <c r="K538" s="75"/>
    </row>
    <row r="539" spans="1:11" x14ac:dyDescent="0.3">
      <c r="A539" s="29" t="s">
        <v>174</v>
      </c>
      <c r="B539" s="29" t="s">
        <v>175</v>
      </c>
      <c r="C539" s="29" t="s">
        <v>221</v>
      </c>
      <c r="D539" s="29"/>
      <c r="E539" s="29" t="s">
        <v>499</v>
      </c>
      <c r="F539" s="29"/>
      <c r="G539" s="29"/>
      <c r="H539" s="29"/>
      <c r="I539" s="29" t="s">
        <v>500</v>
      </c>
      <c r="J539" s="29" t="s">
        <v>501</v>
      </c>
      <c r="K539" s="75"/>
    </row>
    <row r="540" spans="1:11" x14ac:dyDescent="0.3">
      <c r="A540" s="29" t="s">
        <v>174</v>
      </c>
      <c r="B540" s="29" t="s">
        <v>175</v>
      </c>
      <c r="C540" s="29" t="s">
        <v>217</v>
      </c>
      <c r="D540" s="29"/>
      <c r="E540" s="29" t="s">
        <v>502</v>
      </c>
      <c r="F540" s="29"/>
      <c r="G540" s="29"/>
      <c r="H540" s="29"/>
      <c r="I540" s="29" t="s">
        <v>503</v>
      </c>
      <c r="J540" s="29" t="s">
        <v>504</v>
      </c>
      <c r="K540" s="75"/>
    </row>
    <row r="541" spans="1:11" x14ac:dyDescent="0.3">
      <c r="A541" s="29" t="s">
        <v>174</v>
      </c>
      <c r="B541" s="29" t="s">
        <v>175</v>
      </c>
      <c r="C541" s="29" t="s">
        <v>213</v>
      </c>
      <c r="D541" s="29"/>
      <c r="E541" s="29" t="s">
        <v>505</v>
      </c>
      <c r="F541" s="29"/>
      <c r="G541" s="29"/>
      <c r="H541" s="29"/>
      <c r="I541" s="29" t="s">
        <v>506</v>
      </c>
      <c r="J541" s="29" t="s">
        <v>507</v>
      </c>
      <c r="K541" s="75"/>
    </row>
    <row r="542" spans="1:11" x14ac:dyDescent="0.3">
      <c r="A542" s="29" t="s">
        <v>174</v>
      </c>
      <c r="B542" s="29" t="s">
        <v>175</v>
      </c>
      <c r="C542" s="29" t="s">
        <v>221</v>
      </c>
      <c r="D542" s="29"/>
      <c r="E542" s="29" t="s">
        <v>508</v>
      </c>
      <c r="F542" s="29"/>
      <c r="G542" s="29"/>
      <c r="H542" s="29"/>
      <c r="I542" s="29" t="s">
        <v>509</v>
      </c>
      <c r="J542" s="29" t="s">
        <v>510</v>
      </c>
      <c r="K542" s="75"/>
    </row>
    <row r="543" spans="1:11" x14ac:dyDescent="0.3">
      <c r="A543" s="29" t="s">
        <v>174</v>
      </c>
      <c r="B543" s="29" t="s">
        <v>175</v>
      </c>
      <c r="C543" s="29" t="s">
        <v>217</v>
      </c>
      <c r="D543" s="29"/>
      <c r="E543" s="29" t="s">
        <v>511</v>
      </c>
      <c r="F543" s="29"/>
      <c r="G543" s="29"/>
      <c r="H543" s="29"/>
      <c r="I543" s="29" t="s">
        <v>512</v>
      </c>
      <c r="J543" s="29" t="s">
        <v>513</v>
      </c>
      <c r="K543" s="75"/>
    </row>
    <row r="544" spans="1:11" x14ac:dyDescent="0.3">
      <c r="A544" s="29" t="s">
        <v>174</v>
      </c>
      <c r="B544" s="29" t="s">
        <v>175</v>
      </c>
      <c r="C544" s="29" t="s">
        <v>213</v>
      </c>
      <c r="D544" s="29"/>
      <c r="E544" s="29" t="s">
        <v>514</v>
      </c>
      <c r="F544" s="29"/>
      <c r="G544" s="29"/>
      <c r="H544" s="29"/>
      <c r="I544" s="29" t="s">
        <v>515</v>
      </c>
      <c r="J544" s="29" t="s">
        <v>516</v>
      </c>
      <c r="K544" s="75"/>
    </row>
    <row r="545" spans="1:11" x14ac:dyDescent="0.3">
      <c r="A545" s="29" t="s">
        <v>174</v>
      </c>
      <c r="B545" s="29" t="s">
        <v>175</v>
      </c>
      <c r="C545" s="29" t="s">
        <v>221</v>
      </c>
      <c r="D545" s="29"/>
      <c r="E545" s="29" t="s">
        <v>517</v>
      </c>
      <c r="F545" s="29"/>
      <c r="G545" s="29"/>
      <c r="H545" s="29"/>
      <c r="I545" s="29" t="s">
        <v>518</v>
      </c>
      <c r="J545" s="29" t="s">
        <v>519</v>
      </c>
      <c r="K545" s="75"/>
    </row>
    <row r="546" spans="1:11" x14ac:dyDescent="0.3">
      <c r="A546" s="29" t="s">
        <v>174</v>
      </c>
      <c r="B546" s="29" t="s">
        <v>175</v>
      </c>
      <c r="C546" s="29" t="s">
        <v>217</v>
      </c>
      <c r="D546" s="29"/>
      <c r="E546" s="29" t="s">
        <v>520</v>
      </c>
      <c r="F546" s="29"/>
      <c r="G546" s="29"/>
      <c r="H546" s="29"/>
      <c r="I546" s="29" t="s">
        <v>521</v>
      </c>
      <c r="J546" s="29" t="s">
        <v>522</v>
      </c>
      <c r="K546" s="34"/>
    </row>
    <row r="547" spans="1:11" x14ac:dyDescent="0.3">
      <c r="A547" s="26" t="s">
        <v>174</v>
      </c>
      <c r="B547" s="26" t="s">
        <v>175</v>
      </c>
      <c r="C547" s="26" t="s">
        <v>176</v>
      </c>
      <c r="D547" s="26"/>
      <c r="E547" s="26" t="s">
        <v>523</v>
      </c>
      <c r="F547" s="26"/>
      <c r="G547" s="26">
        <v>5</v>
      </c>
      <c r="H547" s="26"/>
      <c r="I547" s="22" t="s">
        <v>524</v>
      </c>
      <c r="J547" s="22"/>
      <c r="K547" s="34"/>
    </row>
    <row r="548" spans="1:11" x14ac:dyDescent="0.3">
      <c r="A548" s="26" t="s">
        <v>174</v>
      </c>
      <c r="B548" s="26" t="s">
        <v>175</v>
      </c>
      <c r="C548" s="26" t="s">
        <v>176</v>
      </c>
      <c r="D548" s="26"/>
      <c r="E548" s="26" t="s">
        <v>525</v>
      </c>
      <c r="F548" s="26"/>
      <c r="G548" s="26">
        <v>25</v>
      </c>
      <c r="H548" s="26"/>
      <c r="I548" s="22" t="s">
        <v>526</v>
      </c>
      <c r="J548" s="22"/>
      <c r="K548" s="34"/>
    </row>
    <row r="549" spans="1:11" x14ac:dyDescent="0.3">
      <c r="A549" s="26" t="s">
        <v>174</v>
      </c>
      <c r="B549" s="26" t="s">
        <v>527</v>
      </c>
      <c r="C549" s="26" t="s">
        <v>176</v>
      </c>
      <c r="D549" s="26" t="s">
        <v>528</v>
      </c>
      <c r="E549" s="26" t="s">
        <v>528</v>
      </c>
      <c r="F549" s="26"/>
      <c r="G549" s="26"/>
      <c r="H549" s="29"/>
      <c r="I549" s="22"/>
      <c r="J549" s="22" t="s">
        <v>529</v>
      </c>
      <c r="K549" s="34"/>
    </row>
    <row r="550" spans="1:11" x14ac:dyDescent="0.3">
      <c r="A550" s="64" t="s">
        <v>174</v>
      </c>
      <c r="B550" s="64" t="s">
        <v>530</v>
      </c>
      <c r="C550" s="64" t="s">
        <v>176</v>
      </c>
      <c r="D550" s="64" t="s">
        <v>531</v>
      </c>
      <c r="E550" s="64" t="s">
        <v>532</v>
      </c>
      <c r="F550" s="64"/>
      <c r="G550" s="64">
        <v>1</v>
      </c>
      <c r="H550" s="64"/>
      <c r="I550" s="22"/>
      <c r="J550" s="22"/>
      <c r="K550" s="34"/>
    </row>
    <row r="551" spans="1:11" x14ac:dyDescent="0.3">
      <c r="A551" s="64" t="s">
        <v>174</v>
      </c>
      <c r="B551" s="64" t="s">
        <v>530</v>
      </c>
      <c r="C551" s="64" t="s">
        <v>176</v>
      </c>
      <c r="D551" s="64" t="s">
        <v>531</v>
      </c>
      <c r="E551" s="64" t="s">
        <v>533</v>
      </c>
      <c r="F551" s="64"/>
      <c r="G551" s="64">
        <v>5</v>
      </c>
      <c r="H551" s="64"/>
      <c r="I551" s="22" t="s">
        <v>534</v>
      </c>
      <c r="J551" s="22"/>
      <c r="K551" s="34"/>
    </row>
    <row r="552" spans="1:11" x14ac:dyDescent="0.3">
      <c r="A552" s="64" t="s">
        <v>174</v>
      </c>
      <c r="B552" s="64" t="s">
        <v>530</v>
      </c>
      <c r="C552" s="64" t="s">
        <v>176</v>
      </c>
      <c r="D552" s="64" t="s">
        <v>531</v>
      </c>
      <c r="E552" s="64" t="s">
        <v>535</v>
      </c>
      <c r="F552" s="64"/>
      <c r="G552" s="64">
        <v>5</v>
      </c>
      <c r="H552" s="64"/>
      <c r="I552" s="22" t="s">
        <v>536</v>
      </c>
      <c r="J552" s="22"/>
      <c r="K552" s="34"/>
    </row>
    <row r="553" spans="1:11" x14ac:dyDescent="0.3">
      <c r="A553" s="64" t="s">
        <v>174</v>
      </c>
      <c r="B553" s="64" t="s">
        <v>530</v>
      </c>
      <c r="C553" s="64" t="s">
        <v>176</v>
      </c>
      <c r="D553" s="64" t="s">
        <v>531</v>
      </c>
      <c r="E553" s="64" t="s">
        <v>537</v>
      </c>
      <c r="F553" s="64"/>
      <c r="G553" s="64">
        <v>10</v>
      </c>
      <c r="H553" s="64"/>
      <c r="I553" s="22" t="s">
        <v>538</v>
      </c>
      <c r="J553" s="22"/>
      <c r="K553" s="34"/>
    </row>
    <row r="554" spans="1:11" x14ac:dyDescent="0.3">
      <c r="A554" s="64" t="s">
        <v>174</v>
      </c>
      <c r="B554" s="64" t="s">
        <v>530</v>
      </c>
      <c r="C554" s="64" t="s">
        <v>176</v>
      </c>
      <c r="D554" s="64" t="s">
        <v>531</v>
      </c>
      <c r="E554" s="64" t="s">
        <v>539</v>
      </c>
      <c r="F554" s="23"/>
      <c r="G554" s="64">
        <v>30</v>
      </c>
      <c r="H554" s="64"/>
      <c r="I554" s="22" t="s">
        <v>540</v>
      </c>
      <c r="J554" s="22" t="s">
        <v>212</v>
      </c>
      <c r="K554" s="34"/>
    </row>
    <row r="555" spans="1:11" x14ac:dyDescent="0.3">
      <c r="A555" s="64" t="s">
        <v>174</v>
      </c>
      <c r="B555" s="64" t="s">
        <v>530</v>
      </c>
      <c r="C555" s="64" t="s">
        <v>176</v>
      </c>
      <c r="D555" s="64" t="s">
        <v>531</v>
      </c>
      <c r="E555" s="64" t="s">
        <v>618</v>
      </c>
      <c r="F555" s="29"/>
      <c r="G555" s="64"/>
      <c r="H555" s="29"/>
      <c r="I555" s="22" t="s">
        <v>619</v>
      </c>
      <c r="J555" s="22" t="s">
        <v>620</v>
      </c>
      <c r="K555" s="34"/>
    </row>
    <row r="556" spans="1:11" x14ac:dyDescent="0.3">
      <c r="A556" s="64" t="s">
        <v>174</v>
      </c>
      <c r="B556" s="64" t="s">
        <v>530</v>
      </c>
      <c r="C556" s="64" t="s">
        <v>176</v>
      </c>
      <c r="D556" s="64" t="s">
        <v>531</v>
      </c>
      <c r="E556" s="64" t="s">
        <v>621</v>
      </c>
      <c r="F556" s="29"/>
      <c r="G556" s="64"/>
      <c r="H556" s="29"/>
      <c r="I556" s="22" t="s">
        <v>622</v>
      </c>
      <c r="J556" s="22" t="s">
        <v>623</v>
      </c>
      <c r="K556" s="34"/>
    </row>
    <row r="557" spans="1:11" x14ac:dyDescent="0.3">
      <c r="A557" s="64" t="s">
        <v>174</v>
      </c>
      <c r="B557" s="64" t="s">
        <v>530</v>
      </c>
      <c r="C557" s="64" t="s">
        <v>176</v>
      </c>
      <c r="D557" s="64" t="s">
        <v>531</v>
      </c>
      <c r="E557" s="64" t="s">
        <v>624</v>
      </c>
      <c r="F557" s="29"/>
      <c r="G557" s="64"/>
      <c r="H557" s="29"/>
      <c r="I557" s="22" t="s">
        <v>625</v>
      </c>
      <c r="J557" s="22" t="s">
        <v>626</v>
      </c>
      <c r="K557" s="34"/>
    </row>
    <row r="558" spans="1:11" x14ac:dyDescent="0.3">
      <c r="A558" s="64" t="s">
        <v>174</v>
      </c>
      <c r="B558" s="64" t="s">
        <v>530</v>
      </c>
      <c r="C558" s="64" t="s">
        <v>176</v>
      </c>
      <c r="D558" s="64" t="s">
        <v>531</v>
      </c>
      <c r="E558" s="64" t="s">
        <v>627</v>
      </c>
      <c r="F558" s="29"/>
      <c r="G558" s="64"/>
      <c r="H558" s="29"/>
      <c r="I558" s="22" t="s">
        <v>628</v>
      </c>
      <c r="J558" s="22" t="s">
        <v>629</v>
      </c>
      <c r="K558" s="34"/>
    </row>
    <row r="559" spans="1:11" x14ac:dyDescent="0.3">
      <c r="A559" s="64" t="s">
        <v>174</v>
      </c>
      <c r="B559" s="64" t="s">
        <v>530</v>
      </c>
      <c r="C559" s="64" t="s">
        <v>176</v>
      </c>
      <c r="D559" s="64" t="s">
        <v>531</v>
      </c>
      <c r="E559" s="64" t="s">
        <v>648</v>
      </c>
      <c r="F559" s="64"/>
      <c r="G559" s="64"/>
      <c r="H559" s="64"/>
      <c r="I559" s="22" t="s">
        <v>649</v>
      </c>
      <c r="J559" s="22" t="s">
        <v>650</v>
      </c>
      <c r="K559" s="34"/>
    </row>
    <row r="560" spans="1:11" x14ac:dyDescent="0.3">
      <c r="A560" s="64" t="s">
        <v>174</v>
      </c>
      <c r="B560" s="64" t="s">
        <v>530</v>
      </c>
      <c r="C560" s="64" t="s">
        <v>176</v>
      </c>
      <c r="D560" s="64" t="s">
        <v>531</v>
      </c>
      <c r="E560" s="64" t="s">
        <v>651</v>
      </c>
      <c r="F560" s="64"/>
      <c r="G560" s="64"/>
      <c r="H560" s="64"/>
      <c r="I560" s="22" t="s">
        <v>652</v>
      </c>
      <c r="J560" s="22" t="s">
        <v>653</v>
      </c>
      <c r="K560" s="34"/>
    </row>
    <row r="561" spans="1:11" x14ac:dyDescent="0.3">
      <c r="A561" s="64" t="s">
        <v>174</v>
      </c>
      <c r="B561" s="64" t="s">
        <v>530</v>
      </c>
      <c r="C561" s="64" t="s">
        <v>176</v>
      </c>
      <c r="D561" s="64" t="s">
        <v>531</v>
      </c>
      <c r="E561" s="64" t="s">
        <v>654</v>
      </c>
      <c r="F561" s="64"/>
      <c r="G561" s="64"/>
      <c r="H561" s="64"/>
      <c r="I561" s="22" t="s">
        <v>655</v>
      </c>
      <c r="J561" s="22" t="s">
        <v>656</v>
      </c>
      <c r="K561" s="34"/>
    </row>
    <row r="562" spans="1:11" x14ac:dyDescent="0.3">
      <c r="A562" s="64" t="s">
        <v>174</v>
      </c>
      <c r="B562" s="64" t="s">
        <v>530</v>
      </c>
      <c r="C562" s="64" t="s">
        <v>176</v>
      </c>
      <c r="D562" s="64" t="s">
        <v>531</v>
      </c>
      <c r="E562" s="64" t="s">
        <v>657</v>
      </c>
      <c r="F562" s="64"/>
      <c r="G562" s="64"/>
      <c r="H562" s="64"/>
      <c r="I562" s="22" t="s">
        <v>658</v>
      </c>
      <c r="J562" s="22" t="s">
        <v>659</v>
      </c>
      <c r="K562" s="34"/>
    </row>
    <row r="563" spans="1:11" x14ac:dyDescent="0.3">
      <c r="A563" s="64" t="s">
        <v>174</v>
      </c>
      <c r="B563" s="64" t="s">
        <v>530</v>
      </c>
      <c r="C563" s="64" t="s">
        <v>176</v>
      </c>
      <c r="D563" s="64" t="s">
        <v>531</v>
      </c>
      <c r="E563" s="64" t="s">
        <v>660</v>
      </c>
      <c r="F563" s="64"/>
      <c r="G563" s="64"/>
      <c r="H563" s="64"/>
      <c r="I563" s="22" t="s">
        <v>661</v>
      </c>
      <c r="J563" s="22" t="s">
        <v>662</v>
      </c>
      <c r="K563" s="34"/>
    </row>
    <row r="564" spans="1:11" x14ac:dyDescent="0.3">
      <c r="A564" s="64" t="s">
        <v>174</v>
      </c>
      <c r="B564" s="64" t="s">
        <v>530</v>
      </c>
      <c r="C564" s="64" t="s">
        <v>176</v>
      </c>
      <c r="D564" s="64" t="s">
        <v>531</v>
      </c>
      <c r="E564" s="64" t="s">
        <v>663</v>
      </c>
      <c r="F564" s="64"/>
      <c r="G564" s="64"/>
      <c r="H564" s="64"/>
      <c r="I564" s="22" t="s">
        <v>664</v>
      </c>
      <c r="J564" s="22" t="s">
        <v>665</v>
      </c>
      <c r="K564" s="34"/>
    </row>
    <row r="565" spans="1:11" x14ac:dyDescent="0.3">
      <c r="A565" s="26" t="s">
        <v>174</v>
      </c>
      <c r="B565" s="26" t="s">
        <v>530</v>
      </c>
      <c r="C565" s="66" t="s">
        <v>176</v>
      </c>
      <c r="D565" s="66" t="s">
        <v>531</v>
      </c>
      <c r="E565" s="26" t="s">
        <v>696</v>
      </c>
      <c r="F565" s="26"/>
      <c r="G565" s="66"/>
      <c r="H565" s="64"/>
      <c r="I565" s="22" t="s">
        <v>697</v>
      </c>
      <c r="J565" s="22"/>
      <c r="K565" s="34"/>
    </row>
    <row r="566" spans="1:11" x14ac:dyDescent="0.3">
      <c r="A566" s="26" t="s">
        <v>174</v>
      </c>
      <c r="B566" s="26" t="s">
        <v>530</v>
      </c>
      <c r="C566" s="66" t="s">
        <v>176</v>
      </c>
      <c r="D566" s="66" t="s">
        <v>531</v>
      </c>
      <c r="E566" s="26" t="s">
        <v>698</v>
      </c>
      <c r="F566" s="29"/>
      <c r="G566" s="66"/>
      <c r="H566" s="64"/>
      <c r="I566" s="22" t="s">
        <v>699</v>
      </c>
      <c r="J566" s="22"/>
      <c r="K566" s="34"/>
    </row>
    <row r="567" spans="1:11" x14ac:dyDescent="0.3">
      <c r="A567" s="26" t="s">
        <v>174</v>
      </c>
      <c r="B567" s="26" t="s">
        <v>530</v>
      </c>
      <c r="C567" s="66" t="s">
        <v>176</v>
      </c>
      <c r="D567" s="66" t="s">
        <v>531</v>
      </c>
      <c r="E567" s="26" t="s">
        <v>700</v>
      </c>
      <c r="F567" s="26"/>
      <c r="G567" s="66"/>
      <c r="H567" s="64"/>
      <c r="I567" s="22" t="s">
        <v>701</v>
      </c>
      <c r="J567" s="22" t="s">
        <v>212</v>
      </c>
      <c r="K567" s="34"/>
    </row>
    <row r="568" spans="1:11" x14ac:dyDescent="0.3">
      <c r="A568" s="26" t="s">
        <v>174</v>
      </c>
      <c r="B568" s="26" t="s">
        <v>530</v>
      </c>
      <c r="C568" s="66" t="s">
        <v>176</v>
      </c>
      <c r="D568" s="66" t="s">
        <v>531</v>
      </c>
      <c r="E568" s="26" t="s">
        <v>702</v>
      </c>
      <c r="F568" s="26"/>
      <c r="G568" s="66"/>
      <c r="H568" s="64"/>
      <c r="I568" s="22" t="s">
        <v>703</v>
      </c>
      <c r="J568" s="22" t="s">
        <v>212</v>
      </c>
      <c r="K568" s="34"/>
    </row>
    <row r="569" spans="1:11" x14ac:dyDescent="0.3">
      <c r="A569" s="26" t="s">
        <v>174</v>
      </c>
      <c r="B569" s="26" t="s">
        <v>530</v>
      </c>
      <c r="C569" s="66" t="s">
        <v>176</v>
      </c>
      <c r="D569" s="66" t="s">
        <v>531</v>
      </c>
      <c r="E569" s="26" t="s">
        <v>704</v>
      </c>
      <c r="F569" s="26"/>
      <c r="G569" s="66"/>
      <c r="H569" s="64"/>
      <c r="I569" s="22" t="s">
        <v>705</v>
      </c>
      <c r="J569" s="22" t="s">
        <v>212</v>
      </c>
      <c r="K569" s="34"/>
    </row>
    <row r="570" spans="1:11" x14ac:dyDescent="0.3">
      <c r="A570" s="26" t="s">
        <v>174</v>
      </c>
      <c r="B570" s="26" t="s">
        <v>530</v>
      </c>
      <c r="C570" s="66" t="s">
        <v>176</v>
      </c>
      <c r="D570" s="66" t="s">
        <v>531</v>
      </c>
      <c r="E570" s="26" t="s">
        <v>706</v>
      </c>
      <c r="F570" s="26"/>
      <c r="G570" s="26"/>
      <c r="H570" s="64"/>
      <c r="I570" s="22"/>
      <c r="J570" s="22" t="s">
        <v>212</v>
      </c>
      <c r="K570" s="34"/>
    </row>
    <row r="571" spans="1:11" x14ac:dyDescent="0.3">
      <c r="A571" s="26" t="s">
        <v>174</v>
      </c>
      <c r="B571" s="26" t="s">
        <v>530</v>
      </c>
      <c r="C571" s="66" t="s">
        <v>176</v>
      </c>
      <c r="D571" s="67" t="s">
        <v>531</v>
      </c>
      <c r="E571" s="26" t="s">
        <v>707</v>
      </c>
      <c r="F571" s="26"/>
      <c r="G571" s="26"/>
      <c r="H571" s="64"/>
      <c r="I571" s="22" t="s">
        <v>708</v>
      </c>
      <c r="J571" s="22" t="s">
        <v>212</v>
      </c>
      <c r="K571" s="34"/>
    </row>
    <row r="572" spans="1:11" x14ac:dyDescent="0.3">
      <c r="A572" s="26" t="s">
        <v>174</v>
      </c>
      <c r="B572" s="26" t="s">
        <v>530</v>
      </c>
      <c r="C572" s="66" t="s">
        <v>176</v>
      </c>
      <c r="D572" s="67" t="s">
        <v>531</v>
      </c>
      <c r="E572" s="26" t="s">
        <v>709</v>
      </c>
      <c r="F572" s="26"/>
      <c r="G572" s="26"/>
      <c r="H572" s="64"/>
      <c r="I572" s="22" t="s">
        <v>710</v>
      </c>
      <c r="J572" s="22" t="s">
        <v>212</v>
      </c>
      <c r="K572" s="34"/>
    </row>
    <row r="573" spans="1:11" x14ac:dyDescent="0.3">
      <c r="A573" s="26" t="s">
        <v>174</v>
      </c>
      <c r="B573" s="26" t="s">
        <v>530</v>
      </c>
      <c r="C573" s="66" t="s">
        <v>176</v>
      </c>
      <c r="D573" s="67" t="s">
        <v>531</v>
      </c>
      <c r="E573" s="26" t="s">
        <v>711</v>
      </c>
      <c r="F573" s="26"/>
      <c r="G573" s="26"/>
      <c r="H573" s="64"/>
      <c r="I573" s="22" t="s">
        <v>712</v>
      </c>
      <c r="J573" s="22" t="s">
        <v>212</v>
      </c>
      <c r="K573" s="34"/>
    </row>
    <row r="574" spans="1:11" x14ac:dyDescent="0.3">
      <c r="A574" s="26" t="s">
        <v>174</v>
      </c>
      <c r="B574" s="26" t="s">
        <v>530</v>
      </c>
      <c r="C574" s="66" t="s">
        <v>176</v>
      </c>
      <c r="D574" s="67" t="s">
        <v>531</v>
      </c>
      <c r="E574" s="26" t="s">
        <v>713</v>
      </c>
      <c r="F574" s="26"/>
      <c r="G574" s="26"/>
      <c r="H574" s="64"/>
      <c r="I574" s="22"/>
      <c r="J574" s="22" t="s">
        <v>212</v>
      </c>
      <c r="K574" s="34"/>
    </row>
    <row r="575" spans="1:11" x14ac:dyDescent="0.3">
      <c r="A575" s="26" t="s">
        <v>174</v>
      </c>
      <c r="B575" s="26" t="s">
        <v>530</v>
      </c>
      <c r="C575" s="66" t="s">
        <v>176</v>
      </c>
      <c r="D575" s="67" t="s">
        <v>531</v>
      </c>
      <c r="E575" s="26" t="s">
        <v>714</v>
      </c>
      <c r="F575" s="26"/>
      <c r="G575" s="26"/>
      <c r="H575" s="64"/>
      <c r="I575" s="22"/>
      <c r="J575" s="22" t="s">
        <v>212</v>
      </c>
      <c r="K575" s="34"/>
    </row>
    <row r="576" spans="1:11" x14ac:dyDescent="0.3">
      <c r="A576" s="26" t="s">
        <v>174</v>
      </c>
      <c r="B576" s="26" t="s">
        <v>530</v>
      </c>
      <c r="C576" s="66" t="s">
        <v>176</v>
      </c>
      <c r="D576" s="67" t="s">
        <v>531</v>
      </c>
      <c r="E576" s="26" t="s">
        <v>715</v>
      </c>
      <c r="F576" s="26"/>
      <c r="G576" s="66"/>
      <c r="H576" s="64"/>
      <c r="I576" s="22" t="s">
        <v>716</v>
      </c>
      <c r="J576" s="22" t="s">
        <v>212</v>
      </c>
      <c r="K576" s="34"/>
    </row>
    <row r="577" spans="1:11" x14ac:dyDescent="0.3">
      <c r="A577" s="26" t="s">
        <v>174</v>
      </c>
      <c r="B577" s="26" t="s">
        <v>530</v>
      </c>
      <c r="C577" s="66" t="s">
        <v>176</v>
      </c>
      <c r="D577" s="67" t="s">
        <v>531</v>
      </c>
      <c r="E577" s="26" t="s">
        <v>717</v>
      </c>
      <c r="F577" s="26"/>
      <c r="G577" s="26"/>
      <c r="H577" s="64"/>
      <c r="I577" s="22" t="s">
        <v>718</v>
      </c>
      <c r="J577" s="22" t="s">
        <v>212</v>
      </c>
      <c r="K577" s="34"/>
    </row>
    <row r="578" spans="1:11" x14ac:dyDescent="0.3">
      <c r="A578" s="26" t="s">
        <v>174</v>
      </c>
      <c r="B578" s="26" t="s">
        <v>530</v>
      </c>
      <c r="C578" s="66" t="s">
        <v>176</v>
      </c>
      <c r="D578" s="67" t="s">
        <v>531</v>
      </c>
      <c r="E578" s="26" t="s">
        <v>719</v>
      </c>
      <c r="F578" s="26"/>
      <c r="G578" s="26"/>
      <c r="H578" s="64"/>
      <c r="I578" s="22" t="s">
        <v>720</v>
      </c>
      <c r="J578" s="22" t="s">
        <v>212</v>
      </c>
      <c r="K578" s="34"/>
    </row>
    <row r="579" spans="1:11" x14ac:dyDescent="0.3">
      <c r="A579" s="26" t="s">
        <v>174</v>
      </c>
      <c r="B579" s="26" t="s">
        <v>530</v>
      </c>
      <c r="C579" s="66" t="s">
        <v>176</v>
      </c>
      <c r="D579" s="67" t="s">
        <v>531</v>
      </c>
      <c r="E579" s="26" t="s">
        <v>721</v>
      </c>
      <c r="F579" s="26"/>
      <c r="G579" s="26"/>
      <c r="H579" s="64"/>
      <c r="I579" s="22"/>
      <c r="J579" s="22" t="s">
        <v>212</v>
      </c>
      <c r="K579" s="34"/>
    </row>
    <row r="580" spans="1:11" x14ac:dyDescent="0.3">
      <c r="A580" s="26" t="s">
        <v>174</v>
      </c>
      <c r="B580" s="26" t="s">
        <v>530</v>
      </c>
      <c r="C580" s="66" t="s">
        <v>176</v>
      </c>
      <c r="D580" s="67" t="s">
        <v>531</v>
      </c>
      <c r="E580" s="26" t="s">
        <v>722</v>
      </c>
      <c r="F580" s="26"/>
      <c r="G580" s="26"/>
      <c r="H580" s="64"/>
      <c r="I580" s="22"/>
      <c r="J580" s="22" t="s">
        <v>212</v>
      </c>
      <c r="K580" s="34"/>
    </row>
    <row r="581" spans="1:11" x14ac:dyDescent="0.3">
      <c r="A581" s="26" t="s">
        <v>174</v>
      </c>
      <c r="B581" s="26" t="s">
        <v>530</v>
      </c>
      <c r="C581" s="66" t="s">
        <v>176</v>
      </c>
      <c r="D581" s="67" t="s">
        <v>531</v>
      </c>
      <c r="E581" s="26" t="s">
        <v>723</v>
      </c>
      <c r="F581" s="26"/>
      <c r="G581" s="26">
        <v>1</v>
      </c>
      <c r="H581" s="64"/>
      <c r="I581" s="22" t="s">
        <v>724</v>
      </c>
      <c r="J581" s="22"/>
      <c r="K581" s="34"/>
    </row>
    <row r="582" spans="1:11" x14ac:dyDescent="0.3">
      <c r="A582" s="26" t="s">
        <v>174</v>
      </c>
      <c r="B582" s="26" t="s">
        <v>530</v>
      </c>
      <c r="C582" s="66" t="s">
        <v>176</v>
      </c>
      <c r="D582" s="67" t="s">
        <v>531</v>
      </c>
      <c r="E582" s="26" t="s">
        <v>725</v>
      </c>
      <c r="F582" s="26"/>
      <c r="G582" s="26">
        <v>1</v>
      </c>
      <c r="H582" s="64"/>
      <c r="I582" s="22" t="s">
        <v>724</v>
      </c>
      <c r="J582" s="22" t="s">
        <v>212</v>
      </c>
      <c r="K582" s="34"/>
    </row>
    <row r="583" spans="1:11" x14ac:dyDescent="0.3">
      <c r="A583" s="26" t="s">
        <v>174</v>
      </c>
      <c r="B583" s="26" t="s">
        <v>530</v>
      </c>
      <c r="C583" s="66" t="s">
        <v>176</v>
      </c>
      <c r="D583" s="67" t="s">
        <v>531</v>
      </c>
      <c r="E583" s="26" t="s">
        <v>726</v>
      </c>
      <c r="F583" s="26"/>
      <c r="G583" s="26">
        <v>1</v>
      </c>
      <c r="H583" s="64"/>
      <c r="I583" s="22" t="s">
        <v>724</v>
      </c>
      <c r="J583" s="22" t="s">
        <v>212</v>
      </c>
      <c r="K583" s="34"/>
    </row>
    <row r="584" spans="1:11" x14ac:dyDescent="0.3">
      <c r="A584" s="26" t="s">
        <v>174</v>
      </c>
      <c r="B584" s="26" t="s">
        <v>530</v>
      </c>
      <c r="C584" s="66" t="s">
        <v>176</v>
      </c>
      <c r="D584" s="67" t="s">
        <v>531</v>
      </c>
      <c r="E584" s="26" t="s">
        <v>727</v>
      </c>
      <c r="F584" s="26"/>
      <c r="G584" s="26">
        <v>1</v>
      </c>
      <c r="H584" s="64"/>
      <c r="I584" s="22" t="s">
        <v>728</v>
      </c>
      <c r="J584" s="22" t="s">
        <v>212</v>
      </c>
      <c r="K584" s="34"/>
    </row>
    <row r="585" spans="1:11" x14ac:dyDescent="0.3">
      <c r="A585" s="26" t="s">
        <v>174</v>
      </c>
      <c r="B585" s="26" t="s">
        <v>530</v>
      </c>
      <c r="C585" s="66" t="s">
        <v>176</v>
      </c>
      <c r="D585" s="67" t="s">
        <v>531</v>
      </c>
      <c r="E585" s="26" t="s">
        <v>729</v>
      </c>
      <c r="F585" s="26"/>
      <c r="G585" s="26">
        <v>1</v>
      </c>
      <c r="H585" s="64"/>
      <c r="I585" s="22" t="s">
        <v>728</v>
      </c>
      <c r="J585" s="22" t="s">
        <v>212</v>
      </c>
      <c r="K585" s="34"/>
    </row>
    <row r="586" spans="1:11" x14ac:dyDescent="0.3">
      <c r="A586" s="26" t="s">
        <v>174</v>
      </c>
      <c r="B586" s="26" t="s">
        <v>530</v>
      </c>
      <c r="C586" s="66" t="s">
        <v>176</v>
      </c>
      <c r="D586" s="67" t="s">
        <v>531</v>
      </c>
      <c r="E586" s="26" t="s">
        <v>730</v>
      </c>
      <c r="F586" s="26"/>
      <c r="G586" s="26">
        <v>1</v>
      </c>
      <c r="H586" s="64"/>
      <c r="I586" s="22" t="s">
        <v>731</v>
      </c>
      <c r="J586" s="22" t="s">
        <v>212</v>
      </c>
      <c r="K586" s="34"/>
    </row>
    <row r="587" spans="1:11" x14ac:dyDescent="0.3">
      <c r="A587" s="26" t="s">
        <v>174</v>
      </c>
      <c r="B587" s="26" t="s">
        <v>530</v>
      </c>
      <c r="C587" s="66" t="s">
        <v>176</v>
      </c>
      <c r="D587" s="66" t="s">
        <v>531</v>
      </c>
      <c r="E587" s="26" t="s">
        <v>732</v>
      </c>
      <c r="F587" s="23"/>
      <c r="G587" s="66">
        <v>30</v>
      </c>
      <c r="H587" s="64"/>
      <c r="I587" s="22" t="s">
        <v>540</v>
      </c>
      <c r="J587" s="22" t="s">
        <v>212</v>
      </c>
      <c r="K587" s="34"/>
    </row>
    <row r="588" spans="1:11" x14ac:dyDescent="0.3">
      <c r="A588" s="26" t="s">
        <v>174</v>
      </c>
      <c r="B588" s="26" t="s">
        <v>530</v>
      </c>
      <c r="C588" s="66" t="s">
        <v>176</v>
      </c>
      <c r="D588" s="66" t="s">
        <v>531</v>
      </c>
      <c r="E588" s="26" t="s">
        <v>733</v>
      </c>
      <c r="F588" s="23"/>
      <c r="G588" s="66">
        <v>30</v>
      </c>
      <c r="H588" s="64"/>
      <c r="I588" s="22" t="s">
        <v>540</v>
      </c>
      <c r="J588" s="22" t="s">
        <v>212</v>
      </c>
      <c r="K588" s="34"/>
    </row>
    <row r="589" spans="1:11" x14ac:dyDescent="0.3">
      <c r="A589" s="26" t="s">
        <v>174</v>
      </c>
      <c r="B589" s="26" t="s">
        <v>530</v>
      </c>
      <c r="C589" s="26" t="s">
        <v>213</v>
      </c>
      <c r="D589" s="26" t="s">
        <v>531</v>
      </c>
      <c r="E589" s="26" t="s">
        <v>734</v>
      </c>
      <c r="F589" s="26"/>
      <c r="G589" s="26"/>
      <c r="H589" s="64"/>
      <c r="I589" s="22" t="s">
        <v>735</v>
      </c>
      <c r="J589" s="22" t="s">
        <v>653</v>
      </c>
      <c r="K589" s="34"/>
    </row>
    <row r="590" spans="1:11" x14ac:dyDescent="0.3">
      <c r="A590" s="26" t="s">
        <v>174</v>
      </c>
      <c r="B590" s="26" t="s">
        <v>530</v>
      </c>
      <c r="C590" s="26" t="s">
        <v>221</v>
      </c>
      <c r="D590" s="26" t="s">
        <v>531</v>
      </c>
      <c r="E590" s="26" t="s">
        <v>736</v>
      </c>
      <c r="F590" s="26"/>
      <c r="G590" s="26"/>
      <c r="H590" s="64"/>
      <c r="I590" s="22" t="s">
        <v>737</v>
      </c>
      <c r="J590" s="22" t="s">
        <v>738</v>
      </c>
      <c r="K590" s="34"/>
    </row>
    <row r="591" spans="1:11" x14ac:dyDescent="0.3">
      <c r="A591" s="26" t="s">
        <v>174</v>
      </c>
      <c r="B591" s="26" t="s">
        <v>530</v>
      </c>
      <c r="C591" s="26" t="s">
        <v>217</v>
      </c>
      <c r="D591" s="26" t="s">
        <v>531</v>
      </c>
      <c r="E591" s="26" t="s">
        <v>739</v>
      </c>
      <c r="F591" s="26"/>
      <c r="G591" s="26"/>
      <c r="H591" s="64"/>
      <c r="I591" s="22" t="s">
        <v>740</v>
      </c>
      <c r="J591" s="22" t="s">
        <v>653</v>
      </c>
      <c r="K591" s="34"/>
    </row>
    <row r="592" spans="1:11" x14ac:dyDescent="0.3">
      <c r="A592" s="26" t="s">
        <v>174</v>
      </c>
      <c r="B592" s="26" t="s">
        <v>530</v>
      </c>
      <c r="C592" s="26" t="s">
        <v>213</v>
      </c>
      <c r="D592" s="26" t="s">
        <v>531</v>
      </c>
      <c r="E592" s="26" t="s">
        <v>741</v>
      </c>
      <c r="F592" s="26"/>
      <c r="G592" s="26"/>
      <c r="H592" s="64"/>
      <c r="I592" s="22" t="s">
        <v>742</v>
      </c>
      <c r="J592" s="22" t="s">
        <v>656</v>
      </c>
      <c r="K592" s="34"/>
    </row>
    <row r="593" spans="1:11" x14ac:dyDescent="0.3">
      <c r="A593" s="26" t="s">
        <v>174</v>
      </c>
      <c r="B593" s="26" t="s">
        <v>530</v>
      </c>
      <c r="C593" s="26" t="s">
        <v>221</v>
      </c>
      <c r="D593" s="26" t="s">
        <v>531</v>
      </c>
      <c r="E593" s="26" t="s">
        <v>743</v>
      </c>
      <c r="F593" s="26"/>
      <c r="G593" s="26"/>
      <c r="H593" s="64"/>
      <c r="I593" s="22" t="s">
        <v>744</v>
      </c>
      <c r="J593" s="22" t="s">
        <v>656</v>
      </c>
      <c r="K593" s="34"/>
    </row>
    <row r="594" spans="1:11" x14ac:dyDescent="0.3">
      <c r="A594" s="26" t="s">
        <v>174</v>
      </c>
      <c r="B594" s="26" t="s">
        <v>530</v>
      </c>
      <c r="C594" s="26" t="s">
        <v>217</v>
      </c>
      <c r="D594" s="26" t="s">
        <v>531</v>
      </c>
      <c r="E594" s="26" t="s">
        <v>745</v>
      </c>
      <c r="F594" s="26"/>
      <c r="G594" s="26"/>
      <c r="H594" s="64"/>
      <c r="I594" s="22" t="s">
        <v>746</v>
      </c>
      <c r="J594" s="22" t="s">
        <v>656</v>
      </c>
      <c r="K594" s="34"/>
    </row>
    <row r="595" spans="1:11" x14ac:dyDescent="0.3">
      <c r="A595" s="26" t="s">
        <v>174</v>
      </c>
      <c r="B595" s="26" t="s">
        <v>530</v>
      </c>
      <c r="C595" s="26" t="s">
        <v>213</v>
      </c>
      <c r="D595" s="26" t="s">
        <v>531</v>
      </c>
      <c r="E595" s="26" t="s">
        <v>747</v>
      </c>
      <c r="F595" s="26"/>
      <c r="G595" s="26"/>
      <c r="H595" s="64"/>
      <c r="I595" s="22" t="s">
        <v>748</v>
      </c>
      <c r="J595" s="22" t="s">
        <v>659</v>
      </c>
      <c r="K595" s="34"/>
    </row>
    <row r="596" spans="1:11" x14ac:dyDescent="0.3">
      <c r="A596" s="26" t="s">
        <v>174</v>
      </c>
      <c r="B596" s="26" t="s">
        <v>530</v>
      </c>
      <c r="C596" s="26" t="s">
        <v>221</v>
      </c>
      <c r="D596" s="26" t="s">
        <v>531</v>
      </c>
      <c r="E596" s="26" t="s">
        <v>749</v>
      </c>
      <c r="F596" s="26"/>
      <c r="G596" s="26"/>
      <c r="H596" s="64"/>
      <c r="I596" s="22" t="s">
        <v>750</v>
      </c>
      <c r="J596" s="22" t="s">
        <v>659</v>
      </c>
      <c r="K596" s="34"/>
    </row>
    <row r="597" spans="1:11" x14ac:dyDescent="0.3">
      <c r="A597" s="26" t="s">
        <v>174</v>
      </c>
      <c r="B597" s="26" t="s">
        <v>530</v>
      </c>
      <c r="C597" s="26" t="s">
        <v>217</v>
      </c>
      <c r="D597" s="26" t="s">
        <v>531</v>
      </c>
      <c r="E597" s="26" t="s">
        <v>751</v>
      </c>
      <c r="F597" s="26"/>
      <c r="G597" s="26"/>
      <c r="H597" s="64"/>
      <c r="I597" s="22" t="s">
        <v>752</v>
      </c>
      <c r="J597" s="22" t="s">
        <v>659</v>
      </c>
      <c r="K597" s="34"/>
    </row>
    <row r="598" spans="1:11" x14ac:dyDescent="0.3">
      <c r="A598" s="22" t="s">
        <v>174</v>
      </c>
      <c r="B598" s="22" t="s">
        <v>753</v>
      </c>
      <c r="C598" s="22" t="s">
        <v>176</v>
      </c>
      <c r="D598" s="23"/>
      <c r="E598" s="23" t="s">
        <v>754</v>
      </c>
      <c r="F598" s="22"/>
      <c r="G598" s="23">
        <v>5</v>
      </c>
      <c r="H598" s="64"/>
      <c r="I598" s="22" t="s">
        <v>755</v>
      </c>
      <c r="J598" s="22"/>
      <c r="K598" s="34"/>
    </row>
    <row r="599" spans="1:11" x14ac:dyDescent="0.3">
      <c r="A599" s="22" t="s">
        <v>174</v>
      </c>
      <c r="B599" s="22" t="s">
        <v>753</v>
      </c>
      <c r="C599" s="22" t="s">
        <v>176</v>
      </c>
      <c r="D599" s="23"/>
      <c r="E599" s="23" t="s">
        <v>756</v>
      </c>
      <c r="F599" s="22"/>
      <c r="G599" s="23">
        <v>10</v>
      </c>
      <c r="H599" s="64"/>
      <c r="I599" s="22" t="s">
        <v>757</v>
      </c>
      <c r="J599" s="22"/>
      <c r="K599" s="34"/>
    </row>
    <row r="600" spans="1:11" x14ac:dyDescent="0.3">
      <c r="A600" s="22" t="s">
        <v>174</v>
      </c>
      <c r="B600" s="22" t="s">
        <v>753</v>
      </c>
      <c r="C600" s="22" t="s">
        <v>176</v>
      </c>
      <c r="D600" s="23"/>
      <c r="E600" s="23" t="s">
        <v>758</v>
      </c>
      <c r="F600" s="22"/>
      <c r="G600" s="23">
        <v>10</v>
      </c>
      <c r="H600" s="64"/>
      <c r="I600" s="22" t="s">
        <v>759</v>
      </c>
      <c r="J600" s="22"/>
      <c r="K600" s="34"/>
    </row>
    <row r="601" spans="1:11" x14ac:dyDescent="0.3">
      <c r="A601" s="22" t="s">
        <v>174</v>
      </c>
      <c r="B601" s="22" t="s">
        <v>753</v>
      </c>
      <c r="C601" s="22" t="s">
        <v>176</v>
      </c>
      <c r="D601" s="23"/>
      <c r="E601" s="23" t="s">
        <v>760</v>
      </c>
      <c r="F601" s="22"/>
      <c r="G601" s="23">
        <v>15</v>
      </c>
      <c r="H601" s="64"/>
      <c r="I601" s="22" t="s">
        <v>761</v>
      </c>
      <c r="J601" s="22"/>
      <c r="K601" s="34"/>
    </row>
    <row r="602" spans="1:11" x14ac:dyDescent="0.3">
      <c r="A602" s="22" t="s">
        <v>174</v>
      </c>
      <c r="B602" s="22" t="s">
        <v>753</v>
      </c>
      <c r="C602" s="22" t="s">
        <v>176</v>
      </c>
      <c r="D602" s="23"/>
      <c r="E602" s="23" t="s">
        <v>762</v>
      </c>
      <c r="F602" s="22"/>
      <c r="G602" s="23">
        <v>20</v>
      </c>
      <c r="H602" s="64"/>
      <c r="I602" s="22" t="s">
        <v>763</v>
      </c>
      <c r="J602" s="22"/>
      <c r="K602" s="34"/>
    </row>
    <row r="603" spans="1:11" x14ac:dyDescent="0.3">
      <c r="A603" s="22" t="s">
        <v>174</v>
      </c>
      <c r="B603" s="22" t="s">
        <v>753</v>
      </c>
      <c r="C603" s="22" t="s">
        <v>176</v>
      </c>
      <c r="D603" s="23"/>
      <c r="E603" s="23" t="s">
        <v>764</v>
      </c>
      <c r="F603" s="22"/>
      <c r="G603" s="23">
        <v>25</v>
      </c>
      <c r="H603" s="64"/>
      <c r="I603" s="22" t="s">
        <v>765</v>
      </c>
      <c r="J603" s="22"/>
      <c r="K603" s="34"/>
    </row>
    <row r="604" spans="1:11" x14ac:dyDescent="0.3">
      <c r="A604" s="22" t="s">
        <v>174</v>
      </c>
      <c r="B604" s="22" t="s">
        <v>753</v>
      </c>
      <c r="C604" s="22" t="s">
        <v>176</v>
      </c>
      <c r="D604" s="23"/>
      <c r="E604" s="23" t="s">
        <v>766</v>
      </c>
      <c r="F604" s="22"/>
      <c r="G604" s="23">
        <v>25</v>
      </c>
      <c r="H604" s="64"/>
      <c r="I604" s="22" t="s">
        <v>767</v>
      </c>
      <c r="J604" s="22"/>
      <c r="K604" s="34"/>
    </row>
    <row r="605" spans="1:11" x14ac:dyDescent="0.3">
      <c r="A605" s="22" t="s">
        <v>174</v>
      </c>
      <c r="B605" s="22" t="s">
        <v>753</v>
      </c>
      <c r="C605" s="22" t="s">
        <v>176</v>
      </c>
      <c r="D605" s="68"/>
      <c r="E605" s="68" t="s">
        <v>768</v>
      </c>
      <c r="F605" s="23"/>
      <c r="G605" s="68">
        <v>30</v>
      </c>
      <c r="H605" s="64"/>
      <c r="I605" s="22" t="s">
        <v>769</v>
      </c>
      <c r="J605" s="22"/>
      <c r="K605" s="34"/>
    </row>
    <row r="606" spans="1:11" x14ac:dyDescent="0.3">
      <c r="A606" s="22" t="s">
        <v>174</v>
      </c>
      <c r="B606" s="22" t="s">
        <v>753</v>
      </c>
      <c r="C606" s="22" t="s">
        <v>176</v>
      </c>
      <c r="D606" s="23"/>
      <c r="E606" s="23" t="s">
        <v>841</v>
      </c>
      <c r="F606" s="29"/>
      <c r="G606" s="23"/>
      <c r="H606" s="64"/>
      <c r="I606" s="22" t="s">
        <v>842</v>
      </c>
      <c r="J606" s="22" t="s">
        <v>239</v>
      </c>
      <c r="K606" s="34"/>
    </row>
    <row r="607" spans="1:11" x14ac:dyDescent="0.3">
      <c r="A607" s="22" t="s">
        <v>174</v>
      </c>
      <c r="B607" s="22" t="s">
        <v>753</v>
      </c>
      <c r="C607" s="22" t="s">
        <v>176</v>
      </c>
      <c r="D607" s="23"/>
      <c r="E607" s="23" t="s">
        <v>843</v>
      </c>
      <c r="F607" s="29"/>
      <c r="G607" s="23"/>
      <c r="H607" s="64"/>
      <c r="I607" s="22" t="s">
        <v>844</v>
      </c>
      <c r="J607" s="22" t="s">
        <v>256</v>
      </c>
      <c r="K607" s="34"/>
    </row>
    <row r="608" spans="1:11" x14ac:dyDescent="0.3">
      <c r="A608" s="22" t="s">
        <v>174</v>
      </c>
      <c r="B608" s="22" t="s">
        <v>753</v>
      </c>
      <c r="C608" s="22" t="s">
        <v>176</v>
      </c>
      <c r="D608" s="23"/>
      <c r="E608" s="23" t="s">
        <v>845</v>
      </c>
      <c r="F608" s="29"/>
      <c r="G608" s="23"/>
      <c r="H608" s="64"/>
      <c r="I608" s="22" t="s">
        <v>846</v>
      </c>
      <c r="J608" s="22" t="s">
        <v>274</v>
      </c>
      <c r="K608" s="34"/>
    </row>
    <row r="609" spans="1:11" x14ac:dyDescent="0.3">
      <c r="A609" s="22" t="s">
        <v>174</v>
      </c>
      <c r="B609" s="22" t="s">
        <v>753</v>
      </c>
      <c r="C609" s="22" t="s">
        <v>176</v>
      </c>
      <c r="D609" s="23"/>
      <c r="E609" s="23" t="s">
        <v>847</v>
      </c>
      <c r="F609" s="29"/>
      <c r="G609" s="23"/>
      <c r="H609" s="64"/>
      <c r="I609" s="22" t="s">
        <v>848</v>
      </c>
      <c r="J609" s="22" t="s">
        <v>822</v>
      </c>
      <c r="K609" s="34"/>
    </row>
    <row r="610" spans="1:11" x14ac:dyDescent="0.3">
      <c r="A610" s="22" t="s">
        <v>174</v>
      </c>
      <c r="B610" s="22" t="s">
        <v>753</v>
      </c>
      <c r="C610" s="22" t="s">
        <v>176</v>
      </c>
      <c r="D610" s="23"/>
      <c r="E610" s="23" t="s">
        <v>867</v>
      </c>
      <c r="F610" s="23"/>
      <c r="G610" s="23"/>
      <c r="H610" s="64"/>
      <c r="I610" s="22" t="s">
        <v>868</v>
      </c>
      <c r="J610" s="22" t="s">
        <v>869</v>
      </c>
      <c r="K610" s="34"/>
    </row>
    <row r="611" spans="1:11" x14ac:dyDescent="0.3">
      <c r="A611" s="22" t="s">
        <v>174</v>
      </c>
      <c r="B611" s="22" t="s">
        <v>753</v>
      </c>
      <c r="C611" s="22" t="s">
        <v>176</v>
      </c>
      <c r="D611" s="23"/>
      <c r="E611" s="23" t="s">
        <v>870</v>
      </c>
      <c r="F611" s="23"/>
      <c r="G611" s="23"/>
      <c r="H611" s="64"/>
      <c r="I611" s="22" t="s">
        <v>871</v>
      </c>
      <c r="J611" s="22" t="s">
        <v>872</v>
      </c>
      <c r="K611" s="34"/>
    </row>
    <row r="612" spans="1:11" x14ac:dyDescent="0.3">
      <c r="A612" s="22" t="s">
        <v>174</v>
      </c>
      <c r="B612" s="22" t="s">
        <v>753</v>
      </c>
      <c r="C612" s="22" t="s">
        <v>176</v>
      </c>
      <c r="D612" s="23"/>
      <c r="E612" s="23" t="s">
        <v>873</v>
      </c>
      <c r="F612" s="23"/>
      <c r="G612" s="23"/>
      <c r="H612" s="64"/>
      <c r="I612" s="22" t="s">
        <v>874</v>
      </c>
      <c r="J612" s="22" t="s">
        <v>875</v>
      </c>
      <c r="K612" s="34"/>
    </row>
    <row r="613" spans="1:11" x14ac:dyDescent="0.3">
      <c r="A613" s="22" t="s">
        <v>174</v>
      </c>
      <c r="B613" s="22" t="s">
        <v>753</v>
      </c>
      <c r="C613" s="22" t="s">
        <v>176</v>
      </c>
      <c r="D613" s="23"/>
      <c r="E613" s="23" t="s">
        <v>876</v>
      </c>
      <c r="F613" s="23"/>
      <c r="G613" s="23"/>
      <c r="H613" s="64"/>
      <c r="I613" s="22" t="s">
        <v>877</v>
      </c>
      <c r="J613" s="22" t="s">
        <v>878</v>
      </c>
      <c r="K613" s="34"/>
    </row>
    <row r="614" spans="1:11" x14ac:dyDescent="0.3">
      <c r="A614" s="22" t="s">
        <v>174</v>
      </c>
      <c r="B614" s="22" t="s">
        <v>753</v>
      </c>
      <c r="C614" s="22" t="s">
        <v>176</v>
      </c>
      <c r="D614" s="23"/>
      <c r="E614" s="23" t="s">
        <v>879</v>
      </c>
      <c r="F614" s="23"/>
      <c r="G614" s="23"/>
      <c r="H614" s="64"/>
      <c r="I614" s="22" t="s">
        <v>880</v>
      </c>
      <c r="J614" s="22" t="s">
        <v>328</v>
      </c>
      <c r="K614" s="34"/>
    </row>
    <row r="615" spans="1:11" x14ac:dyDescent="0.3">
      <c r="A615" s="22" t="s">
        <v>174</v>
      </c>
      <c r="B615" s="22" t="s">
        <v>753</v>
      </c>
      <c r="C615" s="22" t="s">
        <v>176</v>
      </c>
      <c r="D615" s="23"/>
      <c r="E615" s="23" t="s">
        <v>881</v>
      </c>
      <c r="F615" s="23"/>
      <c r="G615" s="23"/>
      <c r="H615" s="64"/>
      <c r="I615" s="22" t="s">
        <v>882</v>
      </c>
      <c r="J615" s="22" t="s">
        <v>331</v>
      </c>
      <c r="K615" s="34"/>
    </row>
    <row r="616" spans="1:11" x14ac:dyDescent="0.3">
      <c r="A616" s="22" t="s">
        <v>174</v>
      </c>
      <c r="B616" s="22" t="s">
        <v>753</v>
      </c>
      <c r="C616" s="22" t="s">
        <v>176</v>
      </c>
      <c r="D616" s="23"/>
      <c r="E616" s="23" t="s">
        <v>913</v>
      </c>
      <c r="F616" s="23"/>
      <c r="G616" s="23"/>
      <c r="H616" s="64"/>
      <c r="I616" s="22" t="s">
        <v>914</v>
      </c>
      <c r="J616" s="22"/>
      <c r="K616" s="34"/>
    </row>
    <row r="617" spans="1:11" x14ac:dyDescent="0.3">
      <c r="A617" s="22" t="s">
        <v>174</v>
      </c>
      <c r="B617" s="22" t="s">
        <v>753</v>
      </c>
      <c r="C617" s="22" t="s">
        <v>176</v>
      </c>
      <c r="D617" s="23"/>
      <c r="E617" s="23" t="s">
        <v>915</v>
      </c>
      <c r="F617" s="29"/>
      <c r="G617" s="23"/>
      <c r="H617" s="64"/>
      <c r="I617" s="22" t="s">
        <v>916</v>
      </c>
      <c r="J617" s="22"/>
      <c r="K617" s="34"/>
    </row>
    <row r="618" spans="1:11" x14ac:dyDescent="0.3">
      <c r="A618" s="22" t="s">
        <v>174</v>
      </c>
      <c r="B618" s="22" t="s">
        <v>753</v>
      </c>
      <c r="C618" s="22" t="s">
        <v>176</v>
      </c>
      <c r="D618" s="23"/>
      <c r="E618" s="23" t="s">
        <v>917</v>
      </c>
      <c r="F618" s="29"/>
      <c r="G618" s="23"/>
      <c r="H618" s="64"/>
      <c r="I618" s="22" t="s">
        <v>918</v>
      </c>
      <c r="J618" s="22"/>
      <c r="K618" s="34"/>
    </row>
    <row r="619" spans="1:11" x14ac:dyDescent="0.3">
      <c r="A619" s="22" t="s">
        <v>174</v>
      </c>
      <c r="B619" s="22" t="s">
        <v>753</v>
      </c>
      <c r="C619" s="22" t="s">
        <v>176</v>
      </c>
      <c r="D619" s="23"/>
      <c r="E619" s="23" t="s">
        <v>919</v>
      </c>
      <c r="F619" s="29"/>
      <c r="G619" s="23"/>
      <c r="H619" s="64"/>
      <c r="I619" s="22" t="s">
        <v>920</v>
      </c>
      <c r="J619" s="22" t="s">
        <v>212</v>
      </c>
      <c r="K619" s="34"/>
    </row>
    <row r="620" spans="1:11" x14ac:dyDescent="0.3">
      <c r="A620" s="22" t="s">
        <v>174</v>
      </c>
      <c r="B620" s="22" t="s">
        <v>753</v>
      </c>
      <c r="C620" s="22" t="s">
        <v>176</v>
      </c>
      <c r="D620" s="23"/>
      <c r="E620" s="23" t="s">
        <v>921</v>
      </c>
      <c r="F620" s="23"/>
      <c r="G620" s="23"/>
      <c r="H620" s="64"/>
      <c r="I620" s="22" t="s">
        <v>922</v>
      </c>
      <c r="J620" s="22"/>
      <c r="K620" s="34"/>
    </row>
    <row r="621" spans="1:11" x14ac:dyDescent="0.3">
      <c r="A621" s="22" t="s">
        <v>174</v>
      </c>
      <c r="B621" s="22" t="s">
        <v>753</v>
      </c>
      <c r="C621" s="22" t="s">
        <v>176</v>
      </c>
      <c r="D621" s="23"/>
      <c r="E621" s="23" t="s">
        <v>923</v>
      </c>
      <c r="F621" s="23"/>
      <c r="G621" s="23"/>
      <c r="H621" s="64"/>
      <c r="I621" s="22" t="s">
        <v>924</v>
      </c>
      <c r="J621" s="22" t="s">
        <v>212</v>
      </c>
      <c r="K621" s="34"/>
    </row>
    <row r="622" spans="1:11" x14ac:dyDescent="0.3">
      <c r="A622" s="22" t="s">
        <v>174</v>
      </c>
      <c r="B622" s="22" t="s">
        <v>753</v>
      </c>
      <c r="C622" s="22" t="s">
        <v>176</v>
      </c>
      <c r="D622" s="68"/>
      <c r="E622" s="68" t="s">
        <v>925</v>
      </c>
      <c r="F622" s="23"/>
      <c r="G622" s="68">
        <v>30</v>
      </c>
      <c r="H622" s="64"/>
      <c r="I622" s="22" t="s">
        <v>769</v>
      </c>
      <c r="J622" s="22"/>
      <c r="K622" s="34"/>
    </row>
    <row r="623" spans="1:11" x14ac:dyDescent="0.3">
      <c r="A623" s="22" t="s">
        <v>174</v>
      </c>
      <c r="B623" s="22" t="s">
        <v>753</v>
      </c>
      <c r="C623" s="22" t="s">
        <v>176</v>
      </c>
      <c r="D623" s="68"/>
      <c r="E623" s="68" t="s">
        <v>926</v>
      </c>
      <c r="F623" s="23"/>
      <c r="G623" s="68">
        <v>30</v>
      </c>
      <c r="H623" s="64"/>
      <c r="I623" s="22" t="s">
        <v>769</v>
      </c>
      <c r="J623" s="22"/>
      <c r="K623" s="34"/>
    </row>
    <row r="624" spans="1:11" x14ac:dyDescent="0.3">
      <c r="A624" s="22" t="s">
        <v>174</v>
      </c>
      <c r="B624" s="22" t="s">
        <v>753</v>
      </c>
      <c r="C624" s="22" t="s">
        <v>213</v>
      </c>
      <c r="D624" s="23"/>
      <c r="E624" s="23" t="s">
        <v>927</v>
      </c>
      <c r="F624" s="23"/>
      <c r="G624" s="23"/>
      <c r="H624" s="64"/>
      <c r="I624" s="22" t="s">
        <v>928</v>
      </c>
      <c r="J624" s="22" t="s">
        <v>929</v>
      </c>
      <c r="K624" s="34"/>
    </row>
    <row r="625" spans="1:11" x14ac:dyDescent="0.3">
      <c r="A625" s="22" t="s">
        <v>174</v>
      </c>
      <c r="B625" s="22" t="s">
        <v>753</v>
      </c>
      <c r="C625" s="22" t="s">
        <v>221</v>
      </c>
      <c r="D625" s="23"/>
      <c r="E625" s="23" t="s">
        <v>930</v>
      </c>
      <c r="F625" s="23"/>
      <c r="G625" s="23"/>
      <c r="H625" s="64"/>
      <c r="I625" s="22" t="s">
        <v>931</v>
      </c>
      <c r="J625" s="22" t="s">
        <v>929</v>
      </c>
      <c r="K625" s="34"/>
    </row>
    <row r="626" spans="1:11" x14ac:dyDescent="0.3">
      <c r="A626" s="22" t="s">
        <v>174</v>
      </c>
      <c r="B626" s="22" t="s">
        <v>753</v>
      </c>
      <c r="C626" s="22" t="s">
        <v>217</v>
      </c>
      <c r="D626" s="23"/>
      <c r="E626" s="23" t="s">
        <v>932</v>
      </c>
      <c r="F626" s="23"/>
      <c r="G626" s="23"/>
      <c r="H626" s="64"/>
      <c r="I626" s="22" t="s">
        <v>933</v>
      </c>
      <c r="J626" s="22" t="s">
        <v>929</v>
      </c>
      <c r="K626" s="34"/>
    </row>
    <row r="627" spans="1:11" x14ac:dyDescent="0.3">
      <c r="A627" s="22" t="s">
        <v>174</v>
      </c>
      <c r="B627" s="22" t="s">
        <v>753</v>
      </c>
      <c r="C627" s="22" t="s">
        <v>213</v>
      </c>
      <c r="D627" s="23"/>
      <c r="E627" s="23" t="s">
        <v>934</v>
      </c>
      <c r="F627" s="23"/>
      <c r="G627" s="23"/>
      <c r="H627" s="64"/>
      <c r="I627" s="22" t="s">
        <v>928</v>
      </c>
      <c r="J627" s="22" t="s">
        <v>935</v>
      </c>
      <c r="K627" s="34"/>
    </row>
    <row r="628" spans="1:11" x14ac:dyDescent="0.3">
      <c r="A628" s="22" t="s">
        <v>174</v>
      </c>
      <c r="B628" s="22" t="s">
        <v>753</v>
      </c>
      <c r="C628" s="22" t="s">
        <v>221</v>
      </c>
      <c r="D628" s="23"/>
      <c r="E628" s="23" t="s">
        <v>936</v>
      </c>
      <c r="F628" s="23"/>
      <c r="G628" s="23"/>
      <c r="H628" s="64"/>
      <c r="I628" s="22" t="s">
        <v>931</v>
      </c>
      <c r="J628" s="22" t="s">
        <v>935</v>
      </c>
      <c r="K628" s="34"/>
    </row>
    <row r="629" spans="1:11" x14ac:dyDescent="0.3">
      <c r="A629" s="22" t="s">
        <v>174</v>
      </c>
      <c r="B629" s="22" t="s">
        <v>753</v>
      </c>
      <c r="C629" s="22" t="s">
        <v>217</v>
      </c>
      <c r="D629" s="23"/>
      <c r="E629" s="23" t="s">
        <v>937</v>
      </c>
      <c r="F629" s="23"/>
      <c r="G629" s="23"/>
      <c r="H629" s="64"/>
      <c r="I629" s="22" t="s">
        <v>933</v>
      </c>
      <c r="J629" s="22" t="s">
        <v>935</v>
      </c>
      <c r="K629" s="34"/>
    </row>
    <row r="630" spans="1:11" x14ac:dyDescent="0.3">
      <c r="A630" s="22" t="s">
        <v>174</v>
      </c>
      <c r="B630" s="22" t="s">
        <v>753</v>
      </c>
      <c r="C630" s="22" t="s">
        <v>213</v>
      </c>
      <c r="D630" s="23"/>
      <c r="E630" s="23" t="s">
        <v>938</v>
      </c>
      <c r="F630" s="23"/>
      <c r="G630" s="23"/>
      <c r="H630" s="64"/>
      <c r="I630" s="22" t="s">
        <v>928</v>
      </c>
      <c r="J630" s="22" t="s">
        <v>939</v>
      </c>
      <c r="K630" s="34"/>
    </row>
    <row r="631" spans="1:11" x14ac:dyDescent="0.3">
      <c r="A631" s="22" t="s">
        <v>174</v>
      </c>
      <c r="B631" s="22" t="s">
        <v>753</v>
      </c>
      <c r="C631" s="22" t="s">
        <v>221</v>
      </c>
      <c r="D631" s="23"/>
      <c r="E631" s="23" t="s">
        <v>940</v>
      </c>
      <c r="F631" s="23"/>
      <c r="G631" s="23"/>
      <c r="H631" s="64"/>
      <c r="I631" s="22" t="s">
        <v>931</v>
      </c>
      <c r="J631" s="22" t="s">
        <v>939</v>
      </c>
      <c r="K631" s="34"/>
    </row>
    <row r="632" spans="1:11" x14ac:dyDescent="0.3">
      <c r="A632" s="22" t="s">
        <v>174</v>
      </c>
      <c r="B632" s="22" t="s">
        <v>753</v>
      </c>
      <c r="C632" s="22" t="s">
        <v>217</v>
      </c>
      <c r="D632" s="23"/>
      <c r="E632" s="23" t="s">
        <v>941</v>
      </c>
      <c r="F632" s="23"/>
      <c r="G632" s="23"/>
      <c r="H632" s="64"/>
      <c r="I632" s="22" t="s">
        <v>933</v>
      </c>
      <c r="J632" s="22" t="s">
        <v>939</v>
      </c>
      <c r="K632" s="76"/>
    </row>
    <row r="633" spans="1:11" x14ac:dyDescent="0.3">
      <c r="A633" s="70" t="s">
        <v>174</v>
      </c>
      <c r="B633" s="70" t="s">
        <v>942</v>
      </c>
      <c r="C633" s="70" t="s">
        <v>176</v>
      </c>
      <c r="D633" s="71"/>
      <c r="E633" s="70" t="s">
        <v>943</v>
      </c>
      <c r="F633" s="70"/>
      <c r="G633" s="70"/>
      <c r="H633" s="64" t="s">
        <v>944</v>
      </c>
      <c r="I633" s="70" t="s">
        <v>945</v>
      </c>
      <c r="J633" s="70"/>
      <c r="K633" s="34"/>
    </row>
    <row r="634" spans="1:11" x14ac:dyDescent="0.3">
      <c r="A634" s="22" t="s">
        <v>174</v>
      </c>
      <c r="B634" s="22" t="s">
        <v>942</v>
      </c>
      <c r="C634" s="22" t="s">
        <v>176</v>
      </c>
      <c r="D634" s="23"/>
      <c r="E634" s="22" t="s">
        <v>946</v>
      </c>
      <c r="F634" s="22"/>
      <c r="G634" s="22">
        <v>15</v>
      </c>
      <c r="H634" s="64"/>
      <c r="I634" s="22" t="s">
        <v>947</v>
      </c>
      <c r="J634" s="22"/>
      <c r="K634" s="34"/>
    </row>
    <row r="635" spans="1:11" x14ac:dyDescent="0.3">
      <c r="A635" s="22" t="s">
        <v>174</v>
      </c>
      <c r="B635" s="22" t="s">
        <v>942</v>
      </c>
      <c r="C635" s="22" t="s">
        <v>176</v>
      </c>
      <c r="D635" s="23"/>
      <c r="E635" s="22" t="s">
        <v>948</v>
      </c>
      <c r="F635" s="22"/>
      <c r="G635" s="22">
        <v>25</v>
      </c>
      <c r="H635" s="64"/>
      <c r="I635" s="22" t="s">
        <v>949</v>
      </c>
      <c r="J635" s="22"/>
      <c r="K635" s="34"/>
    </row>
    <row r="636" spans="1:11" x14ac:dyDescent="0.3">
      <c r="A636" s="22" t="s">
        <v>174</v>
      </c>
      <c r="B636" s="22" t="s">
        <v>942</v>
      </c>
      <c r="C636" s="22" t="s">
        <v>176</v>
      </c>
      <c r="D636" s="23"/>
      <c r="E636" s="22" t="s">
        <v>1015</v>
      </c>
      <c r="F636" s="29"/>
      <c r="G636" s="22"/>
      <c r="H636" s="64"/>
      <c r="I636" s="22" t="s">
        <v>1016</v>
      </c>
      <c r="J636" s="22" t="s">
        <v>1017</v>
      </c>
      <c r="K636" s="34"/>
    </row>
    <row r="637" spans="1:11" x14ac:dyDescent="0.3">
      <c r="A637" s="22" t="s">
        <v>174</v>
      </c>
      <c r="B637" s="22" t="s">
        <v>942</v>
      </c>
      <c r="C637" s="22" t="s">
        <v>176</v>
      </c>
      <c r="D637" s="23"/>
      <c r="E637" s="22" t="s">
        <v>1018</v>
      </c>
      <c r="F637" s="29"/>
      <c r="G637" s="22"/>
      <c r="H637" s="64"/>
      <c r="I637" s="22" t="s">
        <v>1019</v>
      </c>
      <c r="J637" s="22" t="s">
        <v>1020</v>
      </c>
      <c r="K637" s="34"/>
    </row>
    <row r="638" spans="1:11" x14ac:dyDescent="0.3">
      <c r="A638" s="22" t="s">
        <v>174</v>
      </c>
      <c r="B638" s="22" t="s">
        <v>942</v>
      </c>
      <c r="C638" s="22" t="s">
        <v>176</v>
      </c>
      <c r="D638" s="23"/>
      <c r="E638" s="22" t="s">
        <v>1021</v>
      </c>
      <c r="F638" s="29"/>
      <c r="G638" s="22"/>
      <c r="H638" s="64"/>
      <c r="I638" s="22" t="s">
        <v>1022</v>
      </c>
      <c r="J638" s="22" t="s">
        <v>1023</v>
      </c>
      <c r="K638" s="34"/>
    </row>
    <row r="639" spans="1:11" x14ac:dyDescent="0.3">
      <c r="A639" s="22" t="s">
        <v>174</v>
      </c>
      <c r="B639" s="22" t="s">
        <v>942</v>
      </c>
      <c r="C639" s="22" t="s">
        <v>176</v>
      </c>
      <c r="D639" s="23"/>
      <c r="E639" s="22" t="s">
        <v>1024</v>
      </c>
      <c r="F639" s="29"/>
      <c r="G639" s="22"/>
      <c r="H639" s="64"/>
      <c r="I639" s="22" t="s">
        <v>1025</v>
      </c>
      <c r="J639" s="22" t="s">
        <v>1026</v>
      </c>
      <c r="K639" s="34"/>
    </row>
    <row r="640" spans="1:11" x14ac:dyDescent="0.3">
      <c r="A640" s="22" t="s">
        <v>174</v>
      </c>
      <c r="B640" s="22" t="s">
        <v>942</v>
      </c>
      <c r="C640" s="22" t="s">
        <v>176</v>
      </c>
      <c r="D640" s="23"/>
      <c r="E640" s="22" t="s">
        <v>1045</v>
      </c>
      <c r="F640" s="22"/>
      <c r="G640" s="22"/>
      <c r="H640" s="64"/>
      <c r="I640" s="22" t="s">
        <v>1046</v>
      </c>
      <c r="J640" s="22" t="s">
        <v>869</v>
      </c>
      <c r="K640" s="34"/>
    </row>
    <row r="641" spans="1:11" x14ac:dyDescent="0.3">
      <c r="A641" s="22" t="s">
        <v>174</v>
      </c>
      <c r="B641" s="22" t="s">
        <v>942</v>
      </c>
      <c r="C641" s="22" t="s">
        <v>176</v>
      </c>
      <c r="D641" s="23"/>
      <c r="E641" s="22" t="s">
        <v>1047</v>
      </c>
      <c r="F641" s="22"/>
      <c r="G641" s="22"/>
      <c r="H641" s="64"/>
      <c r="I641" s="22" t="s">
        <v>1048</v>
      </c>
      <c r="J641" s="22" t="s">
        <v>872</v>
      </c>
      <c r="K641" s="34"/>
    </row>
    <row r="642" spans="1:11" x14ac:dyDescent="0.3">
      <c r="A642" s="22" t="s">
        <v>174</v>
      </c>
      <c r="B642" s="22" t="s">
        <v>942</v>
      </c>
      <c r="C642" s="22" t="s">
        <v>176</v>
      </c>
      <c r="D642" s="23"/>
      <c r="E642" s="22" t="s">
        <v>1049</v>
      </c>
      <c r="F642" s="22"/>
      <c r="G642" s="22"/>
      <c r="H642" s="64"/>
      <c r="I642" s="22" t="s">
        <v>1050</v>
      </c>
      <c r="J642" s="22" t="s">
        <v>875</v>
      </c>
      <c r="K642" s="34"/>
    </row>
    <row r="643" spans="1:11" x14ac:dyDescent="0.3">
      <c r="A643" s="22" t="s">
        <v>174</v>
      </c>
      <c r="B643" s="22" t="s">
        <v>942</v>
      </c>
      <c r="C643" s="22" t="s">
        <v>176</v>
      </c>
      <c r="D643" s="23"/>
      <c r="E643" s="22" t="s">
        <v>1051</v>
      </c>
      <c r="F643" s="22"/>
      <c r="G643" s="22"/>
      <c r="H643" s="64"/>
      <c r="I643" s="22" t="s">
        <v>1052</v>
      </c>
      <c r="J643" s="22" t="s">
        <v>878</v>
      </c>
      <c r="K643" s="34"/>
    </row>
    <row r="644" spans="1:11" x14ac:dyDescent="0.3">
      <c r="A644" s="22" t="s">
        <v>174</v>
      </c>
      <c r="B644" s="22" t="s">
        <v>942</v>
      </c>
      <c r="C644" s="22" t="s">
        <v>176</v>
      </c>
      <c r="D644" s="23"/>
      <c r="E644" s="22" t="s">
        <v>1053</v>
      </c>
      <c r="F644" s="22"/>
      <c r="G644" s="22"/>
      <c r="H644" s="64"/>
      <c r="I644" s="22" t="s">
        <v>1054</v>
      </c>
      <c r="J644" s="22" t="s">
        <v>328</v>
      </c>
      <c r="K644" s="34"/>
    </row>
    <row r="645" spans="1:11" x14ac:dyDescent="0.3">
      <c r="A645" s="22" t="s">
        <v>174</v>
      </c>
      <c r="B645" s="22" t="s">
        <v>942</v>
      </c>
      <c r="C645" s="22" t="s">
        <v>176</v>
      </c>
      <c r="D645" s="23"/>
      <c r="E645" s="22" t="s">
        <v>1055</v>
      </c>
      <c r="F645" s="22"/>
      <c r="G645" s="22"/>
      <c r="H645" s="64"/>
      <c r="I645" s="22" t="s">
        <v>1056</v>
      </c>
      <c r="J645" s="22" t="s">
        <v>331</v>
      </c>
      <c r="K645" s="34"/>
    </row>
    <row r="646" spans="1:11" x14ac:dyDescent="0.3">
      <c r="A646" s="22" t="s">
        <v>174</v>
      </c>
      <c r="B646" s="22" t="s">
        <v>942</v>
      </c>
      <c r="C646" s="22" t="s">
        <v>176</v>
      </c>
      <c r="D646" s="23"/>
      <c r="E646" s="22" t="s">
        <v>1077</v>
      </c>
      <c r="F646" s="22"/>
      <c r="G646" s="22"/>
      <c r="H646" s="64"/>
      <c r="I646" s="22" t="s">
        <v>1078</v>
      </c>
      <c r="J646" s="22"/>
      <c r="K646" s="34"/>
    </row>
    <row r="647" spans="1:11" x14ac:dyDescent="0.3">
      <c r="A647" s="22" t="s">
        <v>174</v>
      </c>
      <c r="B647" s="22" t="s">
        <v>942</v>
      </c>
      <c r="C647" s="22" t="s">
        <v>176</v>
      </c>
      <c r="D647" s="23"/>
      <c r="E647" s="22" t="s">
        <v>1079</v>
      </c>
      <c r="F647" s="29"/>
      <c r="G647" s="22"/>
      <c r="H647" s="64"/>
      <c r="I647" s="22" t="s">
        <v>1080</v>
      </c>
      <c r="J647" s="22"/>
      <c r="K647" s="34"/>
    </row>
    <row r="648" spans="1:11" x14ac:dyDescent="0.3">
      <c r="A648" s="22" t="s">
        <v>174</v>
      </c>
      <c r="B648" s="22" t="s">
        <v>942</v>
      </c>
      <c r="C648" s="22" t="s">
        <v>176</v>
      </c>
      <c r="D648" s="23"/>
      <c r="E648" s="22" t="s">
        <v>1081</v>
      </c>
      <c r="F648" s="29"/>
      <c r="G648" s="22"/>
      <c r="H648" s="64"/>
      <c r="I648" s="22" t="s">
        <v>1082</v>
      </c>
      <c r="J648" s="22"/>
      <c r="K648" s="34"/>
    </row>
    <row r="649" spans="1:11" x14ac:dyDescent="0.3">
      <c r="A649" s="22" t="s">
        <v>174</v>
      </c>
      <c r="B649" s="22" t="s">
        <v>942</v>
      </c>
      <c r="C649" s="22" t="s">
        <v>176</v>
      </c>
      <c r="D649" s="23"/>
      <c r="E649" s="22" t="s">
        <v>1083</v>
      </c>
      <c r="F649" s="29"/>
      <c r="G649" s="22"/>
      <c r="H649" s="64"/>
      <c r="I649" s="22" t="s">
        <v>1084</v>
      </c>
      <c r="J649" s="22" t="s">
        <v>212</v>
      </c>
      <c r="K649" s="34"/>
    </row>
    <row r="650" spans="1:11" x14ac:dyDescent="0.3">
      <c r="A650" s="22" t="s">
        <v>174</v>
      </c>
      <c r="B650" s="22" t="s">
        <v>942</v>
      </c>
      <c r="C650" s="22" t="s">
        <v>176</v>
      </c>
      <c r="D650" s="23"/>
      <c r="E650" s="22" t="s">
        <v>1085</v>
      </c>
      <c r="F650" s="22"/>
      <c r="G650" s="22"/>
      <c r="H650" s="64"/>
      <c r="I650" s="22" t="s">
        <v>1086</v>
      </c>
      <c r="J650" s="22"/>
      <c r="K650" s="34"/>
    </row>
    <row r="651" spans="1:11" x14ac:dyDescent="0.3">
      <c r="A651" s="22" t="s">
        <v>174</v>
      </c>
      <c r="B651" s="22" t="s">
        <v>942</v>
      </c>
      <c r="C651" s="22" t="s">
        <v>176</v>
      </c>
      <c r="D651" s="23"/>
      <c r="E651" s="22" t="s">
        <v>1087</v>
      </c>
      <c r="F651" s="22"/>
      <c r="G651" s="22"/>
      <c r="H651" s="64"/>
      <c r="I651" s="22" t="s">
        <v>1088</v>
      </c>
      <c r="J651" s="22"/>
      <c r="K651" s="34"/>
    </row>
    <row r="652" spans="1:11" x14ac:dyDescent="0.3">
      <c r="A652" s="22" t="s">
        <v>174</v>
      </c>
      <c r="B652" s="22" t="s">
        <v>942</v>
      </c>
      <c r="C652" s="22" t="s">
        <v>176</v>
      </c>
      <c r="D652" s="68"/>
      <c r="E652" s="22" t="s">
        <v>1089</v>
      </c>
      <c r="F652" s="23"/>
      <c r="G652" s="22">
        <v>30</v>
      </c>
      <c r="H652" s="64"/>
      <c r="I652" s="22" t="s">
        <v>1090</v>
      </c>
      <c r="J652" s="22"/>
      <c r="K652" s="34"/>
    </row>
    <row r="653" spans="1:11" x14ac:dyDescent="0.3">
      <c r="A653" s="22" t="s">
        <v>174</v>
      </c>
      <c r="B653" s="22" t="s">
        <v>942</v>
      </c>
      <c r="C653" s="22" t="s">
        <v>176</v>
      </c>
      <c r="D653" s="68"/>
      <c r="E653" s="22" t="s">
        <v>1091</v>
      </c>
      <c r="F653" s="23"/>
      <c r="G653" s="22">
        <v>30</v>
      </c>
      <c r="H653" s="64"/>
      <c r="I653" s="22" t="s">
        <v>1090</v>
      </c>
      <c r="J653" s="22"/>
      <c r="K653" s="34"/>
    </row>
    <row r="654" spans="1:11" x14ac:dyDescent="0.3">
      <c r="A654" s="22" t="s">
        <v>174</v>
      </c>
      <c r="B654" s="22" t="s">
        <v>942</v>
      </c>
      <c r="C654" s="22" t="s">
        <v>87</v>
      </c>
      <c r="D654" s="23"/>
      <c r="E654" s="22" t="s">
        <v>1092</v>
      </c>
      <c r="F654" s="22"/>
      <c r="G654" s="23"/>
      <c r="H654" s="64"/>
      <c r="I654" s="22" t="s">
        <v>1093</v>
      </c>
      <c r="J654" s="22" t="s">
        <v>1094</v>
      </c>
      <c r="K654" s="34"/>
    </row>
    <row r="655" spans="1:11" x14ac:dyDescent="0.3">
      <c r="A655" s="22" t="s">
        <v>174</v>
      </c>
      <c r="B655" s="22" t="s">
        <v>942</v>
      </c>
      <c r="C655" s="22" t="s">
        <v>93</v>
      </c>
      <c r="D655" s="23"/>
      <c r="E655" s="22" t="s">
        <v>1095</v>
      </c>
      <c r="F655" s="22"/>
      <c r="G655" s="23"/>
      <c r="H655" s="64"/>
      <c r="I655" s="22" t="s">
        <v>1096</v>
      </c>
      <c r="J655" s="22" t="s">
        <v>1097</v>
      </c>
      <c r="K655" s="34"/>
    </row>
    <row r="656" spans="1:11" x14ac:dyDescent="0.3">
      <c r="A656" s="22" t="s">
        <v>174</v>
      </c>
      <c r="B656" s="22" t="s">
        <v>942</v>
      </c>
      <c r="C656" s="64" t="s">
        <v>90</v>
      </c>
      <c r="D656" s="23"/>
      <c r="E656" s="22" t="s">
        <v>1098</v>
      </c>
      <c r="F656" s="22"/>
      <c r="G656" s="23"/>
      <c r="H656" s="64"/>
      <c r="I656" s="22" t="s">
        <v>1099</v>
      </c>
      <c r="J656" s="22" t="s">
        <v>1100</v>
      </c>
      <c r="K656" s="34"/>
    </row>
    <row r="657" spans="1:11" x14ac:dyDescent="0.3">
      <c r="A657" s="22" t="s">
        <v>174</v>
      </c>
      <c r="B657" s="22" t="s">
        <v>942</v>
      </c>
      <c r="C657" s="22" t="s">
        <v>87</v>
      </c>
      <c r="D657" s="23"/>
      <c r="E657" s="22" t="s">
        <v>1101</v>
      </c>
      <c r="F657" s="22"/>
      <c r="G657" s="23"/>
      <c r="H657" s="64"/>
      <c r="I657" s="22" t="s">
        <v>1093</v>
      </c>
      <c r="J657" s="22" t="s">
        <v>1102</v>
      </c>
      <c r="K657" s="34"/>
    </row>
    <row r="658" spans="1:11" x14ac:dyDescent="0.3">
      <c r="A658" s="22" t="s">
        <v>174</v>
      </c>
      <c r="B658" s="22" t="s">
        <v>942</v>
      </c>
      <c r="C658" s="22" t="s">
        <v>93</v>
      </c>
      <c r="D658" s="23"/>
      <c r="E658" s="22" t="s">
        <v>1103</v>
      </c>
      <c r="F658" s="22"/>
      <c r="G658" s="23"/>
      <c r="H658" s="64"/>
      <c r="I658" s="22" t="s">
        <v>1096</v>
      </c>
      <c r="J658" s="22" t="s">
        <v>1104</v>
      </c>
      <c r="K658" s="34"/>
    </row>
    <row r="659" spans="1:11" x14ac:dyDescent="0.3">
      <c r="A659" s="22" t="s">
        <v>174</v>
      </c>
      <c r="B659" s="22" t="s">
        <v>942</v>
      </c>
      <c r="C659" s="64" t="s">
        <v>90</v>
      </c>
      <c r="D659" s="23"/>
      <c r="E659" s="22" t="s">
        <v>1105</v>
      </c>
      <c r="F659" s="22"/>
      <c r="G659" s="23"/>
      <c r="H659" s="64"/>
      <c r="I659" s="22" t="s">
        <v>1099</v>
      </c>
      <c r="J659" s="22" t="s">
        <v>1106</v>
      </c>
      <c r="K659" s="34"/>
    </row>
    <row r="660" spans="1:11" x14ac:dyDescent="0.3">
      <c r="A660" s="22" t="s">
        <v>174</v>
      </c>
      <c r="B660" s="22" t="s">
        <v>942</v>
      </c>
      <c r="C660" s="22" t="s">
        <v>87</v>
      </c>
      <c r="D660" s="23"/>
      <c r="E660" s="22" t="s">
        <v>1107</v>
      </c>
      <c r="F660" s="22"/>
      <c r="G660" s="23"/>
      <c r="H660" s="64"/>
      <c r="I660" s="22" t="s">
        <v>1093</v>
      </c>
      <c r="J660" s="22" t="s">
        <v>1108</v>
      </c>
      <c r="K660" s="34"/>
    </row>
    <row r="661" spans="1:11" x14ac:dyDescent="0.3">
      <c r="A661" s="22" t="s">
        <v>174</v>
      </c>
      <c r="B661" s="22" t="s">
        <v>942</v>
      </c>
      <c r="C661" s="22" t="s">
        <v>93</v>
      </c>
      <c r="D661" s="23"/>
      <c r="E661" s="22" t="s">
        <v>1109</v>
      </c>
      <c r="F661" s="22"/>
      <c r="G661" s="23"/>
      <c r="H661" s="64"/>
      <c r="I661" s="22" t="s">
        <v>1096</v>
      </c>
      <c r="J661" s="22" t="s">
        <v>1110</v>
      </c>
      <c r="K661" s="34"/>
    </row>
    <row r="662" spans="1:11" x14ac:dyDescent="0.3">
      <c r="A662" s="22" t="s">
        <v>174</v>
      </c>
      <c r="B662" s="22" t="s">
        <v>942</v>
      </c>
      <c r="C662" s="64" t="s">
        <v>90</v>
      </c>
      <c r="D662" s="23"/>
      <c r="E662" s="22" t="s">
        <v>1111</v>
      </c>
      <c r="F662" s="22"/>
      <c r="G662" s="23"/>
      <c r="H662" s="64"/>
      <c r="I662" s="22" t="s">
        <v>1099</v>
      </c>
      <c r="J662" s="22" t="s">
        <v>1112</v>
      </c>
      <c r="K662" s="34"/>
    </row>
    <row r="663" spans="1:11" x14ac:dyDescent="0.3">
      <c r="A663" s="22" t="s">
        <v>174</v>
      </c>
      <c r="B663" s="22" t="s">
        <v>942</v>
      </c>
      <c r="C663" s="22" t="s">
        <v>176</v>
      </c>
      <c r="D663" s="23"/>
      <c r="E663" s="22" t="s">
        <v>1113</v>
      </c>
      <c r="F663" s="22"/>
      <c r="G663" s="22">
        <v>5</v>
      </c>
      <c r="H663" s="64"/>
      <c r="I663" s="22" t="s">
        <v>1114</v>
      </c>
      <c r="J663" s="22"/>
      <c r="K663" s="34"/>
    </row>
    <row r="664" spans="1:11" x14ac:dyDescent="0.3">
      <c r="A664" s="22" t="s">
        <v>174</v>
      </c>
      <c r="B664" s="22" t="s">
        <v>942</v>
      </c>
      <c r="C664" s="22" t="s">
        <v>176</v>
      </c>
      <c r="D664" s="23"/>
      <c r="E664" s="22" t="s">
        <v>1115</v>
      </c>
      <c r="F664" s="22"/>
      <c r="G664" s="22">
        <v>5</v>
      </c>
      <c r="H664" s="64"/>
      <c r="I664" s="22" t="s">
        <v>1116</v>
      </c>
      <c r="J664" s="22"/>
      <c r="K664" s="34"/>
    </row>
    <row r="665" spans="1:11" x14ac:dyDescent="0.3">
      <c r="A665" s="22" t="s">
        <v>174</v>
      </c>
      <c r="B665" s="22" t="s">
        <v>942</v>
      </c>
      <c r="C665" s="22" t="s">
        <v>176</v>
      </c>
      <c r="D665" s="23"/>
      <c r="E665" s="22" t="s">
        <v>1117</v>
      </c>
      <c r="F665" s="22"/>
      <c r="G665" s="22">
        <v>5</v>
      </c>
      <c r="H665" s="64"/>
      <c r="I665" s="22" t="s">
        <v>1118</v>
      </c>
      <c r="J665" s="22"/>
      <c r="K665" s="34"/>
    </row>
    <row r="666" spans="1:11" x14ac:dyDescent="0.3">
      <c r="A666" s="22" t="s">
        <v>174</v>
      </c>
      <c r="B666" s="22" t="s">
        <v>942</v>
      </c>
      <c r="C666" s="22" t="s">
        <v>176</v>
      </c>
      <c r="D666" s="23"/>
      <c r="E666" s="22" t="s">
        <v>1119</v>
      </c>
      <c r="F666" s="22"/>
      <c r="G666" s="22"/>
      <c r="H666" s="64" t="s">
        <v>944</v>
      </c>
      <c r="I666" s="22" t="s">
        <v>1120</v>
      </c>
      <c r="J666" s="22"/>
      <c r="K666" s="34"/>
    </row>
    <row r="667" spans="1:11" x14ac:dyDescent="0.3">
      <c r="A667" s="22" t="s">
        <v>174</v>
      </c>
      <c r="B667" s="22" t="s">
        <v>942</v>
      </c>
      <c r="C667" s="22" t="s">
        <v>176</v>
      </c>
      <c r="D667" s="23"/>
      <c r="E667" s="22" t="s">
        <v>1121</v>
      </c>
      <c r="F667" s="22"/>
      <c r="G667" s="22">
        <v>10</v>
      </c>
      <c r="H667" s="64"/>
      <c r="I667" s="22" t="s">
        <v>1122</v>
      </c>
      <c r="J667" s="22"/>
      <c r="K667" s="34"/>
    </row>
    <row r="668" spans="1:11" x14ac:dyDescent="0.3">
      <c r="A668" s="22" t="s">
        <v>174</v>
      </c>
      <c r="B668" s="22" t="s">
        <v>942</v>
      </c>
      <c r="C668" s="22" t="s">
        <v>176</v>
      </c>
      <c r="D668" s="23"/>
      <c r="E668" s="22" t="s">
        <v>1123</v>
      </c>
      <c r="F668" s="22"/>
      <c r="G668" s="22">
        <v>15</v>
      </c>
      <c r="H668" s="64"/>
      <c r="I668" s="22" t="s">
        <v>1124</v>
      </c>
      <c r="J668" s="22"/>
      <c r="K668" s="34"/>
    </row>
    <row r="669" spans="1:11" x14ac:dyDescent="0.3">
      <c r="A669" s="22" t="s">
        <v>174</v>
      </c>
      <c r="B669" s="22" t="s">
        <v>942</v>
      </c>
      <c r="C669" s="22" t="s">
        <v>176</v>
      </c>
      <c r="D669" s="23"/>
      <c r="E669" s="22" t="s">
        <v>1125</v>
      </c>
      <c r="F669" s="22"/>
      <c r="G669" s="22">
        <v>20</v>
      </c>
      <c r="H669" s="64"/>
      <c r="I669" s="22" t="s">
        <v>1126</v>
      </c>
      <c r="J669" s="22"/>
      <c r="K669" s="34"/>
    </row>
    <row r="670" spans="1:11" x14ac:dyDescent="0.3">
      <c r="A670" s="22" t="s">
        <v>174</v>
      </c>
      <c r="B670" s="22" t="s">
        <v>942</v>
      </c>
      <c r="C670" s="22" t="s">
        <v>176</v>
      </c>
      <c r="D670" s="23"/>
      <c r="E670" s="22" t="s">
        <v>1127</v>
      </c>
      <c r="F670" s="22"/>
      <c r="G670" s="22">
        <v>20</v>
      </c>
      <c r="H670" s="64"/>
      <c r="I670" s="22" t="s">
        <v>1128</v>
      </c>
      <c r="J670" s="22"/>
      <c r="K670" s="34"/>
    </row>
    <row r="671" spans="1:11" x14ac:dyDescent="0.3">
      <c r="A671" s="22" t="s">
        <v>174</v>
      </c>
      <c r="B671" s="22" t="s">
        <v>942</v>
      </c>
      <c r="C671" s="22" t="s">
        <v>176</v>
      </c>
      <c r="D671" s="23"/>
      <c r="E671" s="22" t="s">
        <v>1129</v>
      </c>
      <c r="F671" s="22"/>
      <c r="G671" s="22">
        <v>25</v>
      </c>
      <c r="H671" s="64"/>
      <c r="I671" s="22" t="s">
        <v>1130</v>
      </c>
      <c r="J671" s="22"/>
      <c r="K671" s="34"/>
    </row>
    <row r="672" spans="1:11" x14ac:dyDescent="0.3">
      <c r="A672" s="22" t="s">
        <v>174</v>
      </c>
      <c r="B672" s="22" t="s">
        <v>942</v>
      </c>
      <c r="C672" s="22" t="s">
        <v>176</v>
      </c>
      <c r="D672" s="23"/>
      <c r="E672" s="22" t="s">
        <v>1131</v>
      </c>
      <c r="F672" s="22"/>
      <c r="G672" s="22">
        <v>25</v>
      </c>
      <c r="H672" s="64"/>
      <c r="I672" s="22" t="s">
        <v>1132</v>
      </c>
      <c r="J672" s="22"/>
      <c r="K672" s="34"/>
    </row>
    <row r="673" spans="1:11" x14ac:dyDescent="0.3">
      <c r="A673" s="22" t="s">
        <v>174</v>
      </c>
      <c r="B673" s="22" t="s">
        <v>942</v>
      </c>
      <c r="C673" s="22" t="s">
        <v>176</v>
      </c>
      <c r="D673" s="68"/>
      <c r="E673" s="22" t="s">
        <v>1133</v>
      </c>
      <c r="F673" s="23"/>
      <c r="G673" s="22">
        <v>30</v>
      </c>
      <c r="H673" s="64"/>
      <c r="I673" s="22" t="s">
        <v>1090</v>
      </c>
      <c r="J673" s="22"/>
      <c r="K673" s="34"/>
    </row>
    <row r="674" spans="1:11" x14ac:dyDescent="0.3">
      <c r="A674" s="22" t="s">
        <v>174</v>
      </c>
      <c r="B674" s="22" t="s">
        <v>942</v>
      </c>
      <c r="C674" s="22" t="s">
        <v>176</v>
      </c>
      <c r="D674" s="23"/>
      <c r="E674" s="22" t="s">
        <v>1149</v>
      </c>
      <c r="F674" s="22"/>
      <c r="G674" s="22">
        <v>15</v>
      </c>
      <c r="H674" s="64"/>
      <c r="I674" s="22" t="s">
        <v>1150</v>
      </c>
      <c r="J674" s="22"/>
      <c r="K674" s="34"/>
    </row>
    <row r="675" spans="1:11" x14ac:dyDescent="0.3">
      <c r="A675" s="22" t="s">
        <v>174</v>
      </c>
      <c r="B675" s="22" t="s">
        <v>1151</v>
      </c>
      <c r="C675" s="22" t="s">
        <v>176</v>
      </c>
      <c r="D675" s="23"/>
      <c r="E675" s="22" t="s">
        <v>1152</v>
      </c>
      <c r="F675" s="22"/>
      <c r="G675" s="22">
        <v>5</v>
      </c>
      <c r="H675" s="64"/>
      <c r="I675" s="22" t="s">
        <v>1153</v>
      </c>
      <c r="J675" s="22"/>
      <c r="K675" s="34"/>
    </row>
    <row r="676" spans="1:11" x14ac:dyDescent="0.3">
      <c r="A676" s="22" t="s">
        <v>174</v>
      </c>
      <c r="B676" s="22" t="s">
        <v>1151</v>
      </c>
      <c r="C676" s="22" t="s">
        <v>176</v>
      </c>
      <c r="D676" s="23"/>
      <c r="E676" s="22" t="s">
        <v>1154</v>
      </c>
      <c r="F676" s="22"/>
      <c r="G676" s="22">
        <v>5</v>
      </c>
      <c r="H676" s="64"/>
      <c r="I676" s="22" t="s">
        <v>1155</v>
      </c>
      <c r="J676" s="22"/>
      <c r="K676" s="34"/>
    </row>
    <row r="677" spans="1:11" x14ac:dyDescent="0.3">
      <c r="A677" s="22" t="s">
        <v>174</v>
      </c>
      <c r="B677" s="22" t="s">
        <v>1151</v>
      </c>
      <c r="C677" s="22" t="s">
        <v>176</v>
      </c>
      <c r="D677" s="23"/>
      <c r="E677" s="22" t="s">
        <v>1156</v>
      </c>
      <c r="F677" s="22"/>
      <c r="G677" s="22">
        <v>10</v>
      </c>
      <c r="H677" s="64"/>
      <c r="I677" s="22" t="s">
        <v>1157</v>
      </c>
      <c r="J677" s="22"/>
      <c r="K677" s="34"/>
    </row>
    <row r="678" spans="1:11" x14ac:dyDescent="0.3">
      <c r="A678" s="22" t="s">
        <v>174</v>
      </c>
      <c r="B678" s="22" t="s">
        <v>1151</v>
      </c>
      <c r="C678" s="22" t="s">
        <v>176</v>
      </c>
      <c r="D678" s="23"/>
      <c r="E678" s="22" t="s">
        <v>1158</v>
      </c>
      <c r="F678" s="22"/>
      <c r="G678" s="22">
        <v>10</v>
      </c>
      <c r="H678" s="64"/>
      <c r="I678" s="22" t="s">
        <v>1159</v>
      </c>
      <c r="J678" s="22"/>
      <c r="K678" s="34"/>
    </row>
    <row r="679" spans="1:11" x14ac:dyDescent="0.3">
      <c r="A679" s="22" t="s">
        <v>174</v>
      </c>
      <c r="B679" s="22" t="s">
        <v>1151</v>
      </c>
      <c r="C679" s="22" t="s">
        <v>176</v>
      </c>
      <c r="D679" s="23"/>
      <c r="E679" s="22" t="s">
        <v>1160</v>
      </c>
      <c r="F679" s="22"/>
      <c r="G679" s="22">
        <v>20</v>
      </c>
      <c r="H679" s="64"/>
      <c r="I679" s="22" t="s">
        <v>1161</v>
      </c>
      <c r="J679" s="22"/>
      <c r="K679" s="34"/>
    </row>
    <row r="680" spans="1:11" x14ac:dyDescent="0.3">
      <c r="A680" s="22" t="s">
        <v>174</v>
      </c>
      <c r="B680" s="22" t="s">
        <v>1151</v>
      </c>
      <c r="C680" s="22" t="s">
        <v>176</v>
      </c>
      <c r="D680" s="23"/>
      <c r="E680" s="22" t="s">
        <v>1162</v>
      </c>
      <c r="F680" s="22"/>
      <c r="G680" s="22">
        <v>20</v>
      </c>
      <c r="H680" s="64"/>
      <c r="I680" s="22" t="s">
        <v>1163</v>
      </c>
      <c r="J680" s="22"/>
      <c r="K680" s="34"/>
    </row>
    <row r="681" spans="1:11" x14ac:dyDescent="0.3">
      <c r="A681" s="22" t="s">
        <v>174</v>
      </c>
      <c r="B681" s="22" t="s">
        <v>1151</v>
      </c>
      <c r="C681" s="22" t="s">
        <v>176</v>
      </c>
      <c r="D681" s="23"/>
      <c r="E681" s="22" t="s">
        <v>1164</v>
      </c>
      <c r="F681" s="22"/>
      <c r="G681" s="22">
        <v>25</v>
      </c>
      <c r="H681" s="64"/>
      <c r="I681" s="22" t="s">
        <v>1165</v>
      </c>
      <c r="J681" s="22"/>
      <c r="K681" s="34"/>
    </row>
    <row r="682" spans="1:11" x14ac:dyDescent="0.3">
      <c r="A682" s="22" t="s">
        <v>174</v>
      </c>
      <c r="B682" s="22" t="s">
        <v>1151</v>
      </c>
      <c r="C682" s="22" t="s">
        <v>176</v>
      </c>
      <c r="D682" s="23"/>
      <c r="E682" s="22" t="s">
        <v>1166</v>
      </c>
      <c r="F682" s="22"/>
      <c r="G682" s="22">
        <v>25</v>
      </c>
      <c r="H682" s="64"/>
      <c r="I682" s="22" t="s">
        <v>1167</v>
      </c>
      <c r="J682" s="22"/>
      <c r="K682" s="34"/>
    </row>
    <row r="683" spans="1:11" x14ac:dyDescent="0.3">
      <c r="A683" s="22" t="s">
        <v>174</v>
      </c>
      <c r="B683" s="22" t="s">
        <v>1151</v>
      </c>
      <c r="C683" s="22" t="s">
        <v>176</v>
      </c>
      <c r="D683" s="72"/>
      <c r="E683" s="22" t="s">
        <v>1168</v>
      </c>
      <c r="F683" s="22"/>
      <c r="G683" s="22">
        <v>25</v>
      </c>
      <c r="H683" s="64"/>
      <c r="I683" s="22" t="s">
        <v>1169</v>
      </c>
      <c r="J683" s="22"/>
      <c r="K683" s="34"/>
    </row>
    <row r="684" spans="1:11" x14ac:dyDescent="0.3">
      <c r="A684" s="22" t="s">
        <v>174</v>
      </c>
      <c r="B684" s="22" t="s">
        <v>1151</v>
      </c>
      <c r="C684" s="22" t="s">
        <v>176</v>
      </c>
      <c r="D684" s="23"/>
      <c r="E684" s="22" t="s">
        <v>1170</v>
      </c>
      <c r="F684" s="22"/>
      <c r="G684" s="22">
        <v>25</v>
      </c>
      <c r="H684" s="64"/>
      <c r="I684" s="22" t="s">
        <v>1167</v>
      </c>
      <c r="J684" s="22"/>
      <c r="K684" s="34"/>
    </row>
    <row r="685" spans="1:11" x14ac:dyDescent="0.3">
      <c r="A685" s="22" t="s">
        <v>174</v>
      </c>
      <c r="B685" s="22" t="s">
        <v>1151</v>
      </c>
      <c r="C685" s="22" t="s">
        <v>176</v>
      </c>
      <c r="D685" s="23"/>
      <c r="E685" s="22" t="s">
        <v>1171</v>
      </c>
      <c r="F685" s="22"/>
      <c r="G685" s="22">
        <v>25</v>
      </c>
      <c r="H685" s="64"/>
      <c r="I685" s="22" t="s">
        <v>1172</v>
      </c>
      <c r="J685" s="22"/>
      <c r="K685" s="34"/>
    </row>
    <row r="686" spans="1:11" x14ac:dyDescent="0.3">
      <c r="A686" s="22" t="s">
        <v>174</v>
      </c>
      <c r="B686" s="22" t="s">
        <v>1151</v>
      </c>
      <c r="C686" s="22" t="s">
        <v>176</v>
      </c>
      <c r="D686" s="23"/>
      <c r="E686" s="22" t="s">
        <v>1173</v>
      </c>
      <c r="F686" s="22"/>
      <c r="G686" s="22"/>
      <c r="H686" s="64" t="s">
        <v>1174</v>
      </c>
      <c r="I686" s="22" t="s">
        <v>1175</v>
      </c>
      <c r="J686" s="22"/>
      <c r="K686" s="34"/>
    </row>
    <row r="687" spans="1:11" x14ac:dyDescent="0.3">
      <c r="A687" s="22" t="s">
        <v>174</v>
      </c>
      <c r="B687" s="22" t="s">
        <v>1151</v>
      </c>
      <c r="C687" s="22" t="s">
        <v>176</v>
      </c>
      <c r="D687" s="23"/>
      <c r="E687" s="22" t="s">
        <v>1176</v>
      </c>
      <c r="F687" s="22"/>
      <c r="G687" s="22"/>
      <c r="H687" s="64" t="s">
        <v>1174</v>
      </c>
      <c r="I687" s="22" t="s">
        <v>1128</v>
      </c>
      <c r="J687" s="22"/>
      <c r="K687" s="34"/>
    </row>
    <row r="688" spans="1:11" x14ac:dyDescent="0.3">
      <c r="A688" s="22" t="s">
        <v>174</v>
      </c>
      <c r="B688" s="22" t="s">
        <v>1151</v>
      </c>
      <c r="C688" s="22" t="s">
        <v>176</v>
      </c>
      <c r="D688" s="68"/>
      <c r="E688" s="22" t="s">
        <v>1177</v>
      </c>
      <c r="F688" s="23"/>
      <c r="G688" s="22">
        <v>30</v>
      </c>
      <c r="H688" s="64"/>
      <c r="I688" s="22" t="s">
        <v>1178</v>
      </c>
      <c r="J688" s="22"/>
      <c r="K688" s="34"/>
    </row>
    <row r="689" spans="1:11" x14ac:dyDescent="0.3">
      <c r="A689" s="22" t="s">
        <v>174</v>
      </c>
      <c r="B689" s="22" t="s">
        <v>1151</v>
      </c>
      <c r="C689" s="22" t="s">
        <v>176</v>
      </c>
      <c r="D689" s="23"/>
      <c r="E689" s="22" t="s">
        <v>1242</v>
      </c>
      <c r="F689" s="29"/>
      <c r="G689" s="22"/>
      <c r="H689" s="64"/>
      <c r="I689" s="22" t="s">
        <v>1243</v>
      </c>
      <c r="J689" s="22" t="s">
        <v>1017</v>
      </c>
      <c r="K689" s="34"/>
    </row>
    <row r="690" spans="1:11" x14ac:dyDescent="0.3">
      <c r="A690" s="22" t="s">
        <v>174</v>
      </c>
      <c r="B690" s="22" t="s">
        <v>1151</v>
      </c>
      <c r="C690" s="22" t="s">
        <v>176</v>
      </c>
      <c r="D690" s="23"/>
      <c r="E690" s="22" t="s">
        <v>1244</v>
      </c>
      <c r="F690" s="29"/>
      <c r="G690" s="22"/>
      <c r="H690" s="64"/>
      <c r="I690" s="22" t="s">
        <v>1245</v>
      </c>
      <c r="J690" s="22" t="s">
        <v>1020</v>
      </c>
      <c r="K690" s="34"/>
    </row>
    <row r="691" spans="1:11" x14ac:dyDescent="0.3">
      <c r="A691" s="22" t="s">
        <v>174</v>
      </c>
      <c r="B691" s="22" t="s">
        <v>1151</v>
      </c>
      <c r="C691" s="22" t="s">
        <v>176</v>
      </c>
      <c r="D691" s="23"/>
      <c r="E691" s="22" t="s">
        <v>1246</v>
      </c>
      <c r="F691" s="29"/>
      <c r="G691" s="22"/>
      <c r="H691" s="64"/>
      <c r="I691" s="22" t="s">
        <v>1247</v>
      </c>
      <c r="J691" s="22" t="s">
        <v>1023</v>
      </c>
      <c r="K691" s="34"/>
    </row>
    <row r="692" spans="1:11" x14ac:dyDescent="0.3">
      <c r="A692" s="22" t="s">
        <v>174</v>
      </c>
      <c r="B692" s="22" t="s">
        <v>1151</v>
      </c>
      <c r="C692" s="22" t="s">
        <v>176</v>
      </c>
      <c r="D692" s="23"/>
      <c r="E692" s="22" t="s">
        <v>1248</v>
      </c>
      <c r="F692" s="29"/>
      <c r="G692" s="22"/>
      <c r="H692" s="64"/>
      <c r="I692" s="22" t="s">
        <v>1249</v>
      </c>
      <c r="J692" s="22" t="s">
        <v>1026</v>
      </c>
      <c r="K692" s="34"/>
    </row>
    <row r="693" spans="1:11" x14ac:dyDescent="0.3">
      <c r="A693" s="22" t="s">
        <v>174</v>
      </c>
      <c r="B693" s="22" t="s">
        <v>1151</v>
      </c>
      <c r="C693" s="22" t="s">
        <v>176</v>
      </c>
      <c r="D693" s="23"/>
      <c r="E693" s="22" t="s">
        <v>1262</v>
      </c>
      <c r="F693" s="22"/>
      <c r="G693" s="22"/>
      <c r="H693" s="64"/>
      <c r="I693" s="22" t="s">
        <v>1263</v>
      </c>
      <c r="J693" s="22" t="s">
        <v>869</v>
      </c>
      <c r="K693" s="34"/>
    </row>
    <row r="694" spans="1:11" x14ac:dyDescent="0.3">
      <c r="A694" s="22" t="s">
        <v>174</v>
      </c>
      <c r="B694" s="22" t="s">
        <v>1151</v>
      </c>
      <c r="C694" s="22" t="s">
        <v>176</v>
      </c>
      <c r="D694" s="23"/>
      <c r="E694" s="22" t="s">
        <v>1264</v>
      </c>
      <c r="F694" s="22"/>
      <c r="G694" s="22"/>
      <c r="H694" s="64"/>
      <c r="I694" s="22" t="s">
        <v>1265</v>
      </c>
      <c r="J694" s="22" t="s">
        <v>872</v>
      </c>
      <c r="K694" s="34"/>
    </row>
    <row r="695" spans="1:11" x14ac:dyDescent="0.3">
      <c r="A695" s="22" t="s">
        <v>174</v>
      </c>
      <c r="B695" s="22" t="s">
        <v>1151</v>
      </c>
      <c r="C695" s="22" t="s">
        <v>176</v>
      </c>
      <c r="D695" s="23"/>
      <c r="E695" s="22" t="s">
        <v>1266</v>
      </c>
      <c r="F695" s="22"/>
      <c r="G695" s="22"/>
      <c r="H695" s="64"/>
      <c r="I695" s="22" t="s">
        <v>1267</v>
      </c>
      <c r="J695" s="22" t="s">
        <v>875</v>
      </c>
      <c r="K695" s="34"/>
    </row>
    <row r="696" spans="1:11" x14ac:dyDescent="0.3">
      <c r="A696" s="22" t="s">
        <v>174</v>
      </c>
      <c r="B696" s="22" t="s">
        <v>1151</v>
      </c>
      <c r="C696" s="22" t="s">
        <v>176</v>
      </c>
      <c r="D696" s="23"/>
      <c r="E696" s="22" t="s">
        <v>1268</v>
      </c>
      <c r="F696" s="22"/>
      <c r="G696" s="22"/>
      <c r="H696" s="64"/>
      <c r="I696" s="22" t="s">
        <v>1269</v>
      </c>
      <c r="J696" s="22" t="s">
        <v>878</v>
      </c>
      <c r="K696" s="34"/>
    </row>
    <row r="697" spans="1:11" x14ac:dyDescent="0.3">
      <c r="A697" s="22" t="s">
        <v>174</v>
      </c>
      <c r="B697" s="22" t="s">
        <v>1151</v>
      </c>
      <c r="C697" s="22" t="s">
        <v>176</v>
      </c>
      <c r="D697" s="23"/>
      <c r="E697" s="22" t="s">
        <v>1270</v>
      </c>
      <c r="F697" s="22"/>
      <c r="G697" s="22"/>
      <c r="H697" s="64"/>
      <c r="I697" s="22" t="s">
        <v>1271</v>
      </c>
      <c r="J697" s="22" t="s">
        <v>328</v>
      </c>
      <c r="K697" s="34"/>
    </row>
    <row r="698" spans="1:11" x14ac:dyDescent="0.3">
      <c r="A698" s="22" t="s">
        <v>174</v>
      </c>
      <c r="B698" s="22" t="s">
        <v>1151</v>
      </c>
      <c r="C698" s="22" t="s">
        <v>176</v>
      </c>
      <c r="D698" s="23"/>
      <c r="E698" s="22" t="s">
        <v>1272</v>
      </c>
      <c r="F698" s="22"/>
      <c r="G698" s="22"/>
      <c r="H698" s="64"/>
      <c r="I698" s="22" t="s">
        <v>1273</v>
      </c>
      <c r="J698" s="22" t="s">
        <v>331</v>
      </c>
      <c r="K698" s="34"/>
    </row>
    <row r="699" spans="1:11" x14ac:dyDescent="0.3">
      <c r="A699" s="22" t="s">
        <v>174</v>
      </c>
      <c r="B699" s="22" t="s">
        <v>1151</v>
      </c>
      <c r="C699" s="22" t="s">
        <v>176</v>
      </c>
      <c r="D699" s="23"/>
      <c r="E699" s="22" t="s">
        <v>1304</v>
      </c>
      <c r="F699" s="22"/>
      <c r="G699" s="22"/>
      <c r="H699" s="64"/>
      <c r="I699" s="22" t="s">
        <v>1305</v>
      </c>
      <c r="J699" s="22"/>
      <c r="K699" s="34"/>
    </row>
    <row r="700" spans="1:11" x14ac:dyDescent="0.3">
      <c r="A700" s="22" t="s">
        <v>174</v>
      </c>
      <c r="B700" s="22" t="s">
        <v>1151</v>
      </c>
      <c r="C700" s="22" t="s">
        <v>176</v>
      </c>
      <c r="D700" s="23"/>
      <c r="E700" s="22" t="s">
        <v>1306</v>
      </c>
      <c r="F700" s="29"/>
      <c r="G700" s="22"/>
      <c r="H700" s="64"/>
      <c r="I700" s="22" t="s">
        <v>1307</v>
      </c>
      <c r="J700" s="22"/>
      <c r="K700" s="34"/>
    </row>
    <row r="701" spans="1:11" x14ac:dyDescent="0.3">
      <c r="A701" s="22" t="s">
        <v>174</v>
      </c>
      <c r="B701" s="22" t="s">
        <v>1151</v>
      </c>
      <c r="C701" s="22" t="s">
        <v>176</v>
      </c>
      <c r="D701" s="23"/>
      <c r="E701" s="22" t="s">
        <v>1308</v>
      </c>
      <c r="F701" s="29"/>
      <c r="G701" s="22"/>
      <c r="H701" s="64"/>
      <c r="I701" s="22" t="s">
        <v>1309</v>
      </c>
      <c r="J701" s="22"/>
      <c r="K701" s="34"/>
    </row>
    <row r="702" spans="1:11" x14ac:dyDescent="0.3">
      <c r="A702" s="22" t="s">
        <v>174</v>
      </c>
      <c r="B702" s="22" t="s">
        <v>1151</v>
      </c>
      <c r="C702" s="22" t="s">
        <v>176</v>
      </c>
      <c r="D702" s="23"/>
      <c r="E702" s="22" t="s">
        <v>1310</v>
      </c>
      <c r="F702" s="29"/>
      <c r="G702" s="22"/>
      <c r="H702" s="64"/>
      <c r="I702" s="22" t="s">
        <v>1311</v>
      </c>
      <c r="J702" s="22" t="s">
        <v>212</v>
      </c>
      <c r="K702" s="34"/>
    </row>
    <row r="703" spans="1:11" x14ac:dyDescent="0.3">
      <c r="A703" s="22" t="s">
        <v>174</v>
      </c>
      <c r="B703" s="22" t="s">
        <v>1151</v>
      </c>
      <c r="C703" s="22" t="s">
        <v>176</v>
      </c>
      <c r="D703" s="23"/>
      <c r="E703" s="22" t="s">
        <v>1312</v>
      </c>
      <c r="F703" s="22"/>
      <c r="G703" s="22"/>
      <c r="H703" s="64"/>
      <c r="I703" s="22" t="s">
        <v>1313</v>
      </c>
      <c r="J703" s="22"/>
      <c r="K703" s="34"/>
    </row>
    <row r="704" spans="1:11" x14ac:dyDescent="0.3">
      <c r="A704" s="22" t="s">
        <v>174</v>
      </c>
      <c r="B704" s="22" t="s">
        <v>1151</v>
      </c>
      <c r="C704" s="22" t="s">
        <v>176</v>
      </c>
      <c r="D704" s="23"/>
      <c r="E704" s="22" t="s">
        <v>1314</v>
      </c>
      <c r="F704" s="22"/>
      <c r="G704" s="22"/>
      <c r="H704" s="64"/>
      <c r="I704" s="22" t="s">
        <v>1315</v>
      </c>
      <c r="J704" s="22"/>
      <c r="K704" s="34"/>
    </row>
    <row r="705" spans="1:11" x14ac:dyDescent="0.3">
      <c r="A705" s="22" t="s">
        <v>174</v>
      </c>
      <c r="B705" s="22" t="s">
        <v>1151</v>
      </c>
      <c r="C705" s="22" t="s">
        <v>176</v>
      </c>
      <c r="D705" s="68"/>
      <c r="E705" s="22" t="s">
        <v>1316</v>
      </c>
      <c r="F705" s="23"/>
      <c r="G705" s="22">
        <v>30</v>
      </c>
      <c r="H705" s="64"/>
      <c r="I705" s="22" t="s">
        <v>1178</v>
      </c>
      <c r="J705" s="22"/>
      <c r="K705" s="34"/>
    </row>
    <row r="706" spans="1:11" x14ac:dyDescent="0.3">
      <c r="A706" s="22" t="s">
        <v>174</v>
      </c>
      <c r="B706" s="22" t="s">
        <v>1151</v>
      </c>
      <c r="C706" s="22" t="s">
        <v>176</v>
      </c>
      <c r="D706" s="68"/>
      <c r="E706" s="22" t="s">
        <v>1317</v>
      </c>
      <c r="F706" s="23"/>
      <c r="G706" s="22">
        <v>30</v>
      </c>
      <c r="H706" s="64"/>
      <c r="I706" s="22" t="s">
        <v>1178</v>
      </c>
      <c r="J706" s="22"/>
      <c r="K706" s="34"/>
    </row>
    <row r="707" spans="1:11" x14ac:dyDescent="0.3">
      <c r="A707" s="22" t="s">
        <v>174</v>
      </c>
      <c r="B707" s="22" t="s">
        <v>1151</v>
      </c>
      <c r="C707" s="22" t="s">
        <v>87</v>
      </c>
      <c r="D707" s="23"/>
      <c r="E707" s="22" t="s">
        <v>1318</v>
      </c>
      <c r="F707" s="22"/>
      <c r="G707" s="23"/>
      <c r="H707" s="64"/>
      <c r="I707" s="22" t="s">
        <v>1319</v>
      </c>
      <c r="J707" s="22" t="s">
        <v>1094</v>
      </c>
      <c r="K707" s="34"/>
    </row>
    <row r="708" spans="1:11" x14ac:dyDescent="0.3">
      <c r="A708" s="22" t="s">
        <v>174</v>
      </c>
      <c r="B708" s="22" t="s">
        <v>1151</v>
      </c>
      <c r="C708" s="22" t="s">
        <v>93</v>
      </c>
      <c r="D708" s="23"/>
      <c r="E708" s="22" t="s">
        <v>1320</v>
      </c>
      <c r="F708" s="22"/>
      <c r="G708" s="23"/>
      <c r="H708" s="64"/>
      <c r="I708" s="22" t="s">
        <v>1321</v>
      </c>
      <c r="J708" s="22" t="s">
        <v>1097</v>
      </c>
      <c r="K708" s="34"/>
    </row>
    <row r="709" spans="1:11" x14ac:dyDescent="0.3">
      <c r="A709" s="22" t="s">
        <v>174</v>
      </c>
      <c r="B709" s="22" t="s">
        <v>1151</v>
      </c>
      <c r="C709" s="64" t="s">
        <v>90</v>
      </c>
      <c r="D709" s="23"/>
      <c r="E709" s="22" t="s">
        <v>1322</v>
      </c>
      <c r="F709" s="22"/>
      <c r="G709" s="23"/>
      <c r="H709" s="64"/>
      <c r="I709" s="22" t="s">
        <v>1323</v>
      </c>
      <c r="J709" s="22" t="s">
        <v>1100</v>
      </c>
      <c r="K709" s="34"/>
    </row>
    <row r="710" spans="1:11" x14ac:dyDescent="0.3">
      <c r="A710" s="22" t="s">
        <v>174</v>
      </c>
      <c r="B710" s="22" t="s">
        <v>1151</v>
      </c>
      <c r="C710" s="22" t="s">
        <v>87</v>
      </c>
      <c r="D710" s="23"/>
      <c r="E710" s="22" t="s">
        <v>1324</v>
      </c>
      <c r="F710" s="22"/>
      <c r="G710" s="23"/>
      <c r="H710" s="64"/>
      <c r="I710" s="22" t="s">
        <v>1319</v>
      </c>
      <c r="J710" s="22" t="s">
        <v>1102</v>
      </c>
      <c r="K710" s="34"/>
    </row>
    <row r="711" spans="1:11" x14ac:dyDescent="0.3">
      <c r="A711" s="22" t="s">
        <v>174</v>
      </c>
      <c r="B711" s="22" t="s">
        <v>1151</v>
      </c>
      <c r="C711" s="22" t="s">
        <v>93</v>
      </c>
      <c r="D711" s="23"/>
      <c r="E711" s="22" t="s">
        <v>1325</v>
      </c>
      <c r="F711" s="22"/>
      <c r="G711" s="23"/>
      <c r="H711" s="64"/>
      <c r="I711" s="22" t="s">
        <v>1321</v>
      </c>
      <c r="J711" s="22" t="s">
        <v>1104</v>
      </c>
      <c r="K711" s="34"/>
    </row>
    <row r="712" spans="1:11" x14ac:dyDescent="0.3">
      <c r="A712" s="22" t="s">
        <v>174</v>
      </c>
      <c r="B712" s="22" t="s">
        <v>1151</v>
      </c>
      <c r="C712" s="64" t="s">
        <v>90</v>
      </c>
      <c r="D712" s="23"/>
      <c r="E712" s="22" t="s">
        <v>1326</v>
      </c>
      <c r="F712" s="22"/>
      <c r="G712" s="23"/>
      <c r="H712" s="64"/>
      <c r="I712" s="22" t="s">
        <v>1323</v>
      </c>
      <c r="J712" s="22" t="s">
        <v>1106</v>
      </c>
      <c r="K712" s="34"/>
    </row>
    <row r="713" spans="1:11" x14ac:dyDescent="0.3">
      <c r="A713" s="22" t="s">
        <v>174</v>
      </c>
      <c r="B713" s="22" t="s">
        <v>1151</v>
      </c>
      <c r="C713" s="22" t="s">
        <v>87</v>
      </c>
      <c r="D713" s="23"/>
      <c r="E713" s="22" t="s">
        <v>1327</v>
      </c>
      <c r="F713" s="22"/>
      <c r="G713" s="23"/>
      <c r="H713" s="64"/>
      <c r="I713" s="22" t="s">
        <v>1319</v>
      </c>
      <c r="J713" s="22" t="s">
        <v>1108</v>
      </c>
      <c r="K713" s="34"/>
    </row>
    <row r="714" spans="1:11" x14ac:dyDescent="0.3">
      <c r="A714" s="22" t="s">
        <v>174</v>
      </c>
      <c r="B714" s="22" t="s">
        <v>1151</v>
      </c>
      <c r="C714" s="22" t="s">
        <v>93</v>
      </c>
      <c r="D714" s="23"/>
      <c r="E714" s="22" t="s">
        <v>1328</v>
      </c>
      <c r="F714" s="22"/>
      <c r="G714" s="23"/>
      <c r="H714" s="64"/>
      <c r="I714" s="22" t="s">
        <v>1321</v>
      </c>
      <c r="J714" s="22" t="s">
        <v>1110</v>
      </c>
      <c r="K714" s="34"/>
    </row>
    <row r="715" spans="1:11" x14ac:dyDescent="0.3">
      <c r="A715" s="22" t="s">
        <v>174</v>
      </c>
      <c r="B715" s="22" t="s">
        <v>1151</v>
      </c>
      <c r="C715" s="64" t="s">
        <v>90</v>
      </c>
      <c r="D715" s="23"/>
      <c r="E715" s="22" t="s">
        <v>1329</v>
      </c>
      <c r="F715" s="22"/>
      <c r="G715" s="23"/>
      <c r="H715" s="64"/>
      <c r="I715" s="22" t="s">
        <v>1323</v>
      </c>
      <c r="J715" s="22" t="s">
        <v>1112</v>
      </c>
      <c r="K715" s="34"/>
    </row>
    <row r="716" spans="1:11" x14ac:dyDescent="0.3">
      <c r="A716" s="22" t="s">
        <v>174</v>
      </c>
      <c r="B716" s="22" t="s">
        <v>1151</v>
      </c>
      <c r="C716" s="22" t="s">
        <v>176</v>
      </c>
      <c r="D716" s="23"/>
      <c r="E716" s="22" t="s">
        <v>1330</v>
      </c>
      <c r="F716" s="22"/>
      <c r="G716" s="22">
        <v>15</v>
      </c>
      <c r="H716" s="64"/>
      <c r="I716" s="22" t="s">
        <v>1331</v>
      </c>
      <c r="J716" s="22"/>
      <c r="K716" s="77"/>
    </row>
    <row r="717" spans="1:11" x14ac:dyDescent="0.3">
      <c r="A717" s="26" t="s">
        <v>174</v>
      </c>
      <c r="B717" s="26" t="s">
        <v>1332</v>
      </c>
      <c r="C717" s="26" t="s">
        <v>176</v>
      </c>
      <c r="D717" s="26"/>
      <c r="E717" s="26" t="s">
        <v>1333</v>
      </c>
      <c r="F717" s="26"/>
      <c r="G717" s="26">
        <v>5</v>
      </c>
      <c r="H717" s="64"/>
      <c r="I717" s="26" t="s">
        <v>1118</v>
      </c>
      <c r="J717" s="26"/>
      <c r="K717" s="77"/>
    </row>
    <row r="718" spans="1:11" x14ac:dyDescent="0.3">
      <c r="A718" s="26" t="s">
        <v>174</v>
      </c>
      <c r="B718" s="26" t="s">
        <v>1332</v>
      </c>
      <c r="C718" s="26" t="s">
        <v>176</v>
      </c>
      <c r="D718" s="26"/>
      <c r="E718" s="26" t="s">
        <v>1334</v>
      </c>
      <c r="F718" s="26"/>
      <c r="G718" s="26">
        <v>10</v>
      </c>
      <c r="H718" s="64"/>
      <c r="I718" s="26" t="s">
        <v>1335</v>
      </c>
      <c r="J718" s="26"/>
      <c r="K718" s="77"/>
    </row>
    <row r="719" spans="1:11" x14ac:dyDescent="0.3">
      <c r="A719" s="26" t="s">
        <v>174</v>
      </c>
      <c r="B719" s="26" t="s">
        <v>1332</v>
      </c>
      <c r="C719" s="26" t="s">
        <v>176</v>
      </c>
      <c r="D719" s="26"/>
      <c r="E719" s="26" t="s">
        <v>1336</v>
      </c>
      <c r="F719" s="26"/>
      <c r="G719" s="26">
        <v>15</v>
      </c>
      <c r="H719" s="64"/>
      <c r="I719" s="26" t="s">
        <v>1337</v>
      </c>
      <c r="J719" s="26"/>
      <c r="K719" s="77"/>
    </row>
    <row r="720" spans="1:11" x14ac:dyDescent="0.3">
      <c r="A720" s="26" t="s">
        <v>174</v>
      </c>
      <c r="B720" s="26" t="s">
        <v>1332</v>
      </c>
      <c r="C720" s="26" t="s">
        <v>176</v>
      </c>
      <c r="D720" s="26"/>
      <c r="E720" s="26" t="s">
        <v>1338</v>
      </c>
      <c r="F720" s="26"/>
      <c r="G720" s="26">
        <v>25</v>
      </c>
      <c r="H720" s="64"/>
      <c r="I720" s="26" t="s">
        <v>1339</v>
      </c>
      <c r="J720" s="26"/>
      <c r="K720" s="34"/>
    </row>
    <row r="721" spans="1:11" x14ac:dyDescent="0.3">
      <c r="A721" s="22" t="s">
        <v>174</v>
      </c>
      <c r="B721" s="22" t="s">
        <v>1332</v>
      </c>
      <c r="C721" s="22" t="s">
        <v>176</v>
      </c>
      <c r="D721" s="23"/>
      <c r="E721" s="22" t="s">
        <v>1340</v>
      </c>
      <c r="F721" s="22"/>
      <c r="G721" s="22">
        <v>5</v>
      </c>
      <c r="H721" s="64"/>
      <c r="I721" s="22" t="s">
        <v>1126</v>
      </c>
      <c r="J721" s="22"/>
      <c r="K721" s="34"/>
    </row>
    <row r="722" spans="1:11" x14ac:dyDescent="0.3">
      <c r="A722" s="22" t="s">
        <v>174</v>
      </c>
      <c r="B722" s="22" t="s">
        <v>1332</v>
      </c>
      <c r="C722" s="22" t="s">
        <v>176</v>
      </c>
      <c r="D722" s="23"/>
      <c r="E722" s="22" t="s">
        <v>1341</v>
      </c>
      <c r="F722" s="22"/>
      <c r="G722" s="22">
        <v>5</v>
      </c>
      <c r="H722" s="64"/>
      <c r="I722" s="22" t="s">
        <v>1342</v>
      </c>
      <c r="J722" s="22"/>
      <c r="K722" s="34"/>
    </row>
    <row r="723" spans="1:11" x14ac:dyDescent="0.3">
      <c r="A723" s="22" t="s">
        <v>174</v>
      </c>
      <c r="B723" s="22" t="s">
        <v>1332</v>
      </c>
      <c r="C723" s="22" t="s">
        <v>176</v>
      </c>
      <c r="D723" s="23"/>
      <c r="E723" s="22" t="s">
        <v>1343</v>
      </c>
      <c r="F723" s="22"/>
      <c r="G723" s="22">
        <v>5</v>
      </c>
      <c r="H723" s="64"/>
      <c r="I723" s="22" t="s">
        <v>1344</v>
      </c>
      <c r="J723" s="22"/>
      <c r="K723" s="34"/>
    </row>
    <row r="724" spans="1:11" x14ac:dyDescent="0.3">
      <c r="A724" s="22" t="s">
        <v>174</v>
      </c>
      <c r="B724" s="22" t="s">
        <v>1332</v>
      </c>
      <c r="C724" s="22" t="s">
        <v>176</v>
      </c>
      <c r="D724" s="23"/>
      <c r="E724" s="22" t="s">
        <v>1345</v>
      </c>
      <c r="F724" s="22"/>
      <c r="G724" s="22">
        <v>10</v>
      </c>
      <c r="H724" s="64"/>
      <c r="I724" s="22" t="s">
        <v>757</v>
      </c>
      <c r="J724" s="22"/>
      <c r="K724" s="34"/>
    </row>
    <row r="725" spans="1:11" x14ac:dyDescent="0.3">
      <c r="A725" s="22" t="s">
        <v>174</v>
      </c>
      <c r="B725" s="22" t="s">
        <v>1332</v>
      </c>
      <c r="C725" s="22" t="s">
        <v>176</v>
      </c>
      <c r="D725" s="23"/>
      <c r="E725" s="22" t="s">
        <v>1346</v>
      </c>
      <c r="F725" s="22"/>
      <c r="G725" s="22">
        <v>10</v>
      </c>
      <c r="H725" s="64"/>
      <c r="I725" s="22" t="s">
        <v>1347</v>
      </c>
      <c r="J725" s="22"/>
      <c r="K725" s="34"/>
    </row>
    <row r="726" spans="1:11" x14ac:dyDescent="0.3">
      <c r="A726" s="22" t="s">
        <v>174</v>
      </c>
      <c r="B726" s="22" t="s">
        <v>1332</v>
      </c>
      <c r="C726" s="22" t="s">
        <v>176</v>
      </c>
      <c r="D726" s="23"/>
      <c r="E726" s="22" t="s">
        <v>1348</v>
      </c>
      <c r="F726" s="22"/>
      <c r="G726" s="22">
        <v>10</v>
      </c>
      <c r="H726" s="64"/>
      <c r="I726" s="22" t="s">
        <v>1349</v>
      </c>
      <c r="J726" s="22"/>
      <c r="K726" s="34"/>
    </row>
    <row r="727" spans="1:11" x14ac:dyDescent="0.3">
      <c r="A727" s="22" t="s">
        <v>174</v>
      </c>
      <c r="B727" s="22" t="s">
        <v>1332</v>
      </c>
      <c r="C727" s="22" t="s">
        <v>176</v>
      </c>
      <c r="D727" s="23"/>
      <c r="E727" s="22" t="s">
        <v>1350</v>
      </c>
      <c r="F727" s="22"/>
      <c r="G727" s="22">
        <v>15</v>
      </c>
      <c r="H727" s="64"/>
      <c r="I727" s="22" t="s">
        <v>1163</v>
      </c>
      <c r="J727" s="22"/>
      <c r="K727" s="34"/>
    </row>
    <row r="728" spans="1:11" x14ac:dyDescent="0.3">
      <c r="A728" s="22" t="s">
        <v>174</v>
      </c>
      <c r="B728" s="22" t="s">
        <v>1332</v>
      </c>
      <c r="C728" s="22" t="s">
        <v>176</v>
      </c>
      <c r="D728" s="23"/>
      <c r="E728" s="22" t="s">
        <v>1351</v>
      </c>
      <c r="F728" s="22"/>
      <c r="G728" s="22">
        <v>15</v>
      </c>
      <c r="H728" s="64"/>
      <c r="I728" s="22" t="s">
        <v>1352</v>
      </c>
      <c r="J728" s="22"/>
      <c r="K728" s="34"/>
    </row>
    <row r="729" spans="1:11" x14ac:dyDescent="0.3">
      <c r="A729" s="22" t="s">
        <v>174</v>
      </c>
      <c r="B729" s="22" t="s">
        <v>1332</v>
      </c>
      <c r="C729" s="22" t="s">
        <v>176</v>
      </c>
      <c r="D729" s="23"/>
      <c r="E729" s="22" t="s">
        <v>1353</v>
      </c>
      <c r="F729" s="22"/>
      <c r="G729" s="22">
        <v>15</v>
      </c>
      <c r="H729" s="64"/>
      <c r="I729" s="22" t="s">
        <v>1354</v>
      </c>
      <c r="J729" s="22"/>
      <c r="K729" s="34"/>
    </row>
    <row r="730" spans="1:11" x14ac:dyDescent="0.3">
      <c r="A730" s="22" t="s">
        <v>174</v>
      </c>
      <c r="B730" s="22" t="s">
        <v>1332</v>
      </c>
      <c r="C730" s="22" t="s">
        <v>176</v>
      </c>
      <c r="D730" s="23"/>
      <c r="E730" s="22" t="s">
        <v>1355</v>
      </c>
      <c r="F730" s="22"/>
      <c r="G730" s="22">
        <v>20</v>
      </c>
      <c r="H730" s="64"/>
      <c r="I730" s="22" t="s">
        <v>1155</v>
      </c>
      <c r="J730" s="22"/>
      <c r="K730" s="34"/>
    </row>
    <row r="731" spans="1:11" x14ac:dyDescent="0.3">
      <c r="A731" s="22" t="s">
        <v>174</v>
      </c>
      <c r="B731" s="22" t="s">
        <v>1332</v>
      </c>
      <c r="C731" s="22" t="s">
        <v>176</v>
      </c>
      <c r="D731" s="23"/>
      <c r="E731" s="22" t="s">
        <v>1356</v>
      </c>
      <c r="F731" s="22"/>
      <c r="G731" s="22">
        <v>20</v>
      </c>
      <c r="H731" s="64"/>
      <c r="I731" s="22" t="s">
        <v>1357</v>
      </c>
      <c r="J731" s="22"/>
      <c r="K731" s="34"/>
    </row>
    <row r="732" spans="1:11" x14ac:dyDescent="0.3">
      <c r="A732" s="22" t="s">
        <v>174</v>
      </c>
      <c r="B732" s="22" t="s">
        <v>1332</v>
      </c>
      <c r="C732" s="22" t="s">
        <v>176</v>
      </c>
      <c r="D732" s="23"/>
      <c r="E732" s="22" t="s">
        <v>1358</v>
      </c>
      <c r="F732" s="22"/>
      <c r="G732" s="22">
        <v>20</v>
      </c>
      <c r="H732" s="64"/>
      <c r="I732" s="22" t="s">
        <v>1359</v>
      </c>
      <c r="J732" s="22"/>
      <c r="K732" s="34"/>
    </row>
    <row r="733" spans="1:11" x14ac:dyDescent="0.3">
      <c r="A733" s="22" t="s">
        <v>174</v>
      </c>
      <c r="B733" s="22" t="s">
        <v>1332</v>
      </c>
      <c r="C733" s="22" t="s">
        <v>176</v>
      </c>
      <c r="D733" s="23"/>
      <c r="E733" s="22" t="s">
        <v>1360</v>
      </c>
      <c r="F733" s="22"/>
      <c r="G733" s="22">
        <v>25</v>
      </c>
      <c r="H733" s="64"/>
      <c r="I733" s="22" t="s">
        <v>1361</v>
      </c>
      <c r="J733" s="22"/>
      <c r="K733" s="34"/>
    </row>
    <row r="734" spans="1:11" x14ac:dyDescent="0.3">
      <c r="A734" s="22" t="s">
        <v>174</v>
      </c>
      <c r="B734" s="22" t="s">
        <v>1332</v>
      </c>
      <c r="C734" s="22" t="s">
        <v>176</v>
      </c>
      <c r="D734" s="23"/>
      <c r="E734" s="22" t="s">
        <v>1362</v>
      </c>
      <c r="F734" s="22"/>
      <c r="G734" s="22">
        <v>25</v>
      </c>
      <c r="H734" s="64"/>
      <c r="I734" s="22" t="s">
        <v>1157</v>
      </c>
      <c r="J734" s="22"/>
      <c r="K734" s="34"/>
    </row>
    <row r="735" spans="1:11" x14ac:dyDescent="0.3">
      <c r="A735" s="22" t="s">
        <v>174</v>
      </c>
      <c r="B735" s="22" t="s">
        <v>1332</v>
      </c>
      <c r="C735" s="22" t="s">
        <v>176</v>
      </c>
      <c r="D735" s="23"/>
      <c r="E735" s="22" t="s">
        <v>1363</v>
      </c>
      <c r="F735" s="22"/>
      <c r="G735" s="22">
        <v>25</v>
      </c>
      <c r="H735" s="64"/>
      <c r="I735" s="22" t="s">
        <v>1364</v>
      </c>
      <c r="J735" s="22"/>
      <c r="K735" s="34"/>
    </row>
    <row r="736" spans="1:11" x14ac:dyDescent="0.3">
      <c r="A736" s="22" t="s">
        <v>174</v>
      </c>
      <c r="B736" s="22" t="s">
        <v>1332</v>
      </c>
      <c r="C736" s="22" t="s">
        <v>176</v>
      </c>
      <c r="D736" s="23"/>
      <c r="E736" s="22" t="s">
        <v>1365</v>
      </c>
      <c r="F736" s="22"/>
      <c r="G736" s="22">
        <v>25</v>
      </c>
      <c r="H736" s="64"/>
      <c r="I736" s="22" t="s">
        <v>1366</v>
      </c>
      <c r="J736" s="22"/>
      <c r="K736" s="34"/>
    </row>
    <row r="737" spans="1:11" x14ac:dyDescent="0.3">
      <c r="A737" s="22" t="s">
        <v>174</v>
      </c>
      <c r="B737" s="22" t="s">
        <v>1332</v>
      </c>
      <c r="C737" s="22" t="s">
        <v>176</v>
      </c>
      <c r="D737" s="68"/>
      <c r="E737" s="22" t="s">
        <v>1367</v>
      </c>
      <c r="F737" s="23"/>
      <c r="G737" s="22">
        <v>30</v>
      </c>
      <c r="H737" s="64"/>
      <c r="I737" s="22" t="s">
        <v>1368</v>
      </c>
      <c r="J737" s="22"/>
      <c r="K737" s="34"/>
    </row>
    <row r="738" spans="1:11" x14ac:dyDescent="0.3">
      <c r="A738" s="22" t="s">
        <v>174</v>
      </c>
      <c r="B738" s="22" t="s">
        <v>1332</v>
      </c>
      <c r="C738" s="22" t="s">
        <v>176</v>
      </c>
      <c r="D738" s="23"/>
      <c r="E738" s="22" t="s">
        <v>1435</v>
      </c>
      <c r="F738" s="29"/>
      <c r="G738" s="22"/>
      <c r="H738" s="64"/>
      <c r="I738" s="22" t="s">
        <v>1436</v>
      </c>
      <c r="J738" s="22" t="s">
        <v>1017</v>
      </c>
      <c r="K738" s="34"/>
    </row>
    <row r="739" spans="1:11" x14ac:dyDescent="0.3">
      <c r="A739" s="22" t="s">
        <v>174</v>
      </c>
      <c r="B739" s="22" t="s">
        <v>1332</v>
      </c>
      <c r="C739" s="22" t="s">
        <v>176</v>
      </c>
      <c r="D739" s="23"/>
      <c r="E739" s="22" t="s">
        <v>1437</v>
      </c>
      <c r="F739" s="29"/>
      <c r="G739" s="22"/>
      <c r="H739" s="64"/>
      <c r="I739" s="22" t="s">
        <v>1438</v>
      </c>
      <c r="J739" s="22" t="s">
        <v>1020</v>
      </c>
      <c r="K739" s="34"/>
    </row>
    <row r="740" spans="1:11" x14ac:dyDescent="0.3">
      <c r="A740" s="22" t="s">
        <v>174</v>
      </c>
      <c r="B740" s="22" t="s">
        <v>1332</v>
      </c>
      <c r="C740" s="22" t="s">
        <v>176</v>
      </c>
      <c r="D740" s="23"/>
      <c r="E740" s="22" t="s">
        <v>1439</v>
      </c>
      <c r="F740" s="29"/>
      <c r="G740" s="22"/>
      <c r="H740" s="64"/>
      <c r="I740" s="22" t="s">
        <v>1440</v>
      </c>
      <c r="J740" s="22" t="s">
        <v>1023</v>
      </c>
      <c r="K740" s="34"/>
    </row>
    <row r="741" spans="1:11" x14ac:dyDescent="0.3">
      <c r="A741" s="22" t="s">
        <v>174</v>
      </c>
      <c r="B741" s="22" t="s">
        <v>1332</v>
      </c>
      <c r="C741" s="22" t="s">
        <v>176</v>
      </c>
      <c r="D741" s="23"/>
      <c r="E741" s="22" t="s">
        <v>1441</v>
      </c>
      <c r="F741" s="29"/>
      <c r="G741" s="22"/>
      <c r="H741" s="64"/>
      <c r="I741" s="22" t="s">
        <v>1442</v>
      </c>
      <c r="J741" s="22" t="s">
        <v>1026</v>
      </c>
      <c r="K741" s="34"/>
    </row>
    <row r="742" spans="1:11" x14ac:dyDescent="0.3">
      <c r="A742" s="22" t="s">
        <v>174</v>
      </c>
      <c r="B742" s="22" t="s">
        <v>1332</v>
      </c>
      <c r="C742" s="22" t="s">
        <v>176</v>
      </c>
      <c r="D742" s="23"/>
      <c r="E742" s="22" t="s">
        <v>1455</v>
      </c>
      <c r="F742" s="22"/>
      <c r="G742" s="22"/>
      <c r="H742" s="64"/>
      <c r="I742" s="22" t="s">
        <v>1263</v>
      </c>
      <c r="J742" s="22" t="s">
        <v>869</v>
      </c>
      <c r="K742" s="34"/>
    </row>
    <row r="743" spans="1:11" x14ac:dyDescent="0.3">
      <c r="A743" s="22" t="s">
        <v>174</v>
      </c>
      <c r="B743" s="22" t="s">
        <v>1332</v>
      </c>
      <c r="C743" s="22" t="s">
        <v>176</v>
      </c>
      <c r="D743" s="23"/>
      <c r="E743" s="22" t="s">
        <v>1456</v>
      </c>
      <c r="F743" s="22"/>
      <c r="G743" s="22"/>
      <c r="H743" s="64"/>
      <c r="I743" s="22" t="s">
        <v>1265</v>
      </c>
      <c r="J743" s="22" t="s">
        <v>872</v>
      </c>
      <c r="K743" s="34"/>
    </row>
    <row r="744" spans="1:11" x14ac:dyDescent="0.3">
      <c r="A744" s="22" t="s">
        <v>174</v>
      </c>
      <c r="B744" s="22" t="s">
        <v>1332</v>
      </c>
      <c r="C744" s="22" t="s">
        <v>176</v>
      </c>
      <c r="D744" s="23"/>
      <c r="E744" s="22" t="s">
        <v>1457</v>
      </c>
      <c r="F744" s="22"/>
      <c r="G744" s="22"/>
      <c r="H744" s="64"/>
      <c r="I744" s="22" t="s">
        <v>1267</v>
      </c>
      <c r="J744" s="22" t="s">
        <v>875</v>
      </c>
      <c r="K744" s="34"/>
    </row>
    <row r="745" spans="1:11" x14ac:dyDescent="0.3">
      <c r="A745" s="22" t="s">
        <v>174</v>
      </c>
      <c r="B745" s="22" t="s">
        <v>1332</v>
      </c>
      <c r="C745" s="22" t="s">
        <v>176</v>
      </c>
      <c r="D745" s="23"/>
      <c r="E745" s="22" t="s">
        <v>1458</v>
      </c>
      <c r="F745" s="22"/>
      <c r="G745" s="22"/>
      <c r="H745" s="64"/>
      <c r="I745" s="22" t="s">
        <v>1269</v>
      </c>
      <c r="J745" s="22" t="s">
        <v>878</v>
      </c>
      <c r="K745" s="34"/>
    </row>
    <row r="746" spans="1:11" x14ac:dyDescent="0.3">
      <c r="A746" s="22" t="s">
        <v>174</v>
      </c>
      <c r="B746" s="22" t="s">
        <v>1332</v>
      </c>
      <c r="C746" s="22" t="s">
        <v>176</v>
      </c>
      <c r="D746" s="23"/>
      <c r="E746" s="22" t="s">
        <v>1459</v>
      </c>
      <c r="F746" s="22"/>
      <c r="G746" s="22"/>
      <c r="H746" s="64"/>
      <c r="I746" s="22" t="s">
        <v>1271</v>
      </c>
      <c r="J746" s="22" t="s">
        <v>328</v>
      </c>
      <c r="K746" s="34"/>
    </row>
    <row r="747" spans="1:11" x14ac:dyDescent="0.3">
      <c r="A747" s="22" t="s">
        <v>174</v>
      </c>
      <c r="B747" s="22" t="s">
        <v>1332</v>
      </c>
      <c r="C747" s="22" t="s">
        <v>176</v>
      </c>
      <c r="D747" s="23"/>
      <c r="E747" s="22" t="s">
        <v>1460</v>
      </c>
      <c r="F747" s="22"/>
      <c r="G747" s="22"/>
      <c r="H747" s="64"/>
      <c r="I747" s="22" t="s">
        <v>1273</v>
      </c>
      <c r="J747" s="22" t="s">
        <v>331</v>
      </c>
      <c r="K747" s="34"/>
    </row>
    <row r="748" spans="1:11" x14ac:dyDescent="0.3">
      <c r="A748" s="22" t="s">
        <v>174</v>
      </c>
      <c r="B748" s="22" t="s">
        <v>1332</v>
      </c>
      <c r="C748" s="22" t="s">
        <v>176</v>
      </c>
      <c r="D748" s="23"/>
      <c r="E748" s="22" t="s">
        <v>1472</v>
      </c>
      <c r="F748" s="22"/>
      <c r="G748" s="22"/>
      <c r="H748" s="64"/>
      <c r="I748" s="22" t="s">
        <v>1473</v>
      </c>
      <c r="J748" s="22"/>
      <c r="K748" s="34"/>
    </row>
    <row r="749" spans="1:11" x14ac:dyDescent="0.3">
      <c r="A749" s="22" t="s">
        <v>174</v>
      </c>
      <c r="B749" s="22" t="s">
        <v>1332</v>
      </c>
      <c r="C749" s="22" t="s">
        <v>176</v>
      </c>
      <c r="D749" s="23"/>
      <c r="E749" s="22" t="s">
        <v>1474</v>
      </c>
      <c r="F749" s="29"/>
      <c r="G749" s="22"/>
      <c r="H749" s="64"/>
      <c r="I749" s="22" t="s">
        <v>1475</v>
      </c>
      <c r="J749" s="22"/>
      <c r="K749" s="34"/>
    </row>
    <row r="750" spans="1:11" x14ac:dyDescent="0.3">
      <c r="A750" s="22" t="s">
        <v>174</v>
      </c>
      <c r="B750" s="22" t="s">
        <v>1332</v>
      </c>
      <c r="C750" s="22" t="s">
        <v>176</v>
      </c>
      <c r="D750" s="23"/>
      <c r="E750" s="22" t="s">
        <v>1476</v>
      </c>
      <c r="F750" s="29"/>
      <c r="G750" s="22"/>
      <c r="H750" s="64"/>
      <c r="I750" s="22" t="s">
        <v>1477</v>
      </c>
      <c r="J750" s="22"/>
      <c r="K750" s="34"/>
    </row>
    <row r="751" spans="1:11" x14ac:dyDescent="0.3">
      <c r="A751" s="22" t="s">
        <v>174</v>
      </c>
      <c r="B751" s="22" t="s">
        <v>1332</v>
      </c>
      <c r="C751" s="64" t="s">
        <v>90</v>
      </c>
      <c r="D751" s="23"/>
      <c r="E751" s="22" t="s">
        <v>1478</v>
      </c>
      <c r="F751" s="29"/>
      <c r="G751" s="22"/>
      <c r="H751" s="64"/>
      <c r="I751" s="22" t="s">
        <v>1479</v>
      </c>
      <c r="J751" s="22" t="s">
        <v>212</v>
      </c>
      <c r="K751" s="34"/>
    </row>
    <row r="752" spans="1:11" x14ac:dyDescent="0.3">
      <c r="A752" s="22" t="s">
        <v>174</v>
      </c>
      <c r="B752" s="22" t="s">
        <v>1332</v>
      </c>
      <c r="C752" s="22" t="s">
        <v>176</v>
      </c>
      <c r="D752" s="23"/>
      <c r="E752" s="22" t="s">
        <v>1480</v>
      </c>
      <c r="F752" s="22"/>
      <c r="G752" s="22"/>
      <c r="H752" s="64"/>
      <c r="I752" s="22" t="s">
        <v>1481</v>
      </c>
      <c r="J752" s="22"/>
      <c r="K752" s="34"/>
    </row>
    <row r="753" spans="1:11" x14ac:dyDescent="0.3">
      <c r="A753" s="22" t="s">
        <v>174</v>
      </c>
      <c r="B753" s="22" t="s">
        <v>1332</v>
      </c>
      <c r="C753" s="22" t="s">
        <v>176</v>
      </c>
      <c r="D753" s="23"/>
      <c r="E753" s="22" t="s">
        <v>1482</v>
      </c>
      <c r="F753" s="22"/>
      <c r="G753" s="22"/>
      <c r="H753" s="64"/>
      <c r="I753" s="22" t="s">
        <v>1483</v>
      </c>
      <c r="J753" s="22"/>
      <c r="K753" s="34"/>
    </row>
    <row r="754" spans="1:11" x14ac:dyDescent="0.3">
      <c r="A754" s="22" t="s">
        <v>174</v>
      </c>
      <c r="B754" s="22" t="s">
        <v>1332</v>
      </c>
      <c r="C754" s="22" t="s">
        <v>176</v>
      </c>
      <c r="D754" s="68"/>
      <c r="E754" s="22" t="s">
        <v>1484</v>
      </c>
      <c r="F754" s="23"/>
      <c r="G754" s="22">
        <v>30</v>
      </c>
      <c r="H754" s="64"/>
      <c r="I754" s="22" t="s">
        <v>1368</v>
      </c>
      <c r="J754" s="22"/>
      <c r="K754" s="34"/>
    </row>
    <row r="755" spans="1:11" x14ac:dyDescent="0.3">
      <c r="A755" s="22" t="s">
        <v>174</v>
      </c>
      <c r="B755" s="22" t="s">
        <v>1332</v>
      </c>
      <c r="C755" s="22" t="s">
        <v>176</v>
      </c>
      <c r="D755" s="68"/>
      <c r="E755" s="22" t="s">
        <v>1485</v>
      </c>
      <c r="F755" s="23"/>
      <c r="G755" s="22">
        <v>30</v>
      </c>
      <c r="H755" s="64"/>
      <c r="I755" s="22" t="s">
        <v>1368</v>
      </c>
      <c r="J755" s="22"/>
      <c r="K755" s="34"/>
    </row>
    <row r="756" spans="1:11" x14ac:dyDescent="0.3">
      <c r="A756" s="22" t="s">
        <v>174</v>
      </c>
      <c r="B756" s="22" t="s">
        <v>1332</v>
      </c>
      <c r="C756" s="22" t="s">
        <v>87</v>
      </c>
      <c r="D756" s="23"/>
      <c r="E756" s="22" t="s">
        <v>1486</v>
      </c>
      <c r="F756" s="22"/>
      <c r="G756" s="23"/>
      <c r="H756" s="64"/>
      <c r="I756" s="22" t="s">
        <v>1487</v>
      </c>
      <c r="J756" s="22" t="s">
        <v>1094</v>
      </c>
      <c r="K756" s="34"/>
    </row>
    <row r="757" spans="1:11" x14ac:dyDescent="0.3">
      <c r="A757" s="22" t="s">
        <v>174</v>
      </c>
      <c r="B757" s="22" t="s">
        <v>1332</v>
      </c>
      <c r="C757" s="22" t="s">
        <v>93</v>
      </c>
      <c r="D757" s="23"/>
      <c r="E757" s="22" t="s">
        <v>1488</v>
      </c>
      <c r="F757" s="22"/>
      <c r="G757" s="23"/>
      <c r="H757" s="64"/>
      <c r="I757" s="22" t="s">
        <v>1489</v>
      </c>
      <c r="J757" s="22" t="s">
        <v>1097</v>
      </c>
      <c r="K757" s="34"/>
    </row>
    <row r="758" spans="1:11" x14ac:dyDescent="0.3">
      <c r="A758" s="22" t="s">
        <v>174</v>
      </c>
      <c r="B758" s="22" t="s">
        <v>1332</v>
      </c>
      <c r="C758" s="64" t="s">
        <v>90</v>
      </c>
      <c r="D758" s="23"/>
      <c r="E758" s="22" t="s">
        <v>1490</v>
      </c>
      <c r="F758" s="22"/>
      <c r="G758" s="23"/>
      <c r="H758" s="64"/>
      <c r="I758" s="22" t="s">
        <v>1491</v>
      </c>
      <c r="J758" s="22" t="s">
        <v>1100</v>
      </c>
      <c r="K758" s="34"/>
    </row>
    <row r="759" spans="1:11" x14ac:dyDescent="0.3">
      <c r="A759" s="22" t="s">
        <v>174</v>
      </c>
      <c r="B759" s="22" t="s">
        <v>1332</v>
      </c>
      <c r="C759" s="22" t="s">
        <v>87</v>
      </c>
      <c r="D759" s="23"/>
      <c r="E759" s="22" t="s">
        <v>1492</v>
      </c>
      <c r="F759" s="22"/>
      <c r="G759" s="23"/>
      <c r="H759" s="64"/>
      <c r="I759" s="22" t="s">
        <v>1487</v>
      </c>
      <c r="J759" s="22" t="s">
        <v>1102</v>
      </c>
      <c r="K759" s="34"/>
    </row>
    <row r="760" spans="1:11" x14ac:dyDescent="0.3">
      <c r="A760" s="22" t="s">
        <v>174</v>
      </c>
      <c r="B760" s="22" t="s">
        <v>1332</v>
      </c>
      <c r="C760" s="22" t="s">
        <v>93</v>
      </c>
      <c r="D760" s="23"/>
      <c r="E760" s="22" t="s">
        <v>1493</v>
      </c>
      <c r="F760" s="22"/>
      <c r="G760" s="23"/>
      <c r="H760" s="64"/>
      <c r="I760" s="22" t="s">
        <v>1489</v>
      </c>
      <c r="J760" s="22" t="s">
        <v>1104</v>
      </c>
      <c r="K760" s="34"/>
    </row>
    <row r="761" spans="1:11" x14ac:dyDescent="0.3">
      <c r="A761" s="22" t="s">
        <v>174</v>
      </c>
      <c r="B761" s="22" t="s">
        <v>1332</v>
      </c>
      <c r="C761" s="64" t="s">
        <v>90</v>
      </c>
      <c r="D761" s="23"/>
      <c r="E761" s="22" t="s">
        <v>1494</v>
      </c>
      <c r="F761" s="22"/>
      <c r="G761" s="23"/>
      <c r="H761" s="64"/>
      <c r="I761" s="22" t="s">
        <v>1491</v>
      </c>
      <c r="J761" s="22" t="s">
        <v>1106</v>
      </c>
      <c r="K761" s="34"/>
    </row>
    <row r="762" spans="1:11" x14ac:dyDescent="0.3">
      <c r="A762" s="22" t="s">
        <v>174</v>
      </c>
      <c r="B762" s="22" t="s">
        <v>1332</v>
      </c>
      <c r="C762" s="22" t="s">
        <v>87</v>
      </c>
      <c r="D762" s="23"/>
      <c r="E762" s="22" t="s">
        <v>1495</v>
      </c>
      <c r="F762" s="22"/>
      <c r="G762" s="23"/>
      <c r="H762" s="64"/>
      <c r="I762" s="22" t="s">
        <v>1487</v>
      </c>
      <c r="J762" s="22" t="s">
        <v>1108</v>
      </c>
      <c r="K762" s="34"/>
    </row>
    <row r="763" spans="1:11" x14ac:dyDescent="0.3">
      <c r="A763" s="22" t="s">
        <v>174</v>
      </c>
      <c r="B763" s="22" t="s">
        <v>1332</v>
      </c>
      <c r="C763" s="22" t="s">
        <v>93</v>
      </c>
      <c r="D763" s="23"/>
      <c r="E763" s="22" t="s">
        <v>1496</v>
      </c>
      <c r="F763" s="22"/>
      <c r="G763" s="23"/>
      <c r="H763" s="64"/>
      <c r="I763" s="22" t="s">
        <v>1489</v>
      </c>
      <c r="J763" s="22" t="s">
        <v>1110</v>
      </c>
      <c r="K763" s="34"/>
    </row>
    <row r="764" spans="1:11" x14ac:dyDescent="0.3">
      <c r="A764" s="22" t="s">
        <v>174</v>
      </c>
      <c r="B764" s="22" t="s">
        <v>1332</v>
      </c>
      <c r="C764" s="64" t="s">
        <v>90</v>
      </c>
      <c r="D764" s="23"/>
      <c r="E764" s="22" t="s">
        <v>1497</v>
      </c>
      <c r="F764" s="22"/>
      <c r="G764" s="23"/>
      <c r="H764" s="64"/>
      <c r="I764" s="22" t="s">
        <v>1491</v>
      </c>
      <c r="J764" s="22" t="s">
        <v>1112</v>
      </c>
      <c r="K764" s="34"/>
    </row>
    <row r="765" spans="1:11" x14ac:dyDescent="0.3">
      <c r="A765" s="22" t="s">
        <v>174</v>
      </c>
      <c r="B765" s="22" t="s">
        <v>1498</v>
      </c>
      <c r="C765" s="22" t="s">
        <v>176</v>
      </c>
      <c r="D765" s="68"/>
      <c r="E765" s="22" t="s">
        <v>1499</v>
      </c>
      <c r="F765" s="23"/>
      <c r="G765" s="22">
        <v>30</v>
      </c>
      <c r="H765" s="64"/>
      <c r="I765" s="22" t="s">
        <v>1500</v>
      </c>
      <c r="J765" s="22"/>
      <c r="K765" s="34"/>
    </row>
    <row r="766" spans="1:11" x14ac:dyDescent="0.3">
      <c r="A766" s="22" t="s">
        <v>174</v>
      </c>
      <c r="B766" s="22" t="s">
        <v>1498</v>
      </c>
      <c r="C766" s="22" t="s">
        <v>176</v>
      </c>
      <c r="D766" s="23"/>
      <c r="E766" s="22" t="s">
        <v>1527</v>
      </c>
      <c r="F766" s="29"/>
      <c r="G766" s="22"/>
      <c r="H766" s="64"/>
      <c r="I766" s="22" t="s">
        <v>1528</v>
      </c>
      <c r="J766" s="22" t="s">
        <v>1508</v>
      </c>
      <c r="K766" s="34"/>
    </row>
    <row r="767" spans="1:11" x14ac:dyDescent="0.3">
      <c r="A767" s="22" t="s">
        <v>174</v>
      </c>
      <c r="B767" s="22" t="s">
        <v>1498</v>
      </c>
      <c r="C767" s="22" t="s">
        <v>176</v>
      </c>
      <c r="D767" s="23"/>
      <c r="E767" s="22" t="s">
        <v>1529</v>
      </c>
      <c r="F767" s="29"/>
      <c r="G767" s="22"/>
      <c r="H767" s="64"/>
      <c r="I767" s="22" t="s">
        <v>1530</v>
      </c>
      <c r="J767" s="22" t="s">
        <v>1513</v>
      </c>
      <c r="K767" s="34"/>
    </row>
    <row r="768" spans="1:11" x14ac:dyDescent="0.3">
      <c r="A768" s="22" t="s">
        <v>174</v>
      </c>
      <c r="B768" s="22" t="s">
        <v>1498</v>
      </c>
      <c r="C768" s="22" t="s">
        <v>176</v>
      </c>
      <c r="D768" s="23"/>
      <c r="E768" s="22" t="s">
        <v>1531</v>
      </c>
      <c r="F768" s="29"/>
      <c r="G768" s="22"/>
      <c r="H768" s="64"/>
      <c r="I768" s="22" t="s">
        <v>1532</v>
      </c>
      <c r="J768" s="22" t="s">
        <v>1518</v>
      </c>
      <c r="K768" s="34"/>
    </row>
    <row r="769" spans="1:11" x14ac:dyDescent="0.3">
      <c r="A769" s="22" t="s">
        <v>174</v>
      </c>
      <c r="B769" s="22" t="s">
        <v>1498</v>
      </c>
      <c r="C769" s="22" t="s">
        <v>176</v>
      </c>
      <c r="D769" s="23"/>
      <c r="E769" s="22" t="s">
        <v>1533</v>
      </c>
      <c r="F769" s="29"/>
      <c r="G769" s="22"/>
      <c r="H769" s="64"/>
      <c r="I769" s="22" t="s">
        <v>1534</v>
      </c>
      <c r="J769" s="22" t="s">
        <v>1535</v>
      </c>
      <c r="K769" s="34"/>
    </row>
    <row r="770" spans="1:11" x14ac:dyDescent="0.3">
      <c r="A770" s="22" t="s">
        <v>174</v>
      </c>
      <c r="B770" s="22" t="s">
        <v>1498</v>
      </c>
      <c r="C770" s="22" t="s">
        <v>176</v>
      </c>
      <c r="D770" s="23"/>
      <c r="E770" s="22" t="s">
        <v>1553</v>
      </c>
      <c r="F770" s="22"/>
      <c r="G770" s="22"/>
      <c r="H770" s="64"/>
      <c r="I770" s="22" t="s">
        <v>1554</v>
      </c>
      <c r="J770" s="22" t="s">
        <v>1555</v>
      </c>
      <c r="K770" s="34"/>
    </row>
    <row r="771" spans="1:11" x14ac:dyDescent="0.3">
      <c r="A771" s="22" t="s">
        <v>174</v>
      </c>
      <c r="B771" s="22" t="s">
        <v>1498</v>
      </c>
      <c r="C771" s="22" t="s">
        <v>176</v>
      </c>
      <c r="D771" s="23"/>
      <c r="E771" s="22" t="s">
        <v>1556</v>
      </c>
      <c r="F771" s="22"/>
      <c r="G771" s="22"/>
      <c r="H771" s="64"/>
      <c r="I771" s="22" t="s">
        <v>1557</v>
      </c>
      <c r="J771" s="22" t="s">
        <v>1558</v>
      </c>
      <c r="K771" s="34"/>
    </row>
    <row r="772" spans="1:11" x14ac:dyDescent="0.3">
      <c r="A772" s="22" t="s">
        <v>174</v>
      </c>
      <c r="B772" s="22" t="s">
        <v>1498</v>
      </c>
      <c r="C772" s="22" t="s">
        <v>176</v>
      </c>
      <c r="D772" s="23"/>
      <c r="E772" s="22" t="s">
        <v>1559</v>
      </c>
      <c r="F772" s="22"/>
      <c r="G772" s="22"/>
      <c r="H772" s="64"/>
      <c r="I772" s="22" t="s">
        <v>1560</v>
      </c>
      <c r="J772" s="22" t="s">
        <v>641</v>
      </c>
      <c r="K772" s="34"/>
    </row>
    <row r="773" spans="1:11" x14ac:dyDescent="0.3">
      <c r="A773" s="22" t="s">
        <v>174</v>
      </c>
      <c r="B773" s="22" t="s">
        <v>1498</v>
      </c>
      <c r="C773" s="22" t="s">
        <v>176</v>
      </c>
      <c r="D773" s="23"/>
      <c r="E773" s="22" t="s">
        <v>1561</v>
      </c>
      <c r="F773" s="22"/>
      <c r="G773" s="22"/>
      <c r="H773" s="64"/>
      <c r="I773" s="22" t="s">
        <v>1562</v>
      </c>
      <c r="J773" s="22" t="s">
        <v>644</v>
      </c>
      <c r="K773" s="34"/>
    </row>
    <row r="774" spans="1:11" x14ac:dyDescent="0.3">
      <c r="A774" s="22" t="s">
        <v>174</v>
      </c>
      <c r="B774" s="22" t="s">
        <v>1498</v>
      </c>
      <c r="C774" s="22" t="s">
        <v>176</v>
      </c>
      <c r="D774" s="23"/>
      <c r="E774" s="22" t="s">
        <v>1563</v>
      </c>
      <c r="F774" s="22"/>
      <c r="G774" s="22"/>
      <c r="H774" s="64"/>
      <c r="I774" s="22" t="s">
        <v>1564</v>
      </c>
      <c r="J774" s="22" t="s">
        <v>1565</v>
      </c>
      <c r="K774" s="34"/>
    </row>
    <row r="775" spans="1:11" x14ac:dyDescent="0.3">
      <c r="A775" s="22" t="s">
        <v>174</v>
      </c>
      <c r="B775" s="22" t="s">
        <v>1498</v>
      </c>
      <c r="C775" s="22" t="s">
        <v>176</v>
      </c>
      <c r="D775" s="23"/>
      <c r="E775" s="22" t="s">
        <v>1566</v>
      </c>
      <c r="F775" s="22"/>
      <c r="G775" s="22"/>
      <c r="H775" s="64"/>
      <c r="I775" s="22" t="s">
        <v>1567</v>
      </c>
      <c r="J775" s="22" t="s">
        <v>1568</v>
      </c>
      <c r="K775" s="34"/>
    </row>
    <row r="776" spans="1:11" x14ac:dyDescent="0.3">
      <c r="A776" s="22" t="s">
        <v>174</v>
      </c>
      <c r="B776" s="22" t="s">
        <v>1498</v>
      </c>
      <c r="C776" s="22" t="s">
        <v>176</v>
      </c>
      <c r="D776" s="23"/>
      <c r="E776" s="22" t="s">
        <v>1597</v>
      </c>
      <c r="F776" s="22"/>
      <c r="G776" s="22"/>
      <c r="H776" s="64"/>
      <c r="I776" s="22" t="s">
        <v>1598</v>
      </c>
      <c r="J776" s="22"/>
      <c r="K776" s="34"/>
    </row>
    <row r="777" spans="1:11" x14ac:dyDescent="0.3">
      <c r="A777" s="22" t="s">
        <v>174</v>
      </c>
      <c r="B777" s="22" t="s">
        <v>1498</v>
      </c>
      <c r="C777" s="22" t="s">
        <v>176</v>
      </c>
      <c r="D777" s="23"/>
      <c r="E777" s="22" t="s">
        <v>1599</v>
      </c>
      <c r="F777" s="29"/>
      <c r="G777" s="22"/>
      <c r="H777" s="64"/>
      <c r="I777" s="22" t="s">
        <v>1600</v>
      </c>
      <c r="J777" s="22"/>
      <c r="K777" s="34"/>
    </row>
    <row r="778" spans="1:11" x14ac:dyDescent="0.3">
      <c r="A778" s="22" t="s">
        <v>174</v>
      </c>
      <c r="B778" s="22" t="s">
        <v>1498</v>
      </c>
      <c r="C778" s="22" t="s">
        <v>176</v>
      </c>
      <c r="D778" s="23"/>
      <c r="E778" s="22" t="s">
        <v>1601</v>
      </c>
      <c r="F778" s="29"/>
      <c r="G778" s="22"/>
      <c r="H778" s="64"/>
      <c r="I778" s="22" t="s">
        <v>1602</v>
      </c>
      <c r="J778" s="22"/>
      <c r="K778" s="34"/>
    </row>
    <row r="779" spans="1:11" x14ac:dyDescent="0.3">
      <c r="A779" s="22" t="s">
        <v>174</v>
      </c>
      <c r="B779" s="22" t="s">
        <v>1498</v>
      </c>
      <c r="C779" s="22" t="s">
        <v>176</v>
      </c>
      <c r="D779" s="23"/>
      <c r="E779" s="22" t="s">
        <v>1603</v>
      </c>
      <c r="F779" s="29"/>
      <c r="G779" s="22"/>
      <c r="H779" s="64"/>
      <c r="I779" s="22" t="s">
        <v>1604</v>
      </c>
      <c r="J779" s="22"/>
      <c r="K779" s="34"/>
    </row>
    <row r="780" spans="1:11" x14ac:dyDescent="0.3">
      <c r="A780" s="22" t="s">
        <v>174</v>
      </c>
      <c r="B780" s="22" t="s">
        <v>1498</v>
      </c>
      <c r="C780" s="22" t="s">
        <v>176</v>
      </c>
      <c r="D780" s="23"/>
      <c r="E780" s="22" t="s">
        <v>1605</v>
      </c>
      <c r="F780" s="22"/>
      <c r="G780" s="22"/>
      <c r="H780" s="64"/>
      <c r="I780" s="22" t="s">
        <v>1606</v>
      </c>
      <c r="J780" s="22"/>
      <c r="K780" s="34"/>
    </row>
    <row r="781" spans="1:11" x14ac:dyDescent="0.3">
      <c r="A781" s="22" t="s">
        <v>174</v>
      </c>
      <c r="B781" s="22" t="s">
        <v>1498</v>
      </c>
      <c r="C781" s="22" t="s">
        <v>176</v>
      </c>
      <c r="D781" s="23"/>
      <c r="E781" s="22" t="s">
        <v>1607</v>
      </c>
      <c r="F781" s="22"/>
      <c r="G781" s="22"/>
      <c r="H781" s="64"/>
      <c r="I781" s="22"/>
      <c r="J781" s="22"/>
      <c r="K781" s="34"/>
    </row>
    <row r="782" spans="1:11" x14ac:dyDescent="0.3">
      <c r="A782" s="22" t="s">
        <v>174</v>
      </c>
      <c r="B782" s="22" t="s">
        <v>1498</v>
      </c>
      <c r="C782" s="22" t="s">
        <v>176</v>
      </c>
      <c r="D782" s="68"/>
      <c r="E782" s="22" t="s">
        <v>1608</v>
      </c>
      <c r="F782" s="23"/>
      <c r="G782" s="22">
        <v>30</v>
      </c>
      <c r="H782" s="64"/>
      <c r="I782" s="22" t="s">
        <v>1500</v>
      </c>
      <c r="J782" s="22"/>
      <c r="K782" s="34"/>
    </row>
    <row r="783" spans="1:11" x14ac:dyDescent="0.3">
      <c r="A783" s="22" t="s">
        <v>174</v>
      </c>
      <c r="B783" s="22" t="s">
        <v>1498</v>
      </c>
      <c r="C783" s="22" t="s">
        <v>176</v>
      </c>
      <c r="D783" s="68"/>
      <c r="E783" s="22" t="s">
        <v>1609</v>
      </c>
      <c r="F783" s="23"/>
      <c r="G783" s="22">
        <v>30</v>
      </c>
      <c r="H783" s="64"/>
      <c r="I783" s="22" t="s">
        <v>1500</v>
      </c>
      <c r="J783" s="22"/>
      <c r="K783" s="34"/>
    </row>
    <row r="784" spans="1:11" x14ac:dyDescent="0.3">
      <c r="A784" s="22" t="s">
        <v>174</v>
      </c>
      <c r="B784" s="22" t="s">
        <v>1498</v>
      </c>
      <c r="C784" s="22" t="s">
        <v>63</v>
      </c>
      <c r="D784" s="23"/>
      <c r="E784" s="22" t="s">
        <v>1610</v>
      </c>
      <c r="F784" s="22"/>
      <c r="G784" s="23"/>
      <c r="H784" s="64"/>
      <c r="I784" s="22" t="s">
        <v>1611</v>
      </c>
      <c r="J784" s="22" t="s">
        <v>1541</v>
      </c>
      <c r="K784" s="34"/>
    </row>
    <row r="785" spans="1:11" x14ac:dyDescent="0.3">
      <c r="A785" s="22" t="s">
        <v>174</v>
      </c>
      <c r="B785" s="22" t="s">
        <v>1498</v>
      </c>
      <c r="C785" s="22" t="s">
        <v>176</v>
      </c>
      <c r="D785" s="23"/>
      <c r="E785" s="22" t="s">
        <v>1612</v>
      </c>
      <c r="F785" s="22"/>
      <c r="G785" s="23"/>
      <c r="H785" s="64"/>
      <c r="I785" s="22" t="s">
        <v>1613</v>
      </c>
      <c r="J785" s="22" t="s">
        <v>1614</v>
      </c>
      <c r="K785" s="34"/>
    </row>
    <row r="786" spans="1:11" x14ac:dyDescent="0.3">
      <c r="A786" s="22" t="s">
        <v>174</v>
      </c>
      <c r="B786" s="22" t="s">
        <v>1498</v>
      </c>
      <c r="C786" s="22" t="s">
        <v>176</v>
      </c>
      <c r="D786" s="23"/>
      <c r="E786" s="22" t="s">
        <v>1615</v>
      </c>
      <c r="F786" s="22"/>
      <c r="G786" s="22"/>
      <c r="H786" s="64"/>
      <c r="I786" s="22" t="s">
        <v>1616</v>
      </c>
      <c r="J786" s="22" t="s">
        <v>1544</v>
      </c>
      <c r="K786" s="34"/>
    </row>
    <row r="787" spans="1:11" x14ac:dyDescent="0.3">
      <c r="A787" s="22" t="s">
        <v>174</v>
      </c>
      <c r="B787" s="22" t="s">
        <v>1617</v>
      </c>
      <c r="C787" s="22" t="s">
        <v>176</v>
      </c>
      <c r="D787" s="23"/>
      <c r="E787" s="22" t="s">
        <v>1684</v>
      </c>
      <c r="F787" s="29"/>
      <c r="G787" s="22"/>
      <c r="H787" s="64"/>
      <c r="I787" s="22" t="s">
        <v>1685</v>
      </c>
      <c r="J787" s="22" t="s">
        <v>239</v>
      </c>
      <c r="K787" s="34"/>
    </row>
    <row r="788" spans="1:11" x14ac:dyDescent="0.3">
      <c r="A788" s="22" t="s">
        <v>174</v>
      </c>
      <c r="B788" s="22" t="s">
        <v>1617</v>
      </c>
      <c r="C788" s="22" t="s">
        <v>176</v>
      </c>
      <c r="D788" s="23"/>
      <c r="E788" s="22" t="s">
        <v>1686</v>
      </c>
      <c r="F788" s="29"/>
      <c r="G788" s="22"/>
      <c r="H788" s="64"/>
      <c r="I788" s="22" t="s">
        <v>1687</v>
      </c>
      <c r="J788" s="22" t="s">
        <v>256</v>
      </c>
      <c r="K788" s="34"/>
    </row>
    <row r="789" spans="1:11" x14ac:dyDescent="0.3">
      <c r="A789" s="22" t="s">
        <v>174</v>
      </c>
      <c r="B789" s="22" t="s">
        <v>1617</v>
      </c>
      <c r="C789" s="22" t="s">
        <v>176</v>
      </c>
      <c r="D789" s="23"/>
      <c r="E789" s="22" t="s">
        <v>1688</v>
      </c>
      <c r="F789" s="29"/>
      <c r="G789" s="22"/>
      <c r="H789" s="64"/>
      <c r="I789" s="22" t="s">
        <v>1689</v>
      </c>
      <c r="J789" s="22" t="s">
        <v>274</v>
      </c>
      <c r="K789" s="34"/>
    </row>
    <row r="790" spans="1:11" x14ac:dyDescent="0.3">
      <c r="A790" s="22" t="s">
        <v>174</v>
      </c>
      <c r="B790" s="22" t="s">
        <v>1617</v>
      </c>
      <c r="C790" s="22" t="s">
        <v>176</v>
      </c>
      <c r="D790" s="23"/>
      <c r="E790" s="22" t="s">
        <v>1690</v>
      </c>
      <c r="F790" s="29"/>
      <c r="G790" s="22"/>
      <c r="H790" s="64"/>
      <c r="I790" s="22" t="s">
        <v>1691</v>
      </c>
      <c r="J790" s="22" t="s">
        <v>822</v>
      </c>
      <c r="K790" s="34"/>
    </row>
    <row r="791" spans="1:11" x14ac:dyDescent="0.3">
      <c r="A791" s="22" t="s">
        <v>174</v>
      </c>
      <c r="B791" s="22" t="s">
        <v>1617</v>
      </c>
      <c r="C791" s="22" t="s">
        <v>176</v>
      </c>
      <c r="D791" s="23"/>
      <c r="E791" s="22" t="s">
        <v>1709</v>
      </c>
      <c r="F791" s="22"/>
      <c r="G791" s="22"/>
      <c r="H791" s="64"/>
      <c r="I791" s="22" t="s">
        <v>1710</v>
      </c>
      <c r="J791" s="22" t="s">
        <v>869</v>
      </c>
      <c r="K791" s="34"/>
    </row>
    <row r="792" spans="1:11" x14ac:dyDescent="0.3">
      <c r="A792" s="22" t="s">
        <v>174</v>
      </c>
      <c r="B792" s="22" t="s">
        <v>1617</v>
      </c>
      <c r="C792" s="22" t="s">
        <v>176</v>
      </c>
      <c r="D792" s="23"/>
      <c r="E792" s="22" t="s">
        <v>1711</v>
      </c>
      <c r="F792" s="22"/>
      <c r="G792" s="22"/>
      <c r="H792" s="64"/>
      <c r="I792" s="22" t="s">
        <v>1712</v>
      </c>
      <c r="J792" s="22" t="s">
        <v>872</v>
      </c>
      <c r="K792" s="34"/>
    </row>
    <row r="793" spans="1:11" x14ac:dyDescent="0.3">
      <c r="A793" s="22" t="s">
        <v>174</v>
      </c>
      <c r="B793" s="22" t="s">
        <v>1617</v>
      </c>
      <c r="C793" s="22" t="s">
        <v>176</v>
      </c>
      <c r="D793" s="23"/>
      <c r="E793" s="22" t="s">
        <v>1713</v>
      </c>
      <c r="F793" s="22"/>
      <c r="G793" s="22"/>
      <c r="H793" s="64"/>
      <c r="I793" s="22" t="s">
        <v>1714</v>
      </c>
      <c r="J793" s="22" t="s">
        <v>875</v>
      </c>
      <c r="K793" s="34"/>
    </row>
    <row r="794" spans="1:11" x14ac:dyDescent="0.3">
      <c r="A794" s="22" t="s">
        <v>174</v>
      </c>
      <c r="B794" s="22" t="s">
        <v>1617</v>
      </c>
      <c r="C794" s="22" t="s">
        <v>176</v>
      </c>
      <c r="D794" s="23"/>
      <c r="E794" s="22" t="s">
        <v>1715</v>
      </c>
      <c r="F794" s="22"/>
      <c r="G794" s="22"/>
      <c r="H794" s="64"/>
      <c r="I794" s="22" t="s">
        <v>1716</v>
      </c>
      <c r="J794" s="22" t="s">
        <v>878</v>
      </c>
      <c r="K794" s="34"/>
    </row>
    <row r="795" spans="1:11" x14ac:dyDescent="0.3">
      <c r="A795" s="22" t="s">
        <v>174</v>
      </c>
      <c r="B795" s="22" t="s">
        <v>1617</v>
      </c>
      <c r="C795" s="22" t="s">
        <v>176</v>
      </c>
      <c r="D795" s="23"/>
      <c r="E795" s="22" t="s">
        <v>1717</v>
      </c>
      <c r="F795" s="22"/>
      <c r="G795" s="22"/>
      <c r="H795" s="64"/>
      <c r="I795" s="22" t="s">
        <v>1718</v>
      </c>
      <c r="J795" s="22" t="s">
        <v>328</v>
      </c>
      <c r="K795" s="34"/>
    </row>
    <row r="796" spans="1:11" x14ac:dyDescent="0.3">
      <c r="A796" s="22" t="s">
        <v>174</v>
      </c>
      <c r="B796" s="22" t="s">
        <v>1617</v>
      </c>
      <c r="C796" s="22" t="s">
        <v>176</v>
      </c>
      <c r="D796" s="23"/>
      <c r="E796" s="22" t="s">
        <v>1719</v>
      </c>
      <c r="F796" s="22"/>
      <c r="G796" s="22"/>
      <c r="H796" s="64"/>
      <c r="I796" s="22" t="s">
        <v>1720</v>
      </c>
      <c r="J796" s="22" t="s">
        <v>331</v>
      </c>
      <c r="K796" s="34"/>
    </row>
    <row r="797" spans="1:11" x14ac:dyDescent="0.3">
      <c r="A797" s="22" t="s">
        <v>174</v>
      </c>
      <c r="B797" s="22" t="s">
        <v>1617</v>
      </c>
      <c r="C797" s="22" t="s">
        <v>176</v>
      </c>
      <c r="D797" s="23"/>
      <c r="E797" s="22" t="s">
        <v>1741</v>
      </c>
      <c r="F797" s="22"/>
      <c r="G797" s="22"/>
      <c r="H797" s="64"/>
      <c r="I797" s="22" t="s">
        <v>1742</v>
      </c>
      <c r="J797" s="22"/>
      <c r="K797" s="34"/>
    </row>
    <row r="798" spans="1:11" x14ac:dyDescent="0.3">
      <c r="A798" s="22" t="s">
        <v>174</v>
      </c>
      <c r="B798" s="22" t="s">
        <v>1617</v>
      </c>
      <c r="C798" s="22" t="s">
        <v>176</v>
      </c>
      <c r="D798" s="23"/>
      <c r="E798" s="22" t="s">
        <v>1743</v>
      </c>
      <c r="F798" s="29"/>
      <c r="G798" s="22"/>
      <c r="H798" s="64"/>
      <c r="I798" s="22" t="s">
        <v>1744</v>
      </c>
      <c r="J798" s="22"/>
      <c r="K798" s="34"/>
    </row>
    <row r="799" spans="1:11" x14ac:dyDescent="0.3">
      <c r="A799" s="22" t="s">
        <v>174</v>
      </c>
      <c r="B799" s="22" t="s">
        <v>1617</v>
      </c>
      <c r="C799" s="22" t="s">
        <v>176</v>
      </c>
      <c r="D799" s="23"/>
      <c r="E799" s="22" t="s">
        <v>1745</v>
      </c>
      <c r="F799" s="29"/>
      <c r="G799" s="22"/>
      <c r="H799" s="64"/>
      <c r="I799" s="22" t="s">
        <v>1746</v>
      </c>
      <c r="J799" s="22"/>
      <c r="K799" s="34"/>
    </row>
    <row r="800" spans="1:11" x14ac:dyDescent="0.3">
      <c r="A800" s="22" t="s">
        <v>174</v>
      </c>
      <c r="B800" s="22" t="s">
        <v>1617</v>
      </c>
      <c r="C800" s="22" t="s">
        <v>176</v>
      </c>
      <c r="D800" s="23"/>
      <c r="E800" s="22" t="s">
        <v>1747</v>
      </c>
      <c r="F800" s="29"/>
      <c r="G800" s="22"/>
      <c r="H800" s="64"/>
      <c r="I800" s="22" t="s">
        <v>1748</v>
      </c>
      <c r="J800" s="22"/>
      <c r="K800" s="34"/>
    </row>
    <row r="801" spans="1:11" x14ac:dyDescent="0.3">
      <c r="A801" s="22" t="s">
        <v>174</v>
      </c>
      <c r="B801" s="22" t="s">
        <v>1617</v>
      </c>
      <c r="C801" s="22" t="s">
        <v>176</v>
      </c>
      <c r="D801" s="23"/>
      <c r="E801" s="22" t="s">
        <v>1749</v>
      </c>
      <c r="F801" s="22"/>
      <c r="G801" s="22"/>
      <c r="H801" s="64"/>
      <c r="I801" s="22" t="s">
        <v>1750</v>
      </c>
      <c r="J801" s="22" t="s">
        <v>212</v>
      </c>
      <c r="K801" s="34"/>
    </row>
    <row r="802" spans="1:11" x14ac:dyDescent="0.3">
      <c r="A802" s="22" t="s">
        <v>174</v>
      </c>
      <c r="B802" s="22" t="s">
        <v>1617</v>
      </c>
      <c r="C802" s="22" t="s">
        <v>176</v>
      </c>
      <c r="D802" s="23"/>
      <c r="E802" s="22" t="s">
        <v>1751</v>
      </c>
      <c r="F802" s="22"/>
      <c r="G802" s="22"/>
      <c r="H802" s="64"/>
      <c r="I802" s="22" t="s">
        <v>1752</v>
      </c>
      <c r="J802" s="22"/>
      <c r="K802" s="34"/>
    </row>
    <row r="803" spans="1:11" x14ac:dyDescent="0.3">
      <c r="A803" s="22" t="s">
        <v>174</v>
      </c>
      <c r="B803" s="22" t="s">
        <v>1617</v>
      </c>
      <c r="C803" s="22" t="s">
        <v>176</v>
      </c>
      <c r="D803" s="23"/>
      <c r="E803" s="22" t="s">
        <v>1753</v>
      </c>
      <c r="F803" s="22"/>
      <c r="G803" s="22">
        <v>15</v>
      </c>
      <c r="H803" s="64"/>
      <c r="I803" s="22" t="s">
        <v>757</v>
      </c>
      <c r="J803" s="22"/>
      <c r="K803" s="34"/>
    </row>
    <row r="804" spans="1:11" x14ac:dyDescent="0.3">
      <c r="A804" s="22" t="s">
        <v>174</v>
      </c>
      <c r="B804" s="22" t="s">
        <v>1617</v>
      </c>
      <c r="C804" s="22" t="s">
        <v>176</v>
      </c>
      <c r="D804" s="23"/>
      <c r="E804" s="22" t="s">
        <v>1754</v>
      </c>
      <c r="F804" s="22"/>
      <c r="G804" s="22">
        <v>20</v>
      </c>
      <c r="H804" s="64"/>
      <c r="I804" s="22" t="s">
        <v>1352</v>
      </c>
      <c r="J804" s="22"/>
      <c r="K804" s="34"/>
    </row>
    <row r="805" spans="1:11" x14ac:dyDescent="0.3">
      <c r="A805" s="22" t="s">
        <v>174</v>
      </c>
      <c r="B805" s="22" t="s">
        <v>1617</v>
      </c>
      <c r="C805" s="22" t="s">
        <v>176</v>
      </c>
      <c r="D805" s="23"/>
      <c r="E805" s="22" t="s">
        <v>1755</v>
      </c>
      <c r="F805" s="22"/>
      <c r="G805" s="22">
        <v>20</v>
      </c>
      <c r="H805" s="64"/>
      <c r="I805" s="22" t="s">
        <v>1361</v>
      </c>
      <c r="J805" s="22"/>
      <c r="K805" s="34"/>
    </row>
    <row r="806" spans="1:11" x14ac:dyDescent="0.3">
      <c r="A806" s="22" t="s">
        <v>174</v>
      </c>
      <c r="B806" s="22" t="s">
        <v>1617</v>
      </c>
      <c r="C806" s="22" t="s">
        <v>176</v>
      </c>
      <c r="D806" s="23"/>
      <c r="E806" s="22" t="s">
        <v>1756</v>
      </c>
      <c r="F806" s="22"/>
      <c r="G806" s="22">
        <v>20</v>
      </c>
      <c r="H806" s="64"/>
      <c r="I806" s="22" t="s">
        <v>1757</v>
      </c>
      <c r="J806" s="22"/>
      <c r="K806" s="34"/>
    </row>
    <row r="807" spans="1:11" x14ac:dyDescent="0.3">
      <c r="A807" s="22" t="s">
        <v>174</v>
      </c>
      <c r="B807" s="22" t="s">
        <v>1617</v>
      </c>
      <c r="C807" s="22" t="s">
        <v>176</v>
      </c>
      <c r="D807" s="68"/>
      <c r="E807" s="22" t="s">
        <v>1758</v>
      </c>
      <c r="F807" s="23"/>
      <c r="G807" s="22">
        <v>30</v>
      </c>
      <c r="H807" s="64"/>
      <c r="I807" s="22" t="s">
        <v>1759</v>
      </c>
      <c r="J807" s="22"/>
      <c r="K807" s="34"/>
    </row>
    <row r="808" spans="1:11" x14ac:dyDescent="0.3">
      <c r="A808" s="22" t="s">
        <v>174</v>
      </c>
      <c r="B808" s="22" t="s">
        <v>1617</v>
      </c>
      <c r="C808" s="22" t="s">
        <v>176</v>
      </c>
      <c r="D808" s="68"/>
      <c r="E808" s="22" t="s">
        <v>1760</v>
      </c>
      <c r="F808" s="23"/>
      <c r="G808" s="22">
        <v>30</v>
      </c>
      <c r="H808" s="64"/>
      <c r="I808" s="22" t="s">
        <v>1759</v>
      </c>
      <c r="J808" s="22"/>
      <c r="K808" s="34"/>
    </row>
    <row r="809" spans="1:11" x14ac:dyDescent="0.3">
      <c r="A809" s="22" t="s">
        <v>174</v>
      </c>
      <c r="B809" s="22" t="s">
        <v>1617</v>
      </c>
      <c r="C809" s="22" t="s">
        <v>176</v>
      </c>
      <c r="D809" s="68"/>
      <c r="E809" s="22" t="s">
        <v>1761</v>
      </c>
      <c r="F809" s="23"/>
      <c r="G809" s="22">
        <v>30</v>
      </c>
      <c r="H809" s="64"/>
      <c r="I809" s="22" t="s">
        <v>1759</v>
      </c>
      <c r="J809" s="22"/>
      <c r="K809" s="34"/>
    </row>
    <row r="810" spans="1:11" x14ac:dyDescent="0.3">
      <c r="A810" s="22" t="s">
        <v>174</v>
      </c>
      <c r="B810" s="22" t="s">
        <v>1762</v>
      </c>
      <c r="C810" s="22" t="s">
        <v>176</v>
      </c>
      <c r="D810" s="23"/>
      <c r="E810" s="22" t="s">
        <v>1833</v>
      </c>
      <c r="F810" s="29"/>
      <c r="G810" s="22"/>
      <c r="H810" s="64"/>
      <c r="I810" s="22" t="s">
        <v>1834</v>
      </c>
      <c r="J810" s="22" t="s">
        <v>1778</v>
      </c>
      <c r="K810" s="34"/>
    </row>
    <row r="811" spans="1:11" x14ac:dyDescent="0.3">
      <c r="A811" s="22" t="s">
        <v>174</v>
      </c>
      <c r="B811" s="22" t="s">
        <v>1762</v>
      </c>
      <c r="C811" s="22" t="s">
        <v>176</v>
      </c>
      <c r="D811" s="23"/>
      <c r="E811" s="22" t="s">
        <v>1835</v>
      </c>
      <c r="F811" s="29"/>
      <c r="G811" s="22"/>
      <c r="H811" s="64"/>
      <c r="I811" s="22" t="s">
        <v>1836</v>
      </c>
      <c r="J811" s="22" t="s">
        <v>1787</v>
      </c>
      <c r="K811" s="34"/>
    </row>
    <row r="812" spans="1:11" x14ac:dyDescent="0.3">
      <c r="A812" s="22" t="s">
        <v>174</v>
      </c>
      <c r="B812" s="22" t="s">
        <v>1762</v>
      </c>
      <c r="C812" s="22" t="s">
        <v>176</v>
      </c>
      <c r="D812" s="23"/>
      <c r="E812" s="22" t="s">
        <v>1837</v>
      </c>
      <c r="F812" s="29"/>
      <c r="G812" s="22"/>
      <c r="H812" s="64"/>
      <c r="I812" s="22" t="s">
        <v>1838</v>
      </c>
      <c r="J812" s="22" t="s">
        <v>1800</v>
      </c>
      <c r="K812" s="34"/>
    </row>
    <row r="813" spans="1:11" x14ac:dyDescent="0.3">
      <c r="A813" s="22" t="s">
        <v>174</v>
      </c>
      <c r="B813" s="22" t="s">
        <v>1762</v>
      </c>
      <c r="C813" s="22" t="s">
        <v>176</v>
      </c>
      <c r="D813" s="23"/>
      <c r="E813" s="22" t="s">
        <v>1839</v>
      </c>
      <c r="F813" s="29"/>
      <c r="G813" s="22"/>
      <c r="H813" s="64"/>
      <c r="I813" s="22" t="s">
        <v>1840</v>
      </c>
      <c r="J813" s="22" t="s">
        <v>1814</v>
      </c>
      <c r="K813" s="34"/>
    </row>
    <row r="814" spans="1:11" x14ac:dyDescent="0.3">
      <c r="A814" s="22" t="s">
        <v>174</v>
      </c>
      <c r="B814" s="22" t="s">
        <v>1762</v>
      </c>
      <c r="C814" s="22" t="s">
        <v>176</v>
      </c>
      <c r="D814" s="23"/>
      <c r="E814" s="22" t="s">
        <v>1859</v>
      </c>
      <c r="F814" s="22"/>
      <c r="G814" s="22"/>
      <c r="H814" s="22"/>
      <c r="I814" s="22" t="s">
        <v>1710</v>
      </c>
      <c r="J814" s="22" t="s">
        <v>869</v>
      </c>
      <c r="K814" s="34"/>
    </row>
    <row r="815" spans="1:11" x14ac:dyDescent="0.3">
      <c r="A815" s="22" t="s">
        <v>174</v>
      </c>
      <c r="B815" s="22" t="s">
        <v>1762</v>
      </c>
      <c r="C815" s="22" t="s">
        <v>176</v>
      </c>
      <c r="D815" s="23"/>
      <c r="E815" s="22" t="s">
        <v>1860</v>
      </c>
      <c r="F815" s="22"/>
      <c r="G815" s="22"/>
      <c r="H815" s="22"/>
      <c r="I815" s="22" t="s">
        <v>1712</v>
      </c>
      <c r="J815" s="22" t="s">
        <v>872</v>
      </c>
      <c r="K815" s="34"/>
    </row>
    <row r="816" spans="1:11" x14ac:dyDescent="0.3">
      <c r="A816" s="22" t="s">
        <v>174</v>
      </c>
      <c r="B816" s="22" t="s">
        <v>1762</v>
      </c>
      <c r="C816" s="22" t="s">
        <v>176</v>
      </c>
      <c r="D816" s="23"/>
      <c r="E816" s="22" t="s">
        <v>1861</v>
      </c>
      <c r="F816" s="22"/>
      <c r="G816" s="22"/>
      <c r="H816" s="22"/>
      <c r="I816" s="22" t="s">
        <v>1714</v>
      </c>
      <c r="J816" s="22" t="s">
        <v>875</v>
      </c>
      <c r="K816" s="34"/>
    </row>
    <row r="817" spans="1:11" x14ac:dyDescent="0.3">
      <c r="A817" s="22" t="s">
        <v>174</v>
      </c>
      <c r="B817" s="22" t="s">
        <v>1762</v>
      </c>
      <c r="C817" s="22" t="s">
        <v>176</v>
      </c>
      <c r="D817" s="23"/>
      <c r="E817" s="22" t="s">
        <v>1862</v>
      </c>
      <c r="F817" s="22"/>
      <c r="G817" s="22"/>
      <c r="H817" s="22"/>
      <c r="I817" s="22" t="s">
        <v>1716</v>
      </c>
      <c r="J817" s="22" t="s">
        <v>878</v>
      </c>
      <c r="K817" s="34"/>
    </row>
    <row r="818" spans="1:11" x14ac:dyDescent="0.3">
      <c r="A818" s="22" t="s">
        <v>174</v>
      </c>
      <c r="B818" s="22" t="s">
        <v>1762</v>
      </c>
      <c r="C818" s="22" t="s">
        <v>176</v>
      </c>
      <c r="D818" s="23"/>
      <c r="E818" s="22" t="s">
        <v>1863</v>
      </c>
      <c r="F818" s="22"/>
      <c r="G818" s="22"/>
      <c r="H818" s="22"/>
      <c r="I818" s="22" t="s">
        <v>1718</v>
      </c>
      <c r="J818" s="22" t="s">
        <v>328</v>
      </c>
      <c r="K818" s="34"/>
    </row>
    <row r="819" spans="1:11" x14ac:dyDescent="0.3">
      <c r="A819" s="22" t="s">
        <v>174</v>
      </c>
      <c r="B819" s="22" t="s">
        <v>1762</v>
      </c>
      <c r="C819" s="22" t="s">
        <v>176</v>
      </c>
      <c r="D819" s="23"/>
      <c r="E819" s="22" t="s">
        <v>1864</v>
      </c>
      <c r="F819" s="22"/>
      <c r="G819" s="22"/>
      <c r="H819" s="22"/>
      <c r="I819" s="22" t="s">
        <v>1720</v>
      </c>
      <c r="J819" s="22" t="s">
        <v>331</v>
      </c>
      <c r="K819" s="34"/>
    </row>
    <row r="820" spans="1:11" x14ac:dyDescent="0.3">
      <c r="A820" s="22" t="s">
        <v>174</v>
      </c>
      <c r="B820" s="22" t="s">
        <v>1762</v>
      </c>
      <c r="C820" s="22" t="s">
        <v>176</v>
      </c>
      <c r="D820" s="23"/>
      <c r="E820" s="22" t="s">
        <v>1875</v>
      </c>
      <c r="F820" s="22"/>
      <c r="G820" s="22"/>
      <c r="H820" s="22"/>
      <c r="I820" s="22" t="s">
        <v>1876</v>
      </c>
      <c r="J820" s="22"/>
      <c r="K820" s="34"/>
    </row>
    <row r="821" spans="1:11" x14ac:dyDescent="0.3">
      <c r="A821" s="22" t="s">
        <v>174</v>
      </c>
      <c r="B821" s="22" t="s">
        <v>1762</v>
      </c>
      <c r="C821" s="22" t="s">
        <v>176</v>
      </c>
      <c r="D821" s="23"/>
      <c r="E821" s="22" t="s">
        <v>1877</v>
      </c>
      <c r="F821" s="29"/>
      <c r="G821" s="22"/>
      <c r="H821" s="22"/>
      <c r="I821" s="22" t="s">
        <v>1878</v>
      </c>
      <c r="J821" s="22"/>
      <c r="K821" s="34"/>
    </row>
    <row r="822" spans="1:11" x14ac:dyDescent="0.3">
      <c r="A822" s="22" t="s">
        <v>174</v>
      </c>
      <c r="B822" s="22" t="s">
        <v>1762</v>
      </c>
      <c r="C822" s="22" t="s">
        <v>176</v>
      </c>
      <c r="D822" s="23"/>
      <c r="E822" s="22" t="s">
        <v>1879</v>
      </c>
      <c r="F822" s="29"/>
      <c r="G822" s="22"/>
      <c r="H822" s="22"/>
      <c r="I822" s="22" t="s">
        <v>1880</v>
      </c>
      <c r="J822" s="22"/>
      <c r="K822" s="34"/>
    </row>
    <row r="823" spans="1:11" x14ac:dyDescent="0.3">
      <c r="A823" s="22" t="s">
        <v>174</v>
      </c>
      <c r="B823" s="22" t="s">
        <v>1762</v>
      </c>
      <c r="C823" s="22" t="s">
        <v>176</v>
      </c>
      <c r="D823" s="23"/>
      <c r="E823" s="22" t="s">
        <v>1881</v>
      </c>
      <c r="F823" s="29"/>
      <c r="G823" s="22"/>
      <c r="H823" s="22"/>
      <c r="I823" s="22" t="s">
        <v>1882</v>
      </c>
      <c r="J823" s="22"/>
      <c r="K823" s="34"/>
    </row>
    <row r="824" spans="1:11" x14ac:dyDescent="0.3">
      <c r="A824" s="22" t="s">
        <v>174</v>
      </c>
      <c r="B824" s="22" t="s">
        <v>1762</v>
      </c>
      <c r="C824" s="22" t="s">
        <v>176</v>
      </c>
      <c r="D824" s="23"/>
      <c r="E824" s="22" t="s">
        <v>1883</v>
      </c>
      <c r="F824" s="22"/>
      <c r="G824" s="22"/>
      <c r="H824" s="22"/>
      <c r="I824" s="22" t="s">
        <v>1884</v>
      </c>
      <c r="J824" s="22"/>
      <c r="K824" s="34"/>
    </row>
    <row r="825" spans="1:11" x14ac:dyDescent="0.3">
      <c r="A825" s="22" t="s">
        <v>174</v>
      </c>
      <c r="B825" s="22" t="s">
        <v>1762</v>
      </c>
      <c r="C825" s="22" t="s">
        <v>176</v>
      </c>
      <c r="D825" s="23"/>
      <c r="E825" s="22" t="s">
        <v>1885</v>
      </c>
      <c r="F825" s="22"/>
      <c r="G825" s="22"/>
      <c r="H825" s="22"/>
      <c r="I825" s="22" t="s">
        <v>1886</v>
      </c>
      <c r="J825" s="22"/>
      <c r="K825" s="34"/>
    </row>
    <row r="826" spans="1:11" x14ac:dyDescent="0.3">
      <c r="A826" s="22" t="s">
        <v>174</v>
      </c>
      <c r="B826" s="22" t="s">
        <v>1762</v>
      </c>
      <c r="C826" s="22" t="s">
        <v>87</v>
      </c>
      <c r="D826" s="23"/>
      <c r="E826" s="22" t="s">
        <v>1887</v>
      </c>
      <c r="F826" s="22"/>
      <c r="G826" s="23"/>
      <c r="H826" s="69"/>
      <c r="I826" s="22" t="s">
        <v>1888</v>
      </c>
      <c r="J826" s="22" t="s">
        <v>1855</v>
      </c>
      <c r="K826" s="34"/>
    </row>
    <row r="827" spans="1:11" x14ac:dyDescent="0.3">
      <c r="A827" s="22" t="s">
        <v>174</v>
      </c>
      <c r="B827" s="22" t="s">
        <v>1762</v>
      </c>
      <c r="C827" s="22" t="s">
        <v>93</v>
      </c>
      <c r="D827" s="23"/>
      <c r="E827" s="22" t="s">
        <v>1889</v>
      </c>
      <c r="F827" s="22"/>
      <c r="G827" s="23"/>
      <c r="H827" s="69"/>
      <c r="I827" s="22" t="s">
        <v>1890</v>
      </c>
      <c r="J827" s="22" t="s">
        <v>1855</v>
      </c>
      <c r="K827" s="34"/>
    </row>
    <row r="828" spans="1:11" x14ac:dyDescent="0.3">
      <c r="A828" s="22" t="s">
        <v>174</v>
      </c>
      <c r="B828" s="22" t="s">
        <v>1762</v>
      </c>
      <c r="C828" s="64" t="s">
        <v>90</v>
      </c>
      <c r="D828" s="23"/>
      <c r="E828" s="22" t="s">
        <v>1891</v>
      </c>
      <c r="F828" s="22"/>
      <c r="G828" s="23"/>
      <c r="H828" s="69"/>
      <c r="I828" s="22" t="s">
        <v>1892</v>
      </c>
      <c r="J828" s="22" t="s">
        <v>1855</v>
      </c>
      <c r="K828" s="34"/>
    </row>
    <row r="829" spans="1:11" x14ac:dyDescent="0.3">
      <c r="A829" s="22" t="s">
        <v>174</v>
      </c>
      <c r="B829" s="22" t="s">
        <v>1762</v>
      </c>
      <c r="C829" s="22" t="s">
        <v>87</v>
      </c>
      <c r="D829" s="23"/>
      <c r="E829" s="22" t="s">
        <v>1893</v>
      </c>
      <c r="F829" s="22"/>
      <c r="G829" s="23"/>
      <c r="H829" s="69"/>
      <c r="I829" s="22" t="s">
        <v>1888</v>
      </c>
      <c r="J829" s="22" t="s">
        <v>1894</v>
      </c>
      <c r="K829" s="34"/>
    </row>
    <row r="830" spans="1:11" x14ac:dyDescent="0.3">
      <c r="A830" s="22" t="s">
        <v>174</v>
      </c>
      <c r="B830" s="22" t="s">
        <v>1762</v>
      </c>
      <c r="C830" s="22" t="s">
        <v>93</v>
      </c>
      <c r="D830" s="23"/>
      <c r="E830" s="22" t="s">
        <v>1895</v>
      </c>
      <c r="F830" s="22"/>
      <c r="G830" s="23"/>
      <c r="H830" s="69"/>
      <c r="I830" s="22" t="s">
        <v>1890</v>
      </c>
      <c r="J830" s="22" t="s">
        <v>1894</v>
      </c>
      <c r="K830" s="34"/>
    </row>
    <row r="831" spans="1:11" x14ac:dyDescent="0.3">
      <c r="A831" s="22" t="s">
        <v>174</v>
      </c>
      <c r="B831" s="22" t="s">
        <v>1762</v>
      </c>
      <c r="C831" s="64" t="s">
        <v>90</v>
      </c>
      <c r="D831" s="23"/>
      <c r="E831" s="22" t="s">
        <v>1896</v>
      </c>
      <c r="F831" s="22"/>
      <c r="G831" s="23"/>
      <c r="H831" s="69"/>
      <c r="I831" s="22" t="s">
        <v>1892</v>
      </c>
      <c r="J831" s="22" t="s">
        <v>1894</v>
      </c>
      <c r="K831" s="34"/>
    </row>
    <row r="832" spans="1:11" x14ac:dyDescent="0.3">
      <c r="A832" s="22" t="s">
        <v>174</v>
      </c>
      <c r="B832" s="22" t="s">
        <v>1762</v>
      </c>
      <c r="C832" s="22" t="s">
        <v>87</v>
      </c>
      <c r="D832" s="23"/>
      <c r="E832" s="22" t="s">
        <v>1897</v>
      </c>
      <c r="F832" s="22"/>
      <c r="G832" s="23"/>
      <c r="H832" s="69"/>
      <c r="I832" s="22" t="s">
        <v>1888</v>
      </c>
      <c r="J832" s="22" t="s">
        <v>1898</v>
      </c>
      <c r="K832" s="34"/>
    </row>
    <row r="833" spans="1:11" x14ac:dyDescent="0.3">
      <c r="A833" s="22" t="s">
        <v>174</v>
      </c>
      <c r="B833" s="22" t="s">
        <v>1762</v>
      </c>
      <c r="C833" s="22" t="s">
        <v>93</v>
      </c>
      <c r="D833" s="23"/>
      <c r="E833" s="22" t="s">
        <v>1899</v>
      </c>
      <c r="F833" s="22"/>
      <c r="G833" s="23"/>
      <c r="H833" s="69"/>
      <c r="I833" s="22" t="s">
        <v>1890</v>
      </c>
      <c r="J833" s="22" t="s">
        <v>1898</v>
      </c>
      <c r="K833" s="34"/>
    </row>
    <row r="834" spans="1:11" x14ac:dyDescent="0.3">
      <c r="A834" s="22" t="s">
        <v>174</v>
      </c>
      <c r="B834" s="22" t="s">
        <v>1762</v>
      </c>
      <c r="C834" s="64" t="s">
        <v>90</v>
      </c>
      <c r="D834" s="23"/>
      <c r="E834" s="22" t="s">
        <v>1900</v>
      </c>
      <c r="F834" s="22"/>
      <c r="G834" s="23"/>
      <c r="H834" s="69"/>
      <c r="I834" s="22" t="s">
        <v>1892</v>
      </c>
      <c r="J834" s="22" t="s">
        <v>1898</v>
      </c>
      <c r="K834" s="34"/>
    </row>
    <row r="835" spans="1:11" x14ac:dyDescent="0.3">
      <c r="A835" s="22" t="s">
        <v>174</v>
      </c>
      <c r="B835" s="22" t="s">
        <v>1762</v>
      </c>
      <c r="C835" s="22" t="s">
        <v>176</v>
      </c>
      <c r="D835" s="23"/>
      <c r="E835" s="22" t="s">
        <v>1901</v>
      </c>
      <c r="F835" s="22"/>
      <c r="G835" s="22">
        <v>15</v>
      </c>
      <c r="H835" s="22"/>
      <c r="I835" s="22" t="s">
        <v>757</v>
      </c>
      <c r="J835" s="22"/>
      <c r="K835" s="34"/>
    </row>
    <row r="836" spans="1:11" x14ac:dyDescent="0.3">
      <c r="A836" s="22" t="s">
        <v>174</v>
      </c>
      <c r="B836" s="22" t="s">
        <v>1762</v>
      </c>
      <c r="C836" s="22" t="s">
        <v>176</v>
      </c>
      <c r="D836" s="23"/>
      <c r="E836" s="22" t="s">
        <v>1902</v>
      </c>
      <c r="F836" s="22"/>
      <c r="G836" s="22">
        <v>20</v>
      </c>
      <c r="H836" s="22"/>
      <c r="I836" s="22" t="s">
        <v>1352</v>
      </c>
      <c r="J836" s="22"/>
      <c r="K836" s="34"/>
    </row>
    <row r="837" spans="1:11" x14ac:dyDescent="0.3">
      <c r="A837" s="22" t="s">
        <v>174</v>
      </c>
      <c r="B837" s="22" t="s">
        <v>1762</v>
      </c>
      <c r="C837" s="22" t="s">
        <v>176</v>
      </c>
      <c r="D837" s="23"/>
      <c r="E837" s="22" t="s">
        <v>1903</v>
      </c>
      <c r="F837" s="22"/>
      <c r="G837" s="22">
        <v>20</v>
      </c>
      <c r="H837" s="22"/>
      <c r="I837" s="22" t="s">
        <v>1361</v>
      </c>
      <c r="J837" s="22"/>
      <c r="K837" s="34"/>
    </row>
    <row r="838" spans="1:11" x14ac:dyDescent="0.3">
      <c r="A838" s="22" t="s">
        <v>174</v>
      </c>
      <c r="B838" s="22" t="s">
        <v>1762</v>
      </c>
      <c r="C838" s="22" t="s">
        <v>176</v>
      </c>
      <c r="D838" s="23"/>
      <c r="E838" s="22" t="s">
        <v>1904</v>
      </c>
      <c r="F838" s="22"/>
      <c r="G838" s="22">
        <v>20</v>
      </c>
      <c r="H838" s="22"/>
      <c r="I838" s="22" t="s">
        <v>1905</v>
      </c>
      <c r="J838" s="22"/>
      <c r="K838" s="34"/>
    </row>
    <row r="839" spans="1:11" x14ac:dyDescent="0.3">
      <c r="A839" s="22" t="s">
        <v>174</v>
      </c>
      <c r="B839" s="22" t="s">
        <v>1762</v>
      </c>
      <c r="C839" s="22" t="s">
        <v>176</v>
      </c>
      <c r="D839" s="68"/>
      <c r="E839" s="22" t="s">
        <v>1906</v>
      </c>
      <c r="F839" s="23"/>
      <c r="G839" s="22">
        <v>30</v>
      </c>
      <c r="H839" s="22"/>
      <c r="I839" s="22" t="s">
        <v>1907</v>
      </c>
      <c r="J839" s="22"/>
      <c r="K839" s="34"/>
    </row>
    <row r="840" spans="1:11" x14ac:dyDescent="0.3">
      <c r="A840" s="22" t="s">
        <v>174</v>
      </c>
      <c r="B840" s="22" t="s">
        <v>1762</v>
      </c>
      <c r="C840" s="22" t="s">
        <v>176</v>
      </c>
      <c r="D840" s="68"/>
      <c r="E840" s="22" t="s">
        <v>1908</v>
      </c>
      <c r="F840" s="23"/>
      <c r="G840" s="22">
        <v>30</v>
      </c>
      <c r="H840" s="22"/>
      <c r="I840" s="22" t="s">
        <v>1500</v>
      </c>
      <c r="J840" s="22"/>
      <c r="K840" s="34"/>
    </row>
    <row r="841" spans="1:11" x14ac:dyDescent="0.3">
      <c r="A841" s="22" t="s">
        <v>174</v>
      </c>
      <c r="B841" s="22" t="s">
        <v>1762</v>
      </c>
      <c r="C841" s="22" t="s">
        <v>176</v>
      </c>
      <c r="D841" s="68"/>
      <c r="E841" s="22" t="s">
        <v>1909</v>
      </c>
      <c r="F841" s="23"/>
      <c r="G841" s="22">
        <v>30</v>
      </c>
      <c r="H841" s="22"/>
      <c r="I841" s="22" t="s">
        <v>1500</v>
      </c>
      <c r="J841" s="22"/>
    </row>
  </sheetData>
  <autoFilter ref="A2:J841" xr:uid="{0589429A-2639-4C1F-A132-53B317C25706}">
    <sortState xmlns:xlrd2="http://schemas.microsoft.com/office/spreadsheetml/2017/richdata2" ref="A3:J841">
      <sortCondition ref="F2:F841"/>
    </sortState>
  </autoFilter>
  <mergeCells count="9">
    <mergeCell ref="A1:J1"/>
    <mergeCell ref="AX1:BC1"/>
    <mergeCell ref="AA1:AD1"/>
    <mergeCell ref="BY1:CZ1"/>
    <mergeCell ref="AF1:AK1"/>
    <mergeCell ref="AL1:AR1"/>
    <mergeCell ref="AS1:AW1"/>
    <mergeCell ref="BE1:BW1"/>
    <mergeCell ref="K1:Y1"/>
  </mergeCells>
  <phoneticPr fontId="1" type="noConversion"/>
  <conditionalFormatting sqref="D186:D187">
    <cfRule type="cellIs" dxfId="4" priority="5" operator="between">
      <formula>1</formula>
      <formula>1111</formula>
    </cfRule>
  </conditionalFormatting>
  <conditionalFormatting sqref="D200:D208">
    <cfRule type="cellIs" dxfId="3" priority="4" operator="between">
      <formula>1</formula>
      <formula>1111</formula>
    </cfRule>
  </conditionalFormatting>
  <conditionalFormatting sqref="D212">
    <cfRule type="cellIs" dxfId="2" priority="3" operator="between">
      <formula>1</formula>
      <formula>1111</formula>
    </cfRule>
  </conditionalFormatting>
  <conditionalFormatting sqref="D214:D217">
    <cfRule type="cellIs" dxfId="1" priority="2" operator="between">
      <formula>1</formula>
      <formula>1111</formula>
    </cfRule>
  </conditionalFormatting>
  <conditionalFormatting sqref="D270">
    <cfRule type="cellIs" dxfId="0" priority="1" operator="between">
      <formula>1</formula>
      <formula>1111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A206"/>
  <sheetViews>
    <sheetView topLeftCell="E1" workbookViewId="0">
      <selection activeCell="P18" sqref="P18"/>
    </sheetView>
  </sheetViews>
  <sheetFormatPr defaultRowHeight="14.25" x14ac:dyDescent="0.2"/>
  <cols>
    <col min="4" max="4" width="49.125" bestFit="1" customWidth="1"/>
    <col min="5" max="5" width="31.875" bestFit="1" customWidth="1"/>
    <col min="6" max="10" width="9" style="94"/>
    <col min="11" max="11" width="11.25" style="94" bestFit="1" customWidth="1"/>
    <col min="12" max="12" width="15.375" style="94" bestFit="1" customWidth="1"/>
    <col min="13" max="13" width="34.875" style="94" bestFit="1" customWidth="1"/>
    <col min="14" max="14" width="15.375" style="94" customWidth="1"/>
    <col min="15" max="15" width="20.25" style="94" customWidth="1"/>
    <col min="16" max="16" width="15.375" style="94" customWidth="1"/>
    <col min="17" max="17" width="9" style="159"/>
    <col min="20" max="20" width="9" style="159"/>
    <col min="23" max="23" width="9" style="159"/>
  </cols>
  <sheetData>
    <row r="1" spans="1:27" ht="18" x14ac:dyDescent="0.2">
      <c r="A1" s="283" t="s">
        <v>2384</v>
      </c>
      <c r="B1" s="283"/>
      <c r="C1" s="283"/>
      <c r="D1" s="283"/>
      <c r="E1" s="283"/>
      <c r="F1" s="283"/>
      <c r="G1" s="283"/>
      <c r="H1" s="283"/>
      <c r="I1" s="283"/>
      <c r="J1" s="283"/>
      <c r="K1" s="174"/>
      <c r="L1" s="174"/>
      <c r="M1" s="174"/>
      <c r="N1" s="174"/>
      <c r="O1" s="174"/>
      <c r="P1" s="174"/>
      <c r="Q1" s="284" t="s">
        <v>1974</v>
      </c>
      <c r="R1" s="284"/>
      <c r="S1" s="284"/>
      <c r="T1" s="284"/>
      <c r="U1" s="284"/>
      <c r="V1" s="284"/>
      <c r="W1" s="284"/>
      <c r="X1" s="284"/>
      <c r="Y1" s="284"/>
      <c r="Z1" s="284"/>
      <c r="AA1" s="284"/>
    </row>
    <row r="2" spans="1:27" ht="18" x14ac:dyDescent="0.25">
      <c r="A2" s="21" t="s">
        <v>49</v>
      </c>
      <c r="B2" s="21" t="s">
        <v>50</v>
      </c>
      <c r="C2" s="21" t="s">
        <v>54</v>
      </c>
      <c r="D2" s="21" t="s">
        <v>77</v>
      </c>
      <c r="E2" s="21" t="s">
        <v>62</v>
      </c>
      <c r="F2" s="282" t="s">
        <v>25</v>
      </c>
      <c r="G2" s="282"/>
      <c r="H2" s="282"/>
      <c r="I2" s="282"/>
      <c r="J2" s="282"/>
      <c r="K2" s="288" t="s">
        <v>3773</v>
      </c>
      <c r="L2" s="289"/>
      <c r="M2" s="288" t="s">
        <v>3783</v>
      </c>
      <c r="N2" s="289"/>
      <c r="O2" s="202"/>
      <c r="P2" s="202"/>
      <c r="Q2" s="285" t="s">
        <v>1975</v>
      </c>
      <c r="R2" s="286"/>
      <c r="S2" s="287"/>
      <c r="T2" s="279" t="s">
        <v>2077</v>
      </c>
      <c r="U2" s="280"/>
      <c r="V2" s="281"/>
      <c r="W2" s="279" t="s">
        <v>2179</v>
      </c>
      <c r="X2" s="281"/>
      <c r="Y2" s="279" t="s">
        <v>2281</v>
      </c>
      <c r="Z2" s="280"/>
      <c r="AA2" s="281"/>
    </row>
    <row r="3" spans="1:27" ht="15.75" x14ac:dyDescent="0.3">
      <c r="A3" s="22" t="s">
        <v>1974</v>
      </c>
      <c r="B3" s="22" t="s">
        <v>1975</v>
      </c>
      <c r="C3" s="23" t="s">
        <v>1976</v>
      </c>
      <c r="D3" s="22">
        <v>0</v>
      </c>
      <c r="E3" s="22" t="str">
        <f>"洗髓丹"&amp;O4&amp;"/元宝"&amp;P4</f>
        <v>洗髓丹2/元宝2000</v>
      </c>
      <c r="F3" s="203" t="s">
        <v>55</v>
      </c>
      <c r="G3" s="203" t="s">
        <v>3798</v>
      </c>
      <c r="H3" s="157" t="s">
        <v>37</v>
      </c>
      <c r="I3" s="157" t="s">
        <v>3</v>
      </c>
      <c r="J3" s="157" t="s">
        <v>2</v>
      </c>
      <c r="K3" s="200" t="s">
        <v>3758</v>
      </c>
      <c r="L3" s="200" t="s">
        <v>3771</v>
      </c>
      <c r="M3" s="200" t="s">
        <v>3781</v>
      </c>
      <c r="N3" s="200" t="s">
        <v>3777</v>
      </c>
      <c r="O3" s="200" t="s">
        <v>3803</v>
      </c>
      <c r="P3" s="200" t="s">
        <v>3799</v>
      </c>
      <c r="Q3" s="157" t="s">
        <v>36</v>
      </c>
      <c r="R3" s="96" t="s">
        <v>2385</v>
      </c>
      <c r="S3" s="96" t="s">
        <v>2391</v>
      </c>
      <c r="T3" s="157" t="s">
        <v>2</v>
      </c>
      <c r="U3" s="96" t="s">
        <v>2390</v>
      </c>
      <c r="V3" s="96" t="s">
        <v>2389</v>
      </c>
      <c r="W3" s="157" t="s">
        <v>3</v>
      </c>
      <c r="X3" s="96" t="s">
        <v>2388</v>
      </c>
      <c r="Y3" s="96" t="s">
        <v>1930</v>
      </c>
      <c r="Z3" s="96" t="s">
        <v>2386</v>
      </c>
      <c r="AA3" s="96" t="s">
        <v>2387</v>
      </c>
    </row>
    <row r="4" spans="1:27" ht="16.5" x14ac:dyDescent="0.3">
      <c r="A4" s="22" t="s">
        <v>1974</v>
      </c>
      <c r="B4" s="22" t="s">
        <v>1975</v>
      </c>
      <c r="C4" s="23" t="s">
        <v>1977</v>
      </c>
      <c r="D4" s="22" t="s">
        <v>1978</v>
      </c>
      <c r="E4" s="22" t="str">
        <f t="shared" ref="E4:E22" si="0">"洗髓丹"&amp;O5&amp;"/元宝"&amp;P5</f>
        <v>洗髓丹2/元宝2000</v>
      </c>
      <c r="F4" s="158">
        <v>1</v>
      </c>
      <c r="G4" s="158">
        <f>材料产出!C8</f>
        <v>0.9</v>
      </c>
      <c r="H4" s="158">
        <f t="shared" ref="H4:H51" si="1">F4/F$53*H$53</f>
        <v>100</v>
      </c>
      <c r="I4" s="158">
        <f t="shared" ref="I4:I51" si="2">F4/F$53*I$53</f>
        <v>10</v>
      </c>
      <c r="J4" s="158">
        <f t="shared" ref="J4:J51" si="3">F4/F$53*J$53</f>
        <v>5</v>
      </c>
      <c r="K4" s="201">
        <f>H4*属性价值参考!C$5+龙魂炼体!I4*(属性价值参考!C$7+属性价值参考!C$8)+龙魂炼体!J4*(属性价值参考!C$9+属性价值参考!C$10)</f>
        <v>1494</v>
      </c>
      <c r="L4" s="201">
        <f>R4*属性价值参考!C$22+S4*属性价值参考!C$23+龙魂炼体!U4*属性价值参考!C$24+龙魂炼体!V4*属性价值参考!C$16+龙魂炼体!X4*属性价值参考!C$19+龙魂炼体!Y4*属性价值参考!C$13+龙魂炼体!Z4*属性价值参考!C$25+龙魂炼体!AA4*属性价值参考!C$30</f>
        <v>843.52</v>
      </c>
      <c r="M4" s="201">
        <f>(K4+L4)/51*1</f>
        <v>45.83372549019608</v>
      </c>
      <c r="N4" s="201">
        <f t="shared" ref="N4:N52" si="4">(K4+L4)/51*1000</f>
        <v>45833.725490196077</v>
      </c>
      <c r="O4" s="158">
        <f>ROUND(材料产出!T11,0)</f>
        <v>2</v>
      </c>
      <c r="P4" s="158">
        <f t="shared" ref="P4:P23" si="5">O4*1000</f>
        <v>2000</v>
      </c>
      <c r="Q4" s="158">
        <f t="shared" ref="Q4:Q52" si="6">H4</f>
        <v>100</v>
      </c>
      <c r="R4" s="97">
        <v>50</v>
      </c>
      <c r="S4" s="97"/>
      <c r="T4" s="158">
        <f>J4</f>
        <v>5</v>
      </c>
      <c r="U4" s="97">
        <v>1</v>
      </c>
      <c r="V4" s="97"/>
      <c r="W4" s="158">
        <f>I4</f>
        <v>10</v>
      </c>
      <c r="X4" s="97">
        <v>1</v>
      </c>
      <c r="Y4" s="97">
        <v>2</v>
      </c>
      <c r="Z4" s="97">
        <v>100</v>
      </c>
      <c r="AA4" s="97"/>
    </row>
    <row r="5" spans="1:27" ht="16.5" x14ac:dyDescent="0.3">
      <c r="A5" s="22" t="s">
        <v>1974</v>
      </c>
      <c r="B5" s="22" t="s">
        <v>1975</v>
      </c>
      <c r="C5" s="23" t="s">
        <v>1979</v>
      </c>
      <c r="D5" s="22" t="s">
        <v>1980</v>
      </c>
      <c r="E5" s="22" t="str">
        <f t="shared" si="0"/>
        <v>洗髓丹2/元宝2000</v>
      </c>
      <c r="F5" s="158">
        <v>2</v>
      </c>
      <c r="G5" s="158">
        <f>材料产出!C9</f>
        <v>1</v>
      </c>
      <c r="H5" s="158">
        <f t="shared" si="1"/>
        <v>200</v>
      </c>
      <c r="I5" s="158">
        <f t="shared" si="2"/>
        <v>20</v>
      </c>
      <c r="J5" s="158">
        <f t="shared" si="3"/>
        <v>10</v>
      </c>
      <c r="K5" s="201">
        <f>H5*属性价值参考!C$5+龙魂炼体!I5*(属性价值参考!C$7+属性价值参考!C$8)+龙魂炼体!J5*(属性价值参考!C$9+属性价值参考!C$10)</f>
        <v>2988</v>
      </c>
      <c r="L5" s="201">
        <f>R5*属性价值参考!C$22+S5*属性价值参考!C$23+龙魂炼体!U5*属性价值参考!C$24+龙魂炼体!V5*属性价值参考!C$16+龙魂炼体!X5*属性价值参考!C$19+龙魂炼体!Y5*属性价值参考!C$13+龙魂炼体!Z5*属性价值参考!C$25+龙魂炼体!AA5*属性价值参考!C$30</f>
        <v>1687.04</v>
      </c>
      <c r="M5" s="201">
        <f t="shared" ref="M5:M52" si="7">(K5+L5)/51*1</f>
        <v>91.667450980392161</v>
      </c>
      <c r="N5" s="201">
        <f t="shared" si="4"/>
        <v>91667.450980392154</v>
      </c>
      <c r="O5" s="158">
        <f>ROUND(材料产出!T12,0)</f>
        <v>2</v>
      </c>
      <c r="P5" s="158">
        <f t="shared" si="5"/>
        <v>2000</v>
      </c>
      <c r="Q5" s="158">
        <f t="shared" si="6"/>
        <v>200</v>
      </c>
      <c r="R5" s="97">
        <v>100</v>
      </c>
      <c r="S5" s="97"/>
      <c r="T5" s="158">
        <f t="shared" ref="T5:T53" si="8">J5</f>
        <v>10</v>
      </c>
      <c r="U5" s="97">
        <v>2</v>
      </c>
      <c r="V5" s="97"/>
      <c r="W5" s="158">
        <f t="shared" ref="W5:W53" si="9">I5</f>
        <v>20</v>
      </c>
      <c r="X5" s="97">
        <v>2</v>
      </c>
      <c r="Y5" s="97">
        <v>4</v>
      </c>
      <c r="Z5" s="97">
        <v>200</v>
      </c>
      <c r="AA5" s="97"/>
    </row>
    <row r="6" spans="1:27" ht="16.5" x14ac:dyDescent="0.3">
      <c r="A6" s="22" t="s">
        <v>1974</v>
      </c>
      <c r="B6" s="22" t="s">
        <v>1975</v>
      </c>
      <c r="C6" s="23" t="s">
        <v>1981</v>
      </c>
      <c r="D6" s="22" t="s">
        <v>1982</v>
      </c>
      <c r="E6" s="22" t="str">
        <f t="shared" si="0"/>
        <v>洗髓丹3/元宝3000</v>
      </c>
      <c r="F6" s="158">
        <v>3</v>
      </c>
      <c r="G6" s="158">
        <f>材料产出!C10</f>
        <v>1.1000000000000001</v>
      </c>
      <c r="H6" s="158">
        <f t="shared" si="1"/>
        <v>300</v>
      </c>
      <c r="I6" s="158">
        <f t="shared" si="2"/>
        <v>30</v>
      </c>
      <c r="J6" s="158">
        <f t="shared" si="3"/>
        <v>15</v>
      </c>
      <c r="K6" s="201">
        <f>H6*属性价值参考!C$5+龙魂炼体!I6*(属性价值参考!C$7+属性价值参考!C$8)+龙魂炼体!J6*(属性价值参考!C$9+属性价值参考!C$10)</f>
        <v>4482</v>
      </c>
      <c r="L6" s="201">
        <f>R6*属性价值参考!C$22+S6*属性价值参考!C$23+龙魂炼体!U6*属性价值参考!C$24+龙魂炼体!V6*属性价值参考!C$16+龙魂炼体!X6*属性价值参考!C$19+龙魂炼体!Y6*属性价值参考!C$13+龙魂炼体!Z6*属性价值参考!C$25+龙魂炼体!AA6*属性价值参考!C$30</f>
        <v>2530.56</v>
      </c>
      <c r="M6" s="201">
        <f t="shared" si="7"/>
        <v>137.50117647058823</v>
      </c>
      <c r="N6" s="201">
        <f t="shared" si="4"/>
        <v>137501.17647058822</v>
      </c>
      <c r="O6" s="158">
        <f>ROUND(材料产出!T13,0)</f>
        <v>2</v>
      </c>
      <c r="P6" s="158">
        <f t="shared" si="5"/>
        <v>2000</v>
      </c>
      <c r="Q6" s="158">
        <f t="shared" si="6"/>
        <v>300</v>
      </c>
      <c r="R6" s="97">
        <v>150</v>
      </c>
      <c r="S6" s="97"/>
      <c r="T6" s="158">
        <f t="shared" si="8"/>
        <v>15</v>
      </c>
      <c r="U6" s="97">
        <v>3</v>
      </c>
      <c r="V6" s="97"/>
      <c r="W6" s="158">
        <f t="shared" si="9"/>
        <v>30</v>
      </c>
      <c r="X6" s="97">
        <v>3</v>
      </c>
      <c r="Y6" s="97">
        <v>6</v>
      </c>
      <c r="Z6" s="97">
        <v>300</v>
      </c>
      <c r="AA6" s="97"/>
    </row>
    <row r="7" spans="1:27" ht="16.5" x14ac:dyDescent="0.3">
      <c r="A7" s="22" t="s">
        <v>1974</v>
      </c>
      <c r="B7" s="22" t="s">
        <v>1975</v>
      </c>
      <c r="C7" s="23" t="s">
        <v>1983</v>
      </c>
      <c r="D7" s="22" t="s">
        <v>1984</v>
      </c>
      <c r="E7" s="22" t="str">
        <f t="shared" si="0"/>
        <v>洗髓丹15/元宝15000</v>
      </c>
      <c r="F7" s="158">
        <v>4</v>
      </c>
      <c r="G7" s="158">
        <f>材料产出!C11</f>
        <v>1.2</v>
      </c>
      <c r="H7" s="158">
        <f t="shared" si="1"/>
        <v>400</v>
      </c>
      <c r="I7" s="158">
        <f t="shared" si="2"/>
        <v>40</v>
      </c>
      <c r="J7" s="158">
        <f t="shared" si="3"/>
        <v>20</v>
      </c>
      <c r="K7" s="201">
        <f>H7*属性价值参考!C$5+龙魂炼体!I7*(属性价值参考!C$7+属性价值参考!C$8)+龙魂炼体!J7*(属性价值参考!C$9+属性价值参考!C$10)</f>
        <v>5976</v>
      </c>
      <c r="L7" s="201">
        <f>R7*属性价值参考!C$22+S7*属性价值参考!C$23+龙魂炼体!U7*属性价值参考!C$24+龙魂炼体!V7*属性价值参考!C$16+龙魂炼体!X7*属性价值参考!C$19+龙魂炼体!Y7*属性价值参考!C$13+龙魂炼体!Z7*属性价值参考!C$25+龙魂炼体!AA7*属性价值参考!C$30</f>
        <v>3374.08</v>
      </c>
      <c r="M7" s="201">
        <f t="shared" si="7"/>
        <v>183.33490196078432</v>
      </c>
      <c r="N7" s="201">
        <f t="shared" si="4"/>
        <v>183334.90196078431</v>
      </c>
      <c r="O7" s="158">
        <f>ROUND(材料产出!T14,0)</f>
        <v>3</v>
      </c>
      <c r="P7" s="158">
        <f t="shared" si="5"/>
        <v>3000</v>
      </c>
      <c r="Q7" s="158">
        <f t="shared" si="6"/>
        <v>400</v>
      </c>
      <c r="R7" s="97">
        <v>200</v>
      </c>
      <c r="S7" s="97"/>
      <c r="T7" s="158">
        <f t="shared" si="8"/>
        <v>20</v>
      </c>
      <c r="U7" s="97">
        <v>4</v>
      </c>
      <c r="V7" s="97"/>
      <c r="W7" s="158">
        <f t="shared" si="9"/>
        <v>40</v>
      </c>
      <c r="X7" s="97">
        <v>4</v>
      </c>
      <c r="Y7" s="97">
        <v>8</v>
      </c>
      <c r="Z7" s="97">
        <v>400</v>
      </c>
      <c r="AA7" s="97"/>
    </row>
    <row r="8" spans="1:27" ht="16.5" x14ac:dyDescent="0.3">
      <c r="A8" s="22" t="s">
        <v>1974</v>
      </c>
      <c r="B8" s="22" t="s">
        <v>1975</v>
      </c>
      <c r="C8" s="23" t="s">
        <v>1985</v>
      </c>
      <c r="D8" s="22" t="s">
        <v>1986</v>
      </c>
      <c r="E8" s="22" t="str">
        <f t="shared" si="0"/>
        <v>洗髓丹17/元宝17000</v>
      </c>
      <c r="F8" s="158">
        <v>5</v>
      </c>
      <c r="G8" s="158">
        <f>材料产出!C12</f>
        <v>1.3</v>
      </c>
      <c r="H8" s="158">
        <f t="shared" si="1"/>
        <v>500</v>
      </c>
      <c r="I8" s="158">
        <f t="shared" si="2"/>
        <v>50</v>
      </c>
      <c r="J8" s="158">
        <f t="shared" si="3"/>
        <v>25</v>
      </c>
      <c r="K8" s="201">
        <f>H8*属性价值参考!C$5+龙魂炼体!I8*(属性价值参考!C$7+属性价值参考!C$8)+龙魂炼体!J8*(属性价值参考!C$9+属性价值参考!C$10)</f>
        <v>7470</v>
      </c>
      <c r="L8" s="201">
        <f>R8*属性价值参考!C$22+S8*属性价值参考!C$23+龙魂炼体!U8*属性价值参考!C$24+龙魂炼体!V8*属性价值参考!C$16+龙魂炼体!X8*属性价值参考!C$19+龙魂炼体!Y8*属性价值参考!C$13+龙魂炼体!Z8*属性价值参考!C$25+龙魂炼体!AA8*属性价值参考!C$30</f>
        <v>4217.6000000000004</v>
      </c>
      <c r="M8" s="201">
        <f t="shared" si="7"/>
        <v>229.16862745098041</v>
      </c>
      <c r="N8" s="201">
        <f t="shared" si="4"/>
        <v>229168.62745098042</v>
      </c>
      <c r="O8" s="158">
        <f>ROUND(材料产出!T15,0)</f>
        <v>15</v>
      </c>
      <c r="P8" s="158">
        <f t="shared" si="5"/>
        <v>15000</v>
      </c>
      <c r="Q8" s="158">
        <f t="shared" si="6"/>
        <v>500</v>
      </c>
      <c r="R8" s="97">
        <v>250</v>
      </c>
      <c r="S8" s="97"/>
      <c r="T8" s="158">
        <f t="shared" si="8"/>
        <v>25</v>
      </c>
      <c r="U8" s="97">
        <v>5</v>
      </c>
      <c r="V8" s="97"/>
      <c r="W8" s="158">
        <f t="shared" si="9"/>
        <v>50</v>
      </c>
      <c r="X8" s="97">
        <v>5</v>
      </c>
      <c r="Y8" s="97">
        <v>10</v>
      </c>
      <c r="Z8" s="97">
        <v>500</v>
      </c>
      <c r="AA8" s="97"/>
    </row>
    <row r="9" spans="1:27" ht="16.5" x14ac:dyDescent="0.3">
      <c r="A9" s="22" t="s">
        <v>1974</v>
      </c>
      <c r="B9" s="22" t="s">
        <v>1975</v>
      </c>
      <c r="C9" s="23" t="s">
        <v>1987</v>
      </c>
      <c r="D9" s="22" t="s">
        <v>1988</v>
      </c>
      <c r="E9" s="22" t="str">
        <f t="shared" si="0"/>
        <v>洗髓丹20/元宝20000</v>
      </c>
      <c r="F9" s="158">
        <v>6</v>
      </c>
      <c r="G9" s="158">
        <f>材料产出!C13</f>
        <v>1.5</v>
      </c>
      <c r="H9" s="158">
        <f t="shared" si="1"/>
        <v>600</v>
      </c>
      <c r="I9" s="158">
        <f t="shared" si="2"/>
        <v>60</v>
      </c>
      <c r="J9" s="158">
        <f t="shared" si="3"/>
        <v>30</v>
      </c>
      <c r="K9" s="201">
        <f>H9*属性价值参考!C$5+龙魂炼体!I9*(属性价值参考!C$7+属性价值参考!C$8)+龙魂炼体!J9*(属性价值参考!C$9+属性价值参考!C$10)</f>
        <v>8964</v>
      </c>
      <c r="L9" s="201">
        <f>R9*属性价值参考!C$22+S9*属性价值参考!C$23+龙魂炼体!U9*属性价值参考!C$24+龙魂炼体!V9*属性价值参考!C$16+龙魂炼体!X9*属性价值参考!C$19+龙魂炼体!Y9*属性价值参考!C$13+龙魂炼体!Z9*属性价值参考!C$25+龙魂炼体!AA9*属性价值参考!C$30</f>
        <v>5061.12</v>
      </c>
      <c r="M9" s="201">
        <f t="shared" si="7"/>
        <v>275.00235294117647</v>
      </c>
      <c r="N9" s="201">
        <f t="shared" si="4"/>
        <v>275002.35294117645</v>
      </c>
      <c r="O9" s="158">
        <f>ROUND(材料产出!T16,0)</f>
        <v>17</v>
      </c>
      <c r="P9" s="158">
        <f t="shared" si="5"/>
        <v>17000</v>
      </c>
      <c r="Q9" s="158">
        <f t="shared" si="6"/>
        <v>600</v>
      </c>
      <c r="R9" s="97">
        <v>300</v>
      </c>
      <c r="S9" s="97"/>
      <c r="T9" s="158">
        <f t="shared" si="8"/>
        <v>30</v>
      </c>
      <c r="U9" s="97">
        <v>6</v>
      </c>
      <c r="V9" s="97"/>
      <c r="W9" s="158">
        <f t="shared" si="9"/>
        <v>60</v>
      </c>
      <c r="X9" s="97">
        <v>6</v>
      </c>
      <c r="Y9" s="97">
        <v>12</v>
      </c>
      <c r="Z9" s="97">
        <v>600</v>
      </c>
      <c r="AA9" s="97"/>
    </row>
    <row r="10" spans="1:27" ht="16.5" x14ac:dyDescent="0.3">
      <c r="A10" s="22" t="s">
        <v>1974</v>
      </c>
      <c r="B10" s="22" t="s">
        <v>1975</v>
      </c>
      <c r="C10" s="23" t="s">
        <v>1989</v>
      </c>
      <c r="D10" s="22" t="s">
        <v>1990</v>
      </c>
      <c r="E10" s="22" t="str">
        <f t="shared" si="0"/>
        <v>洗髓丹23/元宝23000</v>
      </c>
      <c r="F10" s="158">
        <v>7</v>
      </c>
      <c r="G10" s="158">
        <f>材料产出!C14</f>
        <v>1.8</v>
      </c>
      <c r="H10" s="158">
        <f t="shared" si="1"/>
        <v>700.00000000000011</v>
      </c>
      <c r="I10" s="158">
        <f t="shared" si="2"/>
        <v>70</v>
      </c>
      <c r="J10" s="158">
        <f t="shared" si="3"/>
        <v>35</v>
      </c>
      <c r="K10" s="201">
        <f>H10*属性价值参考!C$5+龙魂炼体!I10*(属性价值参考!C$7+属性价值参考!C$8)+龙魂炼体!J10*(属性价值参考!C$9+属性价值参考!C$10)</f>
        <v>10458</v>
      </c>
      <c r="L10" s="201">
        <f>R10*属性价值参考!C$22+S10*属性价值参考!C$23+龙魂炼体!U10*属性价值参考!C$24+龙魂炼体!V10*属性价值参考!C$16+龙魂炼体!X10*属性价值参考!C$19+龙魂炼体!Y10*属性价值参考!C$13+龙魂炼体!Z10*属性价值参考!C$25+龙魂炼体!AA10*属性价值参考!C$30</f>
        <v>5904.6399999999994</v>
      </c>
      <c r="M10" s="201">
        <f t="shared" si="7"/>
        <v>320.83607843137253</v>
      </c>
      <c r="N10" s="201">
        <f t="shared" si="4"/>
        <v>320836.07843137253</v>
      </c>
      <c r="O10" s="158">
        <f>ROUND(材料产出!T17,0)</f>
        <v>20</v>
      </c>
      <c r="P10" s="158">
        <f t="shared" si="5"/>
        <v>20000</v>
      </c>
      <c r="Q10" s="158">
        <f t="shared" si="6"/>
        <v>700.00000000000011</v>
      </c>
      <c r="R10" s="97">
        <v>350</v>
      </c>
      <c r="S10" s="97"/>
      <c r="T10" s="158">
        <f t="shared" si="8"/>
        <v>35</v>
      </c>
      <c r="U10" s="97">
        <v>7</v>
      </c>
      <c r="V10" s="97"/>
      <c r="W10" s="158">
        <f t="shared" si="9"/>
        <v>70</v>
      </c>
      <c r="X10" s="97">
        <v>7</v>
      </c>
      <c r="Y10" s="97">
        <v>14</v>
      </c>
      <c r="Z10" s="97">
        <v>700</v>
      </c>
      <c r="AA10" s="97"/>
    </row>
    <row r="11" spans="1:27" ht="16.5" x14ac:dyDescent="0.3">
      <c r="A11" s="22" t="s">
        <v>1974</v>
      </c>
      <c r="B11" s="22" t="s">
        <v>1975</v>
      </c>
      <c r="C11" s="23" t="s">
        <v>1991</v>
      </c>
      <c r="D11" s="22" t="s">
        <v>1992</v>
      </c>
      <c r="E11" s="22" t="str">
        <f t="shared" si="0"/>
        <v>洗髓丹25/元宝25000</v>
      </c>
      <c r="F11" s="158">
        <v>8</v>
      </c>
      <c r="G11" s="158">
        <f>材料产出!C15</f>
        <v>2.1</v>
      </c>
      <c r="H11" s="158">
        <f t="shared" si="1"/>
        <v>800</v>
      </c>
      <c r="I11" s="158">
        <f t="shared" si="2"/>
        <v>80</v>
      </c>
      <c r="J11" s="158">
        <f t="shared" si="3"/>
        <v>40</v>
      </c>
      <c r="K11" s="201">
        <f>H11*属性价值参考!C$5+龙魂炼体!I11*(属性价值参考!C$7+属性价值参考!C$8)+龙魂炼体!J11*(属性价值参考!C$9+属性价值参考!C$10)</f>
        <v>11952</v>
      </c>
      <c r="L11" s="201">
        <f>R11*属性价值参考!C$22+S11*属性价值参考!C$23+龙魂炼体!U11*属性价值参考!C$24+龙魂炼体!V11*属性价值参考!C$16+龙魂炼体!X11*属性价值参考!C$19+龙魂炼体!Y11*属性价值参考!C$13+龙魂炼体!Z11*属性价值参考!C$25+龙魂炼体!AA11*属性价值参考!C$30</f>
        <v>6748.16</v>
      </c>
      <c r="M11" s="201">
        <f t="shared" si="7"/>
        <v>366.66980392156864</v>
      </c>
      <c r="N11" s="201">
        <f t="shared" si="4"/>
        <v>366669.80392156861</v>
      </c>
      <c r="O11" s="158">
        <f>ROUND(材料产出!T18,0)</f>
        <v>23</v>
      </c>
      <c r="P11" s="158">
        <f t="shared" si="5"/>
        <v>23000</v>
      </c>
      <c r="Q11" s="158">
        <f t="shared" si="6"/>
        <v>800</v>
      </c>
      <c r="R11" s="97">
        <v>400</v>
      </c>
      <c r="S11" s="97"/>
      <c r="T11" s="158">
        <f t="shared" si="8"/>
        <v>40</v>
      </c>
      <c r="U11" s="97">
        <v>8</v>
      </c>
      <c r="V11" s="97"/>
      <c r="W11" s="158">
        <f t="shared" si="9"/>
        <v>80</v>
      </c>
      <c r="X11" s="97">
        <v>8</v>
      </c>
      <c r="Y11" s="97">
        <v>16</v>
      </c>
      <c r="Z11" s="97">
        <v>800</v>
      </c>
      <c r="AA11" s="97"/>
    </row>
    <row r="12" spans="1:27" ht="16.5" x14ac:dyDescent="0.3">
      <c r="A12" s="22" t="s">
        <v>1974</v>
      </c>
      <c r="B12" s="22" t="s">
        <v>1975</v>
      </c>
      <c r="C12" s="23" t="s">
        <v>1993</v>
      </c>
      <c r="D12" s="22" t="s">
        <v>1994</v>
      </c>
      <c r="E12" s="22" t="str">
        <f t="shared" si="0"/>
        <v>洗髓丹27/元宝27000</v>
      </c>
      <c r="F12" s="158">
        <v>9</v>
      </c>
      <c r="G12" s="158">
        <f>材料产出!C16</f>
        <v>2.5</v>
      </c>
      <c r="H12" s="158">
        <f t="shared" si="1"/>
        <v>900</v>
      </c>
      <c r="I12" s="158">
        <f t="shared" si="2"/>
        <v>90</v>
      </c>
      <c r="J12" s="158">
        <f t="shared" si="3"/>
        <v>45</v>
      </c>
      <c r="K12" s="201">
        <f>H12*属性价值参考!C$5+龙魂炼体!I12*(属性价值参考!C$7+属性价值参考!C$8)+龙魂炼体!J12*(属性价值参考!C$9+属性价值参考!C$10)</f>
        <v>13446</v>
      </c>
      <c r="L12" s="201">
        <f>R12*属性价值参考!C$22+S12*属性价值参考!C$23+龙魂炼体!U12*属性价值参考!C$24+龙魂炼体!V12*属性价值参考!C$16+龙魂炼体!X12*属性价值参考!C$19+龙魂炼体!Y12*属性价值参考!C$13+龙魂炼体!Z12*属性价值参考!C$25+龙魂炼体!AA12*属性价值参考!C$30</f>
        <v>7591.6799999999994</v>
      </c>
      <c r="M12" s="201">
        <f t="shared" si="7"/>
        <v>412.5035294117647</v>
      </c>
      <c r="N12" s="201">
        <f t="shared" si="4"/>
        <v>412503.5294117647</v>
      </c>
      <c r="O12" s="158">
        <f>ROUND(材料产出!T19,0)</f>
        <v>25</v>
      </c>
      <c r="P12" s="158">
        <f t="shared" si="5"/>
        <v>25000</v>
      </c>
      <c r="Q12" s="158">
        <f t="shared" si="6"/>
        <v>900</v>
      </c>
      <c r="R12" s="97">
        <v>450</v>
      </c>
      <c r="S12" s="97"/>
      <c r="T12" s="158">
        <f t="shared" si="8"/>
        <v>45</v>
      </c>
      <c r="U12" s="97">
        <v>9</v>
      </c>
      <c r="V12" s="97"/>
      <c r="W12" s="158">
        <f t="shared" si="9"/>
        <v>90</v>
      </c>
      <c r="X12" s="97">
        <v>9</v>
      </c>
      <c r="Y12" s="97">
        <v>18</v>
      </c>
      <c r="Z12" s="97">
        <v>900</v>
      </c>
      <c r="AA12" s="97"/>
    </row>
    <row r="13" spans="1:27" ht="16.5" x14ac:dyDescent="0.3">
      <c r="A13" s="22" t="s">
        <v>1974</v>
      </c>
      <c r="B13" s="22" t="s">
        <v>1975</v>
      </c>
      <c r="C13" s="23" t="s">
        <v>1995</v>
      </c>
      <c r="D13" s="22" t="s">
        <v>1996</v>
      </c>
      <c r="E13" s="22" t="str">
        <f t="shared" si="0"/>
        <v>洗髓丹143/元宝143000</v>
      </c>
      <c r="F13" s="158">
        <v>10</v>
      </c>
      <c r="G13" s="158">
        <f>材料产出!C17</f>
        <v>3</v>
      </c>
      <c r="H13" s="158">
        <f t="shared" si="1"/>
        <v>1000</v>
      </c>
      <c r="I13" s="158">
        <f t="shared" si="2"/>
        <v>100</v>
      </c>
      <c r="J13" s="158">
        <f t="shared" si="3"/>
        <v>50</v>
      </c>
      <c r="K13" s="201">
        <f>H13*属性价值参考!C$5+龙魂炼体!I13*(属性价值参考!C$7+属性价值参考!C$8)+龙魂炼体!J13*(属性价值参考!C$9+属性价值参考!C$10)</f>
        <v>14940</v>
      </c>
      <c r="L13" s="201">
        <f>R13*属性价值参考!C$22+S13*属性价值参考!C$23+龙魂炼体!U13*属性价值参考!C$24+龙魂炼体!V13*属性价值参考!C$16+龙魂炼体!X13*属性价值参考!C$19+龙魂炼体!Y13*属性价值参考!C$13+龙魂炼体!Z13*属性价值参考!C$25+龙魂炼体!AA13*属性价值参考!C$30</f>
        <v>8435.2000000000007</v>
      </c>
      <c r="M13" s="201">
        <f t="shared" si="7"/>
        <v>458.33725490196082</v>
      </c>
      <c r="N13" s="201">
        <f t="shared" si="4"/>
        <v>458337.25490196084</v>
      </c>
      <c r="O13" s="158">
        <f>ROUND(材料产出!T20,0)</f>
        <v>27</v>
      </c>
      <c r="P13" s="158">
        <f t="shared" si="5"/>
        <v>27000</v>
      </c>
      <c r="Q13" s="158">
        <f t="shared" si="6"/>
        <v>1000</v>
      </c>
      <c r="R13" s="97">
        <v>500</v>
      </c>
      <c r="S13" s="97"/>
      <c r="T13" s="158">
        <f t="shared" si="8"/>
        <v>50</v>
      </c>
      <c r="U13" s="97">
        <v>10</v>
      </c>
      <c r="V13" s="97"/>
      <c r="W13" s="158">
        <f t="shared" si="9"/>
        <v>100</v>
      </c>
      <c r="X13" s="97">
        <v>10</v>
      </c>
      <c r="Y13" s="97">
        <v>20</v>
      </c>
      <c r="Z13" s="97">
        <v>1000</v>
      </c>
      <c r="AA13" s="97"/>
    </row>
    <row r="14" spans="1:27" ht="16.5" x14ac:dyDescent="0.3">
      <c r="A14" s="22" t="s">
        <v>1974</v>
      </c>
      <c r="B14" s="22" t="s">
        <v>1975</v>
      </c>
      <c r="C14" s="23" t="s">
        <v>1997</v>
      </c>
      <c r="D14" s="22" t="s">
        <v>1998</v>
      </c>
      <c r="E14" s="22" t="str">
        <f t="shared" si="0"/>
        <v>洗髓丹153/元宝153000</v>
      </c>
      <c r="F14" s="158">
        <v>11</v>
      </c>
      <c r="G14" s="158">
        <f>材料产出!C18</f>
        <v>3.5</v>
      </c>
      <c r="H14" s="158">
        <f t="shared" si="1"/>
        <v>1100</v>
      </c>
      <c r="I14" s="158">
        <f t="shared" si="2"/>
        <v>110</v>
      </c>
      <c r="J14" s="158">
        <f t="shared" si="3"/>
        <v>55</v>
      </c>
      <c r="K14" s="201">
        <f>H14*属性价值参考!C$5+龙魂炼体!I14*(属性价值参考!C$7+属性价值参考!C$8)+龙魂炼体!J14*(属性价值参考!C$9+属性价值参考!C$10)</f>
        <v>16434</v>
      </c>
      <c r="L14" s="201">
        <f>R14*属性价值参考!C$22+S14*属性价值参考!C$23+龙魂炼体!U14*属性价值参考!C$24+龙魂炼体!V14*属性价值参考!C$16+龙魂炼体!X14*属性价值参考!C$19+龙魂炼体!Y14*属性价值参考!C$13+龙魂炼体!Z14*属性价值参考!C$25+龙魂炼体!AA14*属性价值参考!C$30</f>
        <v>9278.7199999999993</v>
      </c>
      <c r="M14" s="201">
        <f t="shared" si="7"/>
        <v>504.17098039215688</v>
      </c>
      <c r="N14" s="201">
        <f t="shared" si="4"/>
        <v>504170.98039215687</v>
      </c>
      <c r="O14" s="158">
        <f>ROUND(材料产出!T21,0)</f>
        <v>143</v>
      </c>
      <c r="P14" s="158">
        <f t="shared" si="5"/>
        <v>143000</v>
      </c>
      <c r="Q14" s="158">
        <f t="shared" si="6"/>
        <v>1100</v>
      </c>
      <c r="R14" s="97">
        <v>550</v>
      </c>
      <c r="S14" s="97"/>
      <c r="T14" s="158">
        <f t="shared" si="8"/>
        <v>55</v>
      </c>
      <c r="U14" s="97">
        <v>11</v>
      </c>
      <c r="V14" s="97"/>
      <c r="W14" s="158">
        <f t="shared" si="9"/>
        <v>110</v>
      </c>
      <c r="X14" s="97">
        <v>11</v>
      </c>
      <c r="Y14" s="97">
        <v>22</v>
      </c>
      <c r="Z14" s="97">
        <v>1100</v>
      </c>
      <c r="AA14" s="97"/>
    </row>
    <row r="15" spans="1:27" ht="16.5" x14ac:dyDescent="0.3">
      <c r="A15" s="22" t="s">
        <v>1974</v>
      </c>
      <c r="B15" s="22" t="s">
        <v>1975</v>
      </c>
      <c r="C15" s="23" t="s">
        <v>1999</v>
      </c>
      <c r="D15" s="22" t="s">
        <v>2000</v>
      </c>
      <c r="E15" s="22" t="str">
        <f t="shared" si="0"/>
        <v>洗髓丹163/元宝163000</v>
      </c>
      <c r="F15" s="158">
        <v>12</v>
      </c>
      <c r="G15" s="158">
        <f>材料产出!C19</f>
        <v>3.7</v>
      </c>
      <c r="H15" s="158">
        <f t="shared" si="1"/>
        <v>1200</v>
      </c>
      <c r="I15" s="158">
        <f t="shared" si="2"/>
        <v>120</v>
      </c>
      <c r="J15" s="158">
        <f t="shared" si="3"/>
        <v>60</v>
      </c>
      <c r="K15" s="201">
        <f>H15*属性价值参考!C$5+龙魂炼体!I15*(属性价值参考!C$7+属性价值参考!C$8)+龙魂炼体!J15*(属性价值参考!C$9+属性价值参考!C$10)</f>
        <v>17928</v>
      </c>
      <c r="L15" s="201">
        <f>R15*属性价值参考!C$22+S15*属性价值参考!C$23+龙魂炼体!U15*属性价值参考!C$24+龙魂炼体!V15*属性价值参考!C$16+龙魂炼体!X15*属性价值参考!C$19+龙魂炼体!Y15*属性价值参考!C$13+龙魂炼体!Z15*属性价值参考!C$25+龙魂炼体!AA15*属性价值参考!C$30</f>
        <v>10122.24</v>
      </c>
      <c r="M15" s="201">
        <f t="shared" si="7"/>
        <v>550.00470588235294</v>
      </c>
      <c r="N15" s="201">
        <f t="shared" si="4"/>
        <v>550004.70588235289</v>
      </c>
      <c r="O15" s="158">
        <f>ROUND(材料产出!T22,0)</f>
        <v>153</v>
      </c>
      <c r="P15" s="158">
        <f t="shared" si="5"/>
        <v>153000</v>
      </c>
      <c r="Q15" s="158">
        <f t="shared" si="6"/>
        <v>1200</v>
      </c>
      <c r="R15" s="97">
        <v>600</v>
      </c>
      <c r="S15" s="97"/>
      <c r="T15" s="158">
        <f t="shared" si="8"/>
        <v>60</v>
      </c>
      <c r="U15" s="97">
        <v>12</v>
      </c>
      <c r="V15" s="97"/>
      <c r="W15" s="158">
        <f t="shared" si="9"/>
        <v>120</v>
      </c>
      <c r="X15" s="97">
        <v>12</v>
      </c>
      <c r="Y15" s="97">
        <v>24</v>
      </c>
      <c r="Z15" s="97">
        <v>1200</v>
      </c>
      <c r="AA15" s="97"/>
    </row>
    <row r="16" spans="1:27" ht="16.5" x14ac:dyDescent="0.3">
      <c r="A16" s="22" t="s">
        <v>1974</v>
      </c>
      <c r="B16" s="22" t="s">
        <v>1975</v>
      </c>
      <c r="C16" s="23" t="s">
        <v>2001</v>
      </c>
      <c r="D16" s="22" t="s">
        <v>2002</v>
      </c>
      <c r="E16" s="22" t="str">
        <f t="shared" si="0"/>
        <v>洗髓丹173/元宝173000</v>
      </c>
      <c r="F16" s="158">
        <v>13</v>
      </c>
      <c r="G16" s="158">
        <f>材料产出!C20</f>
        <v>4</v>
      </c>
      <c r="H16" s="158">
        <f t="shared" si="1"/>
        <v>1300</v>
      </c>
      <c r="I16" s="158">
        <f t="shared" si="2"/>
        <v>130</v>
      </c>
      <c r="J16" s="158">
        <f t="shared" si="3"/>
        <v>65</v>
      </c>
      <c r="K16" s="201">
        <f>H16*属性价值参考!C$5+龙魂炼体!I16*(属性价值参考!C$7+属性价值参考!C$8)+龙魂炼体!J16*(属性价值参考!C$9+属性价值参考!C$10)</f>
        <v>19422</v>
      </c>
      <c r="L16" s="201">
        <f>R16*属性价值参考!C$22+S16*属性价值参考!C$23+龙魂炼体!U16*属性价值参考!C$24+龙魂炼体!V16*属性价值参考!C$16+龙魂炼体!X16*属性价值参考!C$19+龙魂炼体!Y16*属性价值参考!C$13+龙魂炼体!Z16*属性价值参考!C$25+龙魂炼体!AA16*属性价值参考!C$30</f>
        <v>10965.76</v>
      </c>
      <c r="M16" s="201">
        <f t="shared" si="7"/>
        <v>595.83843137254905</v>
      </c>
      <c r="N16" s="201">
        <f t="shared" si="4"/>
        <v>595838.43137254904</v>
      </c>
      <c r="O16" s="158">
        <f>ROUND(材料产出!T23,0)</f>
        <v>163</v>
      </c>
      <c r="P16" s="158">
        <f t="shared" si="5"/>
        <v>163000</v>
      </c>
      <c r="Q16" s="158">
        <f t="shared" si="6"/>
        <v>1300</v>
      </c>
      <c r="R16" s="97">
        <v>650</v>
      </c>
      <c r="S16" s="97"/>
      <c r="T16" s="158">
        <f t="shared" si="8"/>
        <v>65</v>
      </c>
      <c r="U16" s="97">
        <v>13</v>
      </c>
      <c r="V16" s="97"/>
      <c r="W16" s="158">
        <f t="shared" si="9"/>
        <v>130</v>
      </c>
      <c r="X16" s="97">
        <v>13</v>
      </c>
      <c r="Y16" s="97">
        <v>26</v>
      </c>
      <c r="Z16" s="97">
        <v>1300</v>
      </c>
      <c r="AA16" s="97"/>
    </row>
    <row r="17" spans="1:27" ht="16.5" x14ac:dyDescent="0.3">
      <c r="A17" s="22" t="s">
        <v>1974</v>
      </c>
      <c r="B17" s="22" t="s">
        <v>1975</v>
      </c>
      <c r="C17" s="23" t="s">
        <v>2003</v>
      </c>
      <c r="D17" s="22" t="s">
        <v>2004</v>
      </c>
      <c r="E17" s="22" t="str">
        <f t="shared" si="0"/>
        <v>洗髓丹183/元宝183000</v>
      </c>
      <c r="F17" s="158">
        <v>14</v>
      </c>
      <c r="G17" s="158">
        <f>材料产出!C21</f>
        <v>4.3</v>
      </c>
      <c r="H17" s="158">
        <f t="shared" si="1"/>
        <v>1400.0000000000002</v>
      </c>
      <c r="I17" s="158">
        <f t="shared" si="2"/>
        <v>140</v>
      </c>
      <c r="J17" s="158">
        <f t="shared" si="3"/>
        <v>70</v>
      </c>
      <c r="K17" s="201">
        <f>H17*属性价值参考!C$5+龙魂炼体!I17*(属性价值参考!C$7+属性价值参考!C$8)+龙魂炼体!J17*(属性价值参考!C$9+属性价值参考!C$10)</f>
        <v>20916</v>
      </c>
      <c r="L17" s="201">
        <f>R17*属性价值参考!C$22+S17*属性价值参考!C$23+龙魂炼体!U17*属性价值参考!C$24+龙魂炼体!V17*属性价值参考!C$16+龙魂炼体!X17*属性价值参考!C$19+龙魂炼体!Y17*属性价值参考!C$13+龙魂炼体!Z17*属性价值参考!C$25+龙魂炼体!AA17*属性价值参考!C$30</f>
        <v>11809.279999999999</v>
      </c>
      <c r="M17" s="201">
        <f t="shared" si="7"/>
        <v>641.67215686274506</v>
      </c>
      <c r="N17" s="201">
        <f t="shared" si="4"/>
        <v>641672.15686274506</v>
      </c>
      <c r="O17" s="158">
        <f>ROUND(材料产出!T24,0)</f>
        <v>173</v>
      </c>
      <c r="P17" s="158">
        <f t="shared" si="5"/>
        <v>173000</v>
      </c>
      <c r="Q17" s="158">
        <f t="shared" si="6"/>
        <v>1400.0000000000002</v>
      </c>
      <c r="R17" s="97">
        <v>700</v>
      </c>
      <c r="S17" s="97"/>
      <c r="T17" s="158">
        <f t="shared" si="8"/>
        <v>70</v>
      </c>
      <c r="U17" s="97">
        <v>14</v>
      </c>
      <c r="V17" s="97"/>
      <c r="W17" s="158">
        <f t="shared" si="9"/>
        <v>140</v>
      </c>
      <c r="X17" s="97">
        <v>14</v>
      </c>
      <c r="Y17" s="97">
        <v>28</v>
      </c>
      <c r="Z17" s="97">
        <v>1400</v>
      </c>
      <c r="AA17" s="97"/>
    </row>
    <row r="18" spans="1:27" ht="16.5" x14ac:dyDescent="0.3">
      <c r="A18" s="22" t="s">
        <v>1974</v>
      </c>
      <c r="B18" s="22" t="s">
        <v>1975</v>
      </c>
      <c r="C18" s="23" t="s">
        <v>2005</v>
      </c>
      <c r="D18" s="22" t="s">
        <v>2006</v>
      </c>
      <c r="E18" s="22" t="str">
        <f t="shared" si="0"/>
        <v>洗髓丹386/元宝386000</v>
      </c>
      <c r="F18" s="158">
        <v>15</v>
      </c>
      <c r="G18" s="158">
        <f>材料产出!C22</f>
        <v>4.5999999999999996</v>
      </c>
      <c r="H18" s="158">
        <f t="shared" si="1"/>
        <v>1500</v>
      </c>
      <c r="I18" s="158">
        <f t="shared" si="2"/>
        <v>150</v>
      </c>
      <c r="J18" s="158">
        <f t="shared" si="3"/>
        <v>75</v>
      </c>
      <c r="K18" s="201">
        <f>H18*属性价值参考!C$5+龙魂炼体!I18*(属性价值参考!C$7+属性价值参考!C$8)+龙魂炼体!J18*(属性价值参考!C$9+属性价值参考!C$10)</f>
        <v>22410</v>
      </c>
      <c r="L18" s="201">
        <f>R18*属性价值参考!C$22+S18*属性价值参考!C$23+龙魂炼体!U18*属性价值参考!C$24+龙魂炼体!V18*属性价值参考!C$16+龙魂炼体!X18*属性价值参考!C$19+龙魂炼体!Y18*属性价值参考!C$13+龙魂炼体!Z18*属性价值参考!C$25+龙魂炼体!AA18*属性价值参考!C$30</f>
        <v>12652.8</v>
      </c>
      <c r="M18" s="201">
        <f t="shared" si="7"/>
        <v>687.50588235294128</v>
      </c>
      <c r="N18" s="201">
        <f t="shared" si="4"/>
        <v>687505.88235294132</v>
      </c>
      <c r="O18" s="158">
        <f>ROUND(材料产出!T25,0)</f>
        <v>183</v>
      </c>
      <c r="P18" s="158">
        <f t="shared" si="5"/>
        <v>183000</v>
      </c>
      <c r="Q18" s="158">
        <f t="shared" si="6"/>
        <v>1500</v>
      </c>
      <c r="R18" s="97">
        <v>750</v>
      </c>
      <c r="S18" s="97"/>
      <c r="T18" s="158">
        <f t="shared" si="8"/>
        <v>75</v>
      </c>
      <c r="U18" s="97">
        <v>15</v>
      </c>
      <c r="V18" s="97"/>
      <c r="W18" s="158">
        <f t="shared" si="9"/>
        <v>150</v>
      </c>
      <c r="X18" s="97">
        <v>15</v>
      </c>
      <c r="Y18" s="97">
        <v>30</v>
      </c>
      <c r="Z18" s="97">
        <v>1500</v>
      </c>
      <c r="AA18" s="97"/>
    </row>
    <row r="19" spans="1:27" ht="16.5" x14ac:dyDescent="0.3">
      <c r="A19" s="22" t="s">
        <v>1974</v>
      </c>
      <c r="B19" s="22" t="s">
        <v>1975</v>
      </c>
      <c r="C19" s="23" t="s">
        <v>2007</v>
      </c>
      <c r="D19" s="22" t="s">
        <v>2008</v>
      </c>
      <c r="E19" s="22" t="str">
        <f t="shared" si="0"/>
        <v>洗髓丹406/元宝406000</v>
      </c>
      <c r="F19" s="158">
        <v>16</v>
      </c>
      <c r="G19" s="158">
        <f>材料产出!C23</f>
        <v>4.9000000000000004</v>
      </c>
      <c r="H19" s="158">
        <f t="shared" si="1"/>
        <v>1600</v>
      </c>
      <c r="I19" s="158">
        <f t="shared" si="2"/>
        <v>160</v>
      </c>
      <c r="J19" s="158">
        <f t="shared" si="3"/>
        <v>80</v>
      </c>
      <c r="K19" s="201">
        <f>H19*属性价值参考!C$5+龙魂炼体!I19*(属性价值参考!C$7+属性价值参考!C$8)+龙魂炼体!J19*(属性价值参考!C$9+属性价值参考!C$10)</f>
        <v>23904</v>
      </c>
      <c r="L19" s="201">
        <f>R19*属性价值参考!C$22+S19*属性价值参考!C$23+龙魂炼体!U19*属性价值参考!C$24+龙魂炼体!V19*属性价值参考!C$16+龙魂炼体!X19*属性价值参考!C$19+龙魂炼体!Y19*属性价值参考!C$13+龙魂炼体!Z19*属性价值参考!C$25+龙魂炼体!AA19*属性价值参考!C$30</f>
        <v>13496.32</v>
      </c>
      <c r="M19" s="201">
        <f t="shared" si="7"/>
        <v>733.33960784313729</v>
      </c>
      <c r="N19" s="201">
        <f t="shared" si="4"/>
        <v>733339.60784313723</v>
      </c>
      <c r="O19" s="158">
        <f>ROUND(材料产出!T26,0)</f>
        <v>386</v>
      </c>
      <c r="P19" s="158">
        <f t="shared" si="5"/>
        <v>386000</v>
      </c>
      <c r="Q19" s="158">
        <f t="shared" si="6"/>
        <v>1600</v>
      </c>
      <c r="R19" s="97">
        <v>800</v>
      </c>
      <c r="S19" s="97"/>
      <c r="T19" s="158">
        <f t="shared" si="8"/>
        <v>80</v>
      </c>
      <c r="U19" s="97">
        <v>16</v>
      </c>
      <c r="V19" s="97"/>
      <c r="W19" s="158">
        <f t="shared" si="9"/>
        <v>160</v>
      </c>
      <c r="X19" s="97">
        <v>16</v>
      </c>
      <c r="Y19" s="97">
        <v>32</v>
      </c>
      <c r="Z19" s="97">
        <v>1600</v>
      </c>
      <c r="AA19" s="97"/>
    </row>
    <row r="20" spans="1:27" ht="16.5" x14ac:dyDescent="0.3">
      <c r="A20" s="22" t="s">
        <v>1974</v>
      </c>
      <c r="B20" s="22" t="s">
        <v>1975</v>
      </c>
      <c r="C20" s="23" t="s">
        <v>2009</v>
      </c>
      <c r="D20" s="22" t="s">
        <v>2010</v>
      </c>
      <c r="E20" s="22" t="str">
        <f t="shared" si="0"/>
        <v>洗髓丹426/元宝426000</v>
      </c>
      <c r="F20" s="158">
        <v>17</v>
      </c>
      <c r="G20" s="158">
        <f>材料产出!C24</f>
        <v>5.2</v>
      </c>
      <c r="H20" s="158">
        <f t="shared" si="1"/>
        <v>1700.0000000000002</v>
      </c>
      <c r="I20" s="158">
        <f t="shared" si="2"/>
        <v>170</v>
      </c>
      <c r="J20" s="158">
        <f t="shared" si="3"/>
        <v>85</v>
      </c>
      <c r="K20" s="201">
        <f>H20*属性价值参考!C$5+龙魂炼体!I20*(属性价值参考!C$7+属性价值参考!C$8)+龙魂炼体!J20*(属性价值参考!C$9+属性价值参考!C$10)</f>
        <v>25398.000000000004</v>
      </c>
      <c r="L20" s="201">
        <f>R20*属性价值参考!C$22+S20*属性价值参考!C$23+龙魂炼体!U20*属性价值参考!C$24+龙魂炼体!V20*属性价值参考!C$16+龙魂炼体!X20*属性价值参考!C$19+龙魂炼体!Y20*属性价值参考!C$13+龙魂炼体!Z20*属性价值参考!C$25+龙魂炼体!AA20*属性价值参考!C$30</f>
        <v>14339.84</v>
      </c>
      <c r="M20" s="201">
        <f t="shared" si="7"/>
        <v>779.1733333333334</v>
      </c>
      <c r="N20" s="201">
        <f t="shared" si="4"/>
        <v>779173.33333333337</v>
      </c>
      <c r="O20" s="158">
        <f>ROUND(材料产出!T27,0)</f>
        <v>406</v>
      </c>
      <c r="P20" s="158">
        <f t="shared" si="5"/>
        <v>406000</v>
      </c>
      <c r="Q20" s="158">
        <f t="shared" si="6"/>
        <v>1700.0000000000002</v>
      </c>
      <c r="R20" s="97">
        <v>850</v>
      </c>
      <c r="S20" s="97"/>
      <c r="T20" s="158">
        <f t="shared" si="8"/>
        <v>85</v>
      </c>
      <c r="U20" s="97">
        <v>17</v>
      </c>
      <c r="V20" s="97"/>
      <c r="W20" s="158">
        <f t="shared" si="9"/>
        <v>170</v>
      </c>
      <c r="X20" s="97">
        <v>17</v>
      </c>
      <c r="Y20" s="97">
        <v>34</v>
      </c>
      <c r="Z20" s="97">
        <v>1700</v>
      </c>
      <c r="AA20" s="97"/>
    </row>
    <row r="21" spans="1:27" ht="16.5" x14ac:dyDescent="0.3">
      <c r="A21" s="22" t="s">
        <v>1974</v>
      </c>
      <c r="B21" s="22" t="s">
        <v>1975</v>
      </c>
      <c r="C21" s="23" t="s">
        <v>2011</v>
      </c>
      <c r="D21" s="22" t="s">
        <v>2012</v>
      </c>
      <c r="E21" s="22" t="str">
        <f t="shared" si="0"/>
        <v>洗髓丹446/元宝446000</v>
      </c>
      <c r="F21" s="158">
        <v>18</v>
      </c>
      <c r="G21" s="158">
        <f>材料产出!C25</f>
        <v>5.5</v>
      </c>
      <c r="H21" s="158">
        <f t="shared" si="1"/>
        <v>1800</v>
      </c>
      <c r="I21" s="158">
        <f t="shared" si="2"/>
        <v>180</v>
      </c>
      <c r="J21" s="158">
        <f t="shared" si="3"/>
        <v>90</v>
      </c>
      <c r="K21" s="201">
        <f>H21*属性价值参考!C$5+龙魂炼体!I21*(属性价值参考!C$7+属性价值参考!C$8)+龙魂炼体!J21*(属性价值参考!C$9+属性价值参考!C$10)</f>
        <v>26892</v>
      </c>
      <c r="L21" s="201">
        <f>R21*属性价值参考!C$22+S21*属性价值参考!C$23+龙魂炼体!U21*属性价值参考!C$24+龙魂炼体!V21*属性价值参考!C$16+龙魂炼体!X21*属性价值参考!C$19+龙魂炼体!Y21*属性价值参考!C$13+龙魂炼体!Z21*属性价值参考!C$25+龙魂炼体!AA21*属性价值参考!C$30</f>
        <v>15183.359999999999</v>
      </c>
      <c r="M21" s="201">
        <f t="shared" si="7"/>
        <v>825.00705882352941</v>
      </c>
      <c r="N21" s="201">
        <f t="shared" si="4"/>
        <v>825007.0588235294</v>
      </c>
      <c r="O21" s="158">
        <f>ROUND(材料产出!T28,0)</f>
        <v>426</v>
      </c>
      <c r="P21" s="158">
        <f t="shared" si="5"/>
        <v>426000</v>
      </c>
      <c r="Q21" s="158">
        <f t="shared" si="6"/>
        <v>1800</v>
      </c>
      <c r="R21" s="97">
        <v>900</v>
      </c>
      <c r="S21" s="97"/>
      <c r="T21" s="158">
        <f t="shared" si="8"/>
        <v>90</v>
      </c>
      <c r="U21" s="97">
        <v>18</v>
      </c>
      <c r="V21" s="97"/>
      <c r="W21" s="158">
        <f t="shared" si="9"/>
        <v>180</v>
      </c>
      <c r="X21" s="97">
        <v>18</v>
      </c>
      <c r="Y21" s="97">
        <v>36</v>
      </c>
      <c r="Z21" s="97">
        <v>1800</v>
      </c>
      <c r="AA21" s="97"/>
    </row>
    <row r="22" spans="1:27" ht="16.5" x14ac:dyDescent="0.3">
      <c r="A22" s="22" t="s">
        <v>1974</v>
      </c>
      <c r="B22" s="22" t="s">
        <v>1975</v>
      </c>
      <c r="C22" s="23" t="s">
        <v>2013</v>
      </c>
      <c r="D22" s="22" t="s">
        <v>2014</v>
      </c>
      <c r="E22" s="22" t="str">
        <f t="shared" si="0"/>
        <v>洗髓丹466/元宝466000</v>
      </c>
      <c r="F22" s="158">
        <v>19</v>
      </c>
      <c r="G22" s="158">
        <f>材料产出!C26</f>
        <v>5.8</v>
      </c>
      <c r="H22" s="158">
        <f t="shared" si="1"/>
        <v>1900</v>
      </c>
      <c r="I22" s="158">
        <f t="shared" si="2"/>
        <v>190</v>
      </c>
      <c r="J22" s="158">
        <f t="shared" si="3"/>
        <v>95</v>
      </c>
      <c r="K22" s="201">
        <f>H22*属性价值参考!C$5+龙魂炼体!I22*(属性价值参考!C$7+属性价值参考!C$8)+龙魂炼体!J22*(属性价值参考!C$9+属性价值参考!C$10)</f>
        <v>28386</v>
      </c>
      <c r="L22" s="201">
        <f>R22*属性价值参考!C$22+S22*属性价值参考!C$23+龙魂炼体!U22*属性价值参考!C$24+龙魂炼体!V22*属性价值参考!C$16+龙魂炼体!X22*属性价值参考!C$19+龙魂炼体!Y22*属性价值参考!C$13+龙魂炼体!Z22*属性价值参考!C$25+龙魂炼体!AA22*属性价值参考!C$30</f>
        <v>16026.880000000001</v>
      </c>
      <c r="M22" s="201">
        <f t="shared" si="7"/>
        <v>870.84078431372564</v>
      </c>
      <c r="N22" s="201">
        <f t="shared" si="4"/>
        <v>870840.78431372566</v>
      </c>
      <c r="O22" s="158">
        <f>ROUND(材料产出!T29,0)</f>
        <v>446</v>
      </c>
      <c r="P22" s="158">
        <f t="shared" si="5"/>
        <v>446000</v>
      </c>
      <c r="Q22" s="158">
        <f t="shared" si="6"/>
        <v>1900</v>
      </c>
      <c r="R22" s="97">
        <v>950</v>
      </c>
      <c r="S22" s="97"/>
      <c r="T22" s="158">
        <f t="shared" si="8"/>
        <v>95</v>
      </c>
      <c r="U22" s="97">
        <v>19</v>
      </c>
      <c r="V22" s="97"/>
      <c r="W22" s="158">
        <f t="shared" si="9"/>
        <v>190</v>
      </c>
      <c r="X22" s="97">
        <v>19</v>
      </c>
      <c r="Y22" s="97">
        <v>38</v>
      </c>
      <c r="Z22" s="97">
        <v>1900</v>
      </c>
      <c r="AA22" s="97"/>
    </row>
    <row r="23" spans="1:27" ht="16.5" x14ac:dyDescent="0.3">
      <c r="A23" s="22" t="s">
        <v>1974</v>
      </c>
      <c r="B23" s="22" t="s">
        <v>1975</v>
      </c>
      <c r="C23" s="23" t="s">
        <v>2015</v>
      </c>
      <c r="D23" s="22" t="s">
        <v>2016</v>
      </c>
      <c r="E23" s="22"/>
      <c r="F23" s="158">
        <v>20</v>
      </c>
      <c r="G23" s="158">
        <f>材料产出!C27</f>
        <v>6.1</v>
      </c>
      <c r="H23" s="158">
        <f t="shared" si="1"/>
        <v>2000</v>
      </c>
      <c r="I23" s="158">
        <f t="shared" si="2"/>
        <v>200</v>
      </c>
      <c r="J23" s="158">
        <f t="shared" si="3"/>
        <v>100</v>
      </c>
      <c r="K23" s="201">
        <f>H23*属性价值参考!C$5+龙魂炼体!I23*(属性价值参考!C$7+属性价值参考!C$8)+龙魂炼体!J23*(属性价值参考!C$9+属性价值参考!C$10)</f>
        <v>29880</v>
      </c>
      <c r="L23" s="201">
        <f>R23*属性价值参考!C$22+S23*属性价值参考!C$23+龙魂炼体!U23*属性价值参考!C$24+龙魂炼体!V23*属性价值参考!C$16+龙魂炼体!X23*属性价值参考!C$19+龙魂炼体!Y23*属性价值参考!C$13+龙魂炼体!Z23*属性价值参考!C$25+龙魂炼体!AA23*属性价值参考!C$30</f>
        <v>16870.400000000001</v>
      </c>
      <c r="M23" s="201">
        <f t="shared" si="7"/>
        <v>916.67450980392164</v>
      </c>
      <c r="N23" s="201">
        <f t="shared" si="4"/>
        <v>916674.50980392168</v>
      </c>
      <c r="O23" s="158">
        <f>ROUND(材料产出!T30,0)</f>
        <v>466</v>
      </c>
      <c r="P23" s="158">
        <f t="shared" si="5"/>
        <v>466000</v>
      </c>
      <c r="Q23" s="158">
        <f t="shared" si="6"/>
        <v>2000</v>
      </c>
      <c r="R23" s="97">
        <v>1000</v>
      </c>
      <c r="S23" s="97"/>
      <c r="T23" s="158">
        <f t="shared" si="8"/>
        <v>100</v>
      </c>
      <c r="U23" s="97">
        <v>20</v>
      </c>
      <c r="V23" s="97"/>
      <c r="W23" s="158">
        <f t="shared" si="9"/>
        <v>200</v>
      </c>
      <c r="X23" s="97">
        <v>20</v>
      </c>
      <c r="Y23" s="97">
        <v>40</v>
      </c>
      <c r="Z23" s="97">
        <v>2000</v>
      </c>
      <c r="AA23" s="97"/>
    </row>
    <row r="24" spans="1:27" ht="16.5" x14ac:dyDescent="0.3">
      <c r="A24" s="22" t="s">
        <v>1974</v>
      </c>
      <c r="B24" s="22" t="s">
        <v>1975</v>
      </c>
      <c r="C24" s="23" t="s">
        <v>2017</v>
      </c>
      <c r="D24" s="22" t="s">
        <v>2018</v>
      </c>
      <c r="E24" s="22"/>
      <c r="F24" s="158">
        <v>21</v>
      </c>
      <c r="G24" s="158"/>
      <c r="H24" s="158">
        <f t="shared" si="1"/>
        <v>2100</v>
      </c>
      <c r="I24" s="158">
        <f t="shared" si="2"/>
        <v>210</v>
      </c>
      <c r="J24" s="158">
        <f t="shared" si="3"/>
        <v>105</v>
      </c>
      <c r="K24" s="201">
        <f>H24*属性价值参考!C$5+龙魂炼体!I24*(属性价值参考!C$7+属性价值参考!C$8)+龙魂炼体!J24*(属性价值参考!C$9+属性价值参考!C$10)</f>
        <v>31374</v>
      </c>
      <c r="L24" s="201">
        <f>R24*属性价值参考!C$22+S24*属性价值参考!C$23+龙魂炼体!U24*属性价值参考!C$24+龙魂炼体!V24*属性价值参考!C$16+龙魂炼体!X24*属性价值参考!C$19+龙魂炼体!Y24*属性价值参考!C$13+龙魂炼体!Z24*属性价值参考!C$25+龙魂炼体!AA24*属性价值参考!C$30</f>
        <v>17534.52</v>
      </c>
      <c r="M24" s="201">
        <f t="shared" si="7"/>
        <v>958.99058823529424</v>
      </c>
      <c r="N24" s="201">
        <f t="shared" si="4"/>
        <v>958990.58823529421</v>
      </c>
      <c r="O24" s="158"/>
      <c r="P24" s="158"/>
      <c r="Q24" s="158">
        <f t="shared" si="6"/>
        <v>2100</v>
      </c>
      <c r="R24" s="97">
        <v>1050</v>
      </c>
      <c r="S24" s="97"/>
      <c r="T24" s="158">
        <f t="shared" si="8"/>
        <v>105</v>
      </c>
      <c r="U24" s="97">
        <v>20</v>
      </c>
      <c r="V24" s="97">
        <v>1</v>
      </c>
      <c r="W24" s="158">
        <f t="shared" si="9"/>
        <v>210</v>
      </c>
      <c r="X24" s="97">
        <v>21</v>
      </c>
      <c r="Y24" s="97">
        <v>42</v>
      </c>
      <c r="Z24" s="97">
        <v>2000</v>
      </c>
      <c r="AA24" s="97">
        <v>100</v>
      </c>
    </row>
    <row r="25" spans="1:27" ht="16.5" x14ac:dyDescent="0.3">
      <c r="A25" s="22" t="s">
        <v>1974</v>
      </c>
      <c r="B25" s="22" t="s">
        <v>1975</v>
      </c>
      <c r="C25" s="23" t="s">
        <v>2019</v>
      </c>
      <c r="D25" s="22" t="s">
        <v>2020</v>
      </c>
      <c r="E25" s="22"/>
      <c r="F25" s="158">
        <v>22</v>
      </c>
      <c r="G25" s="158"/>
      <c r="H25" s="158">
        <f t="shared" si="1"/>
        <v>2200</v>
      </c>
      <c r="I25" s="158">
        <f t="shared" si="2"/>
        <v>220</v>
      </c>
      <c r="J25" s="158">
        <f t="shared" si="3"/>
        <v>110</v>
      </c>
      <c r="K25" s="201">
        <f>H25*属性价值参考!C$5+龙魂炼体!I25*(属性价值参考!C$7+属性价值参考!C$8)+龙魂炼体!J25*(属性价值参考!C$9+属性价值参考!C$10)</f>
        <v>32868</v>
      </c>
      <c r="L25" s="201">
        <f>R25*属性价值参考!C$22+S25*属性价值参考!C$23+龙魂炼体!U25*属性价值参考!C$24+龙魂炼体!V25*属性价值参考!C$16+龙魂炼体!X25*属性价值参考!C$19+龙魂炼体!Y25*属性价值参考!C$13+龙魂炼体!Z25*属性价值参考!C$25+龙魂炼体!AA25*属性价值参考!C$30</f>
        <v>18198.64</v>
      </c>
      <c r="M25" s="201">
        <f t="shared" si="7"/>
        <v>1001.3066666666666</v>
      </c>
      <c r="N25" s="201">
        <f t="shared" si="4"/>
        <v>1001306.6666666666</v>
      </c>
      <c r="O25" s="158"/>
      <c r="P25" s="158"/>
      <c r="Q25" s="158">
        <f t="shared" si="6"/>
        <v>2200</v>
      </c>
      <c r="R25" s="97">
        <v>1100</v>
      </c>
      <c r="S25" s="97"/>
      <c r="T25" s="158">
        <f t="shared" si="8"/>
        <v>110</v>
      </c>
      <c r="U25" s="97">
        <v>20</v>
      </c>
      <c r="V25" s="97">
        <v>2</v>
      </c>
      <c r="W25" s="158">
        <f t="shared" si="9"/>
        <v>220</v>
      </c>
      <c r="X25" s="97">
        <v>22</v>
      </c>
      <c r="Y25" s="97">
        <v>44</v>
      </c>
      <c r="Z25" s="97">
        <v>2000</v>
      </c>
      <c r="AA25" s="97">
        <v>200</v>
      </c>
    </row>
    <row r="26" spans="1:27" ht="16.5" x14ac:dyDescent="0.3">
      <c r="A26" s="22" t="s">
        <v>1974</v>
      </c>
      <c r="B26" s="22" t="s">
        <v>1975</v>
      </c>
      <c r="C26" s="23" t="s">
        <v>2021</v>
      </c>
      <c r="D26" s="22" t="s">
        <v>2022</v>
      </c>
      <c r="E26" s="22"/>
      <c r="F26" s="158">
        <v>23</v>
      </c>
      <c r="G26" s="158"/>
      <c r="H26" s="158">
        <f t="shared" si="1"/>
        <v>2300</v>
      </c>
      <c r="I26" s="158">
        <f t="shared" si="2"/>
        <v>230</v>
      </c>
      <c r="J26" s="158">
        <f t="shared" si="3"/>
        <v>115</v>
      </c>
      <c r="K26" s="201">
        <f>H26*属性价值参考!C$5+龙魂炼体!I26*(属性价值参考!C$7+属性价值参考!C$8)+龙魂炼体!J26*(属性价值参考!C$9+属性价值参考!C$10)</f>
        <v>34362</v>
      </c>
      <c r="L26" s="201">
        <f>R26*属性价值参考!C$22+S26*属性价值参考!C$23+龙魂炼体!U26*属性价值参考!C$24+龙魂炼体!V26*属性价值参考!C$16+龙魂炼体!X26*属性价值参考!C$19+龙魂炼体!Y26*属性价值参考!C$13+龙魂炼体!Z26*属性价值参考!C$25+龙魂炼体!AA26*属性价值参考!C$30</f>
        <v>18862.759999999998</v>
      </c>
      <c r="M26" s="201">
        <f t="shared" si="7"/>
        <v>1043.6227450980391</v>
      </c>
      <c r="N26" s="201">
        <f t="shared" si="4"/>
        <v>1043622.7450980392</v>
      </c>
      <c r="O26" s="158"/>
      <c r="P26" s="158"/>
      <c r="Q26" s="158">
        <f t="shared" si="6"/>
        <v>2300</v>
      </c>
      <c r="R26" s="97">
        <v>1150</v>
      </c>
      <c r="S26" s="97"/>
      <c r="T26" s="158">
        <f t="shared" si="8"/>
        <v>115</v>
      </c>
      <c r="U26" s="97">
        <v>20</v>
      </c>
      <c r="V26" s="97">
        <v>3</v>
      </c>
      <c r="W26" s="158">
        <f t="shared" si="9"/>
        <v>230</v>
      </c>
      <c r="X26" s="97">
        <v>23</v>
      </c>
      <c r="Y26" s="97">
        <v>46</v>
      </c>
      <c r="Z26" s="97">
        <v>2000</v>
      </c>
      <c r="AA26" s="97">
        <v>300</v>
      </c>
    </row>
    <row r="27" spans="1:27" ht="16.5" x14ac:dyDescent="0.3">
      <c r="A27" s="22" t="s">
        <v>1974</v>
      </c>
      <c r="B27" s="22" t="s">
        <v>1975</v>
      </c>
      <c r="C27" s="23" t="s">
        <v>2023</v>
      </c>
      <c r="D27" s="22" t="s">
        <v>2024</v>
      </c>
      <c r="E27" s="22"/>
      <c r="F27" s="158">
        <v>24</v>
      </c>
      <c r="G27" s="158"/>
      <c r="H27" s="158">
        <f t="shared" si="1"/>
        <v>2400</v>
      </c>
      <c r="I27" s="158">
        <f t="shared" si="2"/>
        <v>240</v>
      </c>
      <c r="J27" s="158">
        <f t="shared" si="3"/>
        <v>120</v>
      </c>
      <c r="K27" s="201">
        <f>H27*属性价值参考!C$5+龙魂炼体!I27*(属性价值参考!C$7+属性价值参考!C$8)+龙魂炼体!J27*(属性价值参考!C$9+属性价值参考!C$10)</f>
        <v>35856</v>
      </c>
      <c r="L27" s="201">
        <f>R27*属性价值参考!C$22+S27*属性价值参考!C$23+龙魂炼体!U27*属性价值参考!C$24+龙魂炼体!V27*属性价值参考!C$16+龙魂炼体!X27*属性价值参考!C$19+龙魂炼体!Y27*属性价值参考!C$13+龙魂炼体!Z27*属性价值参考!C$25+龙魂炼体!AA27*属性价值参考!C$30</f>
        <v>19526.879999999997</v>
      </c>
      <c r="M27" s="201">
        <f t="shared" si="7"/>
        <v>1085.9388235294118</v>
      </c>
      <c r="N27" s="201">
        <f t="shared" si="4"/>
        <v>1085938.8235294118</v>
      </c>
      <c r="O27" s="158"/>
      <c r="P27" s="158"/>
      <c r="Q27" s="158">
        <f t="shared" si="6"/>
        <v>2400</v>
      </c>
      <c r="R27" s="97">
        <v>1200</v>
      </c>
      <c r="S27" s="97"/>
      <c r="T27" s="158">
        <f t="shared" si="8"/>
        <v>120</v>
      </c>
      <c r="U27" s="97">
        <v>20</v>
      </c>
      <c r="V27" s="97">
        <v>4</v>
      </c>
      <c r="W27" s="158">
        <f t="shared" si="9"/>
        <v>240</v>
      </c>
      <c r="X27" s="97">
        <v>24</v>
      </c>
      <c r="Y27" s="97">
        <v>48</v>
      </c>
      <c r="Z27" s="97">
        <v>2000</v>
      </c>
      <c r="AA27" s="97">
        <v>400</v>
      </c>
    </row>
    <row r="28" spans="1:27" ht="16.5" x14ac:dyDescent="0.3">
      <c r="A28" s="22" t="s">
        <v>1974</v>
      </c>
      <c r="B28" s="22" t="s">
        <v>1975</v>
      </c>
      <c r="C28" s="23" t="s">
        <v>2025</v>
      </c>
      <c r="D28" s="22" t="s">
        <v>2026</v>
      </c>
      <c r="E28" s="22"/>
      <c r="F28" s="158">
        <v>25</v>
      </c>
      <c r="G28" s="158"/>
      <c r="H28" s="158">
        <f t="shared" si="1"/>
        <v>2500</v>
      </c>
      <c r="I28" s="158">
        <f t="shared" si="2"/>
        <v>250</v>
      </c>
      <c r="J28" s="158">
        <f t="shared" si="3"/>
        <v>125</v>
      </c>
      <c r="K28" s="201">
        <f>H28*属性价值参考!C$5+龙魂炼体!I28*(属性价值参考!C$7+属性价值参考!C$8)+龙魂炼体!J28*(属性价值参考!C$9+属性价值参考!C$10)</f>
        <v>37350</v>
      </c>
      <c r="L28" s="201">
        <f>R28*属性价值参考!C$22+S28*属性价值参考!C$23+龙魂炼体!U28*属性价值参考!C$24+龙魂炼体!V28*属性价值参考!C$16+龙魂炼体!X28*属性价值参考!C$19+龙魂炼体!Y28*属性价值参考!C$13+龙魂炼体!Z28*属性价值参考!C$25+龙魂炼体!AA28*属性价值参考!C$30</f>
        <v>20191</v>
      </c>
      <c r="M28" s="201">
        <f t="shared" si="7"/>
        <v>1128.2549019607843</v>
      </c>
      <c r="N28" s="201">
        <f t="shared" si="4"/>
        <v>1128254.9019607843</v>
      </c>
      <c r="O28" s="158"/>
      <c r="P28" s="158"/>
      <c r="Q28" s="158">
        <f t="shared" si="6"/>
        <v>2500</v>
      </c>
      <c r="R28" s="97">
        <v>1250</v>
      </c>
      <c r="S28" s="97"/>
      <c r="T28" s="158">
        <f t="shared" si="8"/>
        <v>125</v>
      </c>
      <c r="U28" s="97">
        <v>20</v>
      </c>
      <c r="V28" s="97">
        <v>5</v>
      </c>
      <c r="W28" s="158">
        <f t="shared" si="9"/>
        <v>250</v>
      </c>
      <c r="X28" s="97">
        <v>25</v>
      </c>
      <c r="Y28" s="97">
        <v>50</v>
      </c>
      <c r="Z28" s="97">
        <v>2000</v>
      </c>
      <c r="AA28" s="97">
        <v>500</v>
      </c>
    </row>
    <row r="29" spans="1:27" ht="16.5" x14ac:dyDescent="0.3">
      <c r="A29" s="22" t="s">
        <v>1974</v>
      </c>
      <c r="B29" s="22" t="s">
        <v>1975</v>
      </c>
      <c r="C29" s="23" t="s">
        <v>2027</v>
      </c>
      <c r="D29" s="22" t="s">
        <v>2028</v>
      </c>
      <c r="E29" s="22"/>
      <c r="F29" s="158">
        <v>26</v>
      </c>
      <c r="G29" s="158"/>
      <c r="H29" s="158">
        <f t="shared" si="1"/>
        <v>2600</v>
      </c>
      <c r="I29" s="158">
        <f t="shared" si="2"/>
        <v>260</v>
      </c>
      <c r="J29" s="158">
        <f t="shared" si="3"/>
        <v>130</v>
      </c>
      <c r="K29" s="201">
        <f>H29*属性价值参考!C$5+龙魂炼体!I29*(属性价值参考!C$7+属性价值参考!C$8)+龙魂炼体!J29*(属性价值参考!C$9+属性价值参考!C$10)</f>
        <v>38844</v>
      </c>
      <c r="L29" s="201">
        <f>R29*属性价值参考!C$22+S29*属性价值参考!C$23+龙魂炼体!U29*属性价值参考!C$24+龙魂炼体!V29*属性价值参考!C$16+龙魂炼体!X29*属性价值参考!C$19+龙魂炼体!Y29*属性价值参考!C$13+龙魂炼体!Z29*属性价值参考!C$25+龙魂炼体!AA29*属性价值参考!C$30</f>
        <v>20855.12</v>
      </c>
      <c r="M29" s="201">
        <f t="shared" si="7"/>
        <v>1170.5709803921568</v>
      </c>
      <c r="N29" s="201">
        <f t="shared" si="4"/>
        <v>1170570.9803921569</v>
      </c>
      <c r="O29" s="158"/>
      <c r="P29" s="158"/>
      <c r="Q29" s="158">
        <f t="shared" si="6"/>
        <v>2600</v>
      </c>
      <c r="R29" s="97">
        <v>1300</v>
      </c>
      <c r="S29" s="97"/>
      <c r="T29" s="158">
        <f t="shared" si="8"/>
        <v>130</v>
      </c>
      <c r="U29" s="97">
        <v>20</v>
      </c>
      <c r="V29" s="97">
        <v>6</v>
      </c>
      <c r="W29" s="158">
        <f t="shared" si="9"/>
        <v>260</v>
      </c>
      <c r="X29" s="97">
        <v>26</v>
      </c>
      <c r="Y29" s="97">
        <v>52</v>
      </c>
      <c r="Z29" s="97">
        <v>2000</v>
      </c>
      <c r="AA29" s="97">
        <v>600</v>
      </c>
    </row>
    <row r="30" spans="1:27" ht="16.5" x14ac:dyDescent="0.3">
      <c r="A30" s="22" t="s">
        <v>1974</v>
      </c>
      <c r="B30" s="22" t="s">
        <v>1975</v>
      </c>
      <c r="C30" s="23" t="s">
        <v>2029</v>
      </c>
      <c r="D30" s="22" t="s">
        <v>2030</v>
      </c>
      <c r="E30" s="22"/>
      <c r="F30" s="158">
        <v>27</v>
      </c>
      <c r="G30" s="158"/>
      <c r="H30" s="158">
        <f t="shared" si="1"/>
        <v>2700</v>
      </c>
      <c r="I30" s="158">
        <f t="shared" si="2"/>
        <v>270</v>
      </c>
      <c r="J30" s="158">
        <f t="shared" si="3"/>
        <v>135</v>
      </c>
      <c r="K30" s="201">
        <f>H30*属性价值参考!C$5+龙魂炼体!I30*(属性价值参考!C$7+属性价值参考!C$8)+龙魂炼体!J30*(属性价值参考!C$9+属性价值参考!C$10)</f>
        <v>40338</v>
      </c>
      <c r="L30" s="201">
        <f>R30*属性价值参考!C$22+S30*属性价值参考!C$23+龙魂炼体!U30*属性价值参考!C$24+龙魂炼体!V30*属性价值参考!C$16+龙魂炼体!X30*属性价值参考!C$19+龙魂炼体!Y30*属性价值参考!C$13+龙魂炼体!Z30*属性价值参考!C$25+龙魂炼体!AA30*属性价值参考!C$30</f>
        <v>21519.24</v>
      </c>
      <c r="M30" s="201">
        <f t="shared" si="7"/>
        <v>1212.8870588235295</v>
      </c>
      <c r="N30" s="201">
        <f t="shared" si="4"/>
        <v>1212887.0588235296</v>
      </c>
      <c r="O30" s="158"/>
      <c r="P30" s="158"/>
      <c r="Q30" s="158">
        <f t="shared" si="6"/>
        <v>2700</v>
      </c>
      <c r="R30" s="97">
        <v>1350</v>
      </c>
      <c r="S30" s="97"/>
      <c r="T30" s="158">
        <f t="shared" si="8"/>
        <v>135</v>
      </c>
      <c r="U30" s="97">
        <v>20</v>
      </c>
      <c r="V30" s="97">
        <v>7</v>
      </c>
      <c r="W30" s="158">
        <f t="shared" si="9"/>
        <v>270</v>
      </c>
      <c r="X30" s="97">
        <v>27</v>
      </c>
      <c r="Y30" s="97">
        <v>54</v>
      </c>
      <c r="Z30" s="97">
        <v>2000</v>
      </c>
      <c r="AA30" s="97">
        <v>700</v>
      </c>
    </row>
    <row r="31" spans="1:27" ht="16.5" x14ac:dyDescent="0.3">
      <c r="A31" s="22" t="s">
        <v>1974</v>
      </c>
      <c r="B31" s="22" t="s">
        <v>1975</v>
      </c>
      <c r="C31" s="23" t="s">
        <v>2031</v>
      </c>
      <c r="D31" s="22" t="s">
        <v>2032</v>
      </c>
      <c r="E31" s="22"/>
      <c r="F31" s="158">
        <v>28</v>
      </c>
      <c r="G31" s="158"/>
      <c r="H31" s="158">
        <f t="shared" si="1"/>
        <v>2800.0000000000005</v>
      </c>
      <c r="I31" s="158">
        <f t="shared" si="2"/>
        <v>280</v>
      </c>
      <c r="J31" s="158">
        <f t="shared" si="3"/>
        <v>140</v>
      </c>
      <c r="K31" s="201">
        <f>H31*属性价值参考!C$5+龙魂炼体!I31*(属性价值参考!C$7+属性价值参考!C$8)+龙魂炼体!J31*(属性价值参考!C$9+属性价值参考!C$10)</f>
        <v>41832</v>
      </c>
      <c r="L31" s="201">
        <f>R31*属性价值参考!C$22+S31*属性价值参考!C$23+龙魂炼体!U31*属性价值参考!C$24+龙魂炼体!V31*属性价值参考!C$16+龙魂炼体!X31*属性价值参考!C$19+龙魂炼体!Y31*属性价值参考!C$13+龙魂炼体!Z31*属性价值参考!C$25+龙魂炼体!AA31*属性价值参考!C$30</f>
        <v>22183.359999999997</v>
      </c>
      <c r="M31" s="201">
        <f t="shared" si="7"/>
        <v>1255.203137254902</v>
      </c>
      <c r="N31" s="201">
        <f t="shared" si="4"/>
        <v>1255203.1372549019</v>
      </c>
      <c r="O31" s="158"/>
      <c r="P31" s="158"/>
      <c r="Q31" s="158">
        <f t="shared" si="6"/>
        <v>2800.0000000000005</v>
      </c>
      <c r="R31" s="97">
        <v>1400</v>
      </c>
      <c r="S31" s="97"/>
      <c r="T31" s="158">
        <f t="shared" si="8"/>
        <v>140</v>
      </c>
      <c r="U31" s="97">
        <v>20</v>
      </c>
      <c r="V31" s="97">
        <v>8</v>
      </c>
      <c r="W31" s="158">
        <f t="shared" si="9"/>
        <v>280</v>
      </c>
      <c r="X31" s="97">
        <v>28</v>
      </c>
      <c r="Y31" s="97">
        <v>56</v>
      </c>
      <c r="Z31" s="97">
        <v>2000</v>
      </c>
      <c r="AA31" s="97">
        <v>800</v>
      </c>
    </row>
    <row r="32" spans="1:27" ht="16.5" x14ac:dyDescent="0.3">
      <c r="A32" s="22" t="s">
        <v>1974</v>
      </c>
      <c r="B32" s="22" t="s">
        <v>1975</v>
      </c>
      <c r="C32" s="23" t="s">
        <v>2033</v>
      </c>
      <c r="D32" s="22" t="s">
        <v>2034</v>
      </c>
      <c r="E32" s="22"/>
      <c r="F32" s="158">
        <v>29</v>
      </c>
      <c r="G32" s="158"/>
      <c r="H32" s="158">
        <f t="shared" si="1"/>
        <v>2900</v>
      </c>
      <c r="I32" s="158">
        <f t="shared" si="2"/>
        <v>290</v>
      </c>
      <c r="J32" s="158">
        <f t="shared" si="3"/>
        <v>145</v>
      </c>
      <c r="K32" s="201">
        <f>H32*属性价值参考!C$5+龙魂炼体!I32*(属性价值参考!C$7+属性价值参考!C$8)+龙魂炼体!J32*(属性价值参考!C$9+属性价值参考!C$10)</f>
        <v>43326</v>
      </c>
      <c r="L32" s="201">
        <f>R32*属性价值参考!C$22+S32*属性价值参考!C$23+龙魂炼体!U32*属性价值参考!C$24+龙魂炼体!V32*属性价值参考!C$16+龙魂炼体!X32*属性价值参考!C$19+龙魂炼体!Y32*属性价值参考!C$13+龙魂炼体!Z32*属性价值参考!C$25+龙魂炼体!AA32*属性价值参考!C$30</f>
        <v>22847.48</v>
      </c>
      <c r="M32" s="201">
        <f t="shared" si="7"/>
        <v>1297.5192156862745</v>
      </c>
      <c r="N32" s="201">
        <f t="shared" si="4"/>
        <v>1297519.2156862745</v>
      </c>
      <c r="O32" s="158"/>
      <c r="P32" s="158"/>
      <c r="Q32" s="158">
        <f t="shared" si="6"/>
        <v>2900</v>
      </c>
      <c r="R32" s="97">
        <v>1450</v>
      </c>
      <c r="S32" s="97"/>
      <c r="T32" s="158">
        <f t="shared" si="8"/>
        <v>145</v>
      </c>
      <c r="U32" s="97">
        <v>20</v>
      </c>
      <c r="V32" s="97">
        <v>9</v>
      </c>
      <c r="W32" s="158">
        <f t="shared" si="9"/>
        <v>290</v>
      </c>
      <c r="X32" s="97">
        <v>29</v>
      </c>
      <c r="Y32" s="97">
        <v>58</v>
      </c>
      <c r="Z32" s="97">
        <v>2000</v>
      </c>
      <c r="AA32" s="97">
        <v>900</v>
      </c>
    </row>
    <row r="33" spans="1:27" ht="16.5" x14ac:dyDescent="0.3">
      <c r="A33" s="22" t="s">
        <v>1974</v>
      </c>
      <c r="B33" s="22" t="s">
        <v>1975</v>
      </c>
      <c r="C33" s="23" t="s">
        <v>2035</v>
      </c>
      <c r="D33" s="22" t="s">
        <v>2036</v>
      </c>
      <c r="E33" s="22"/>
      <c r="F33" s="158">
        <v>30</v>
      </c>
      <c r="G33" s="158"/>
      <c r="H33" s="158">
        <f t="shared" si="1"/>
        <v>3000</v>
      </c>
      <c r="I33" s="158">
        <f t="shared" si="2"/>
        <v>300</v>
      </c>
      <c r="J33" s="158">
        <f t="shared" si="3"/>
        <v>150</v>
      </c>
      <c r="K33" s="201">
        <f>H33*属性价值参考!C$5+龙魂炼体!I33*(属性价值参考!C$7+属性价值参考!C$8)+龙魂炼体!J33*(属性价值参考!C$9+属性价值参考!C$10)</f>
        <v>44820</v>
      </c>
      <c r="L33" s="201">
        <f>R33*属性价值参考!C$22+S33*属性价值参考!C$23+龙魂炼体!U33*属性价值参考!C$24+龙魂炼体!V33*属性价值参考!C$16+龙魂炼体!X33*属性价值参考!C$19+龙魂炼体!Y33*属性价值参考!C$13+龙魂炼体!Z33*属性价值参考!C$25+龙魂炼体!AA33*属性价值参考!C$30</f>
        <v>23511.599999999999</v>
      </c>
      <c r="M33" s="201">
        <f t="shared" si="7"/>
        <v>1339.8352941176472</v>
      </c>
      <c r="N33" s="201">
        <f t="shared" si="4"/>
        <v>1339835.2941176472</v>
      </c>
      <c r="O33" s="158"/>
      <c r="P33" s="158"/>
      <c r="Q33" s="158">
        <f t="shared" si="6"/>
        <v>3000</v>
      </c>
      <c r="R33" s="97">
        <v>1500</v>
      </c>
      <c r="S33" s="97"/>
      <c r="T33" s="158">
        <f t="shared" si="8"/>
        <v>150</v>
      </c>
      <c r="U33" s="97">
        <v>20</v>
      </c>
      <c r="V33" s="97">
        <v>10</v>
      </c>
      <c r="W33" s="158">
        <f t="shared" si="9"/>
        <v>300</v>
      </c>
      <c r="X33" s="97">
        <v>30</v>
      </c>
      <c r="Y33" s="97">
        <v>60</v>
      </c>
      <c r="Z33" s="97">
        <v>2000</v>
      </c>
      <c r="AA33" s="97">
        <v>1000</v>
      </c>
    </row>
    <row r="34" spans="1:27" ht="16.5" x14ac:dyDescent="0.3">
      <c r="A34" s="22" t="s">
        <v>1974</v>
      </c>
      <c r="B34" s="22" t="s">
        <v>1975</v>
      </c>
      <c r="C34" s="23" t="s">
        <v>2037</v>
      </c>
      <c r="D34" s="22" t="s">
        <v>2038</v>
      </c>
      <c r="E34" s="22"/>
      <c r="F34" s="158">
        <v>31</v>
      </c>
      <c r="G34" s="158"/>
      <c r="H34" s="158">
        <f t="shared" si="1"/>
        <v>3100</v>
      </c>
      <c r="I34" s="158">
        <f t="shared" si="2"/>
        <v>310</v>
      </c>
      <c r="J34" s="158">
        <f t="shared" si="3"/>
        <v>155</v>
      </c>
      <c r="K34" s="201">
        <f>H34*属性价值参考!C$5+龙魂炼体!I34*(属性价值参考!C$7+属性价值参考!C$8)+龙魂炼体!J34*(属性价值参考!C$9+属性价值参考!C$10)</f>
        <v>46314</v>
      </c>
      <c r="L34" s="201">
        <f>R34*属性价值参考!C$22+S34*属性价值参考!C$23+龙魂炼体!U34*属性价值参考!C$24+龙魂炼体!V34*属性价值参考!C$16+龙魂炼体!X34*属性价值参考!C$19+龙魂炼体!Y34*属性价值参考!C$13+龙魂炼体!Z34*属性价值参考!C$25+龙魂炼体!AA34*属性价值参考!C$30</f>
        <v>24175.72</v>
      </c>
      <c r="M34" s="201">
        <f t="shared" si="7"/>
        <v>1382.1513725490197</v>
      </c>
      <c r="N34" s="201">
        <f t="shared" si="4"/>
        <v>1382151.3725490198</v>
      </c>
      <c r="O34" s="158"/>
      <c r="P34" s="158"/>
      <c r="Q34" s="158">
        <f t="shared" si="6"/>
        <v>3100</v>
      </c>
      <c r="R34" s="97">
        <v>1500</v>
      </c>
      <c r="S34" s="97">
        <v>50</v>
      </c>
      <c r="T34" s="158">
        <f t="shared" si="8"/>
        <v>155</v>
      </c>
      <c r="U34" s="97">
        <v>20</v>
      </c>
      <c r="V34" s="97">
        <v>11</v>
      </c>
      <c r="W34" s="158">
        <f t="shared" si="9"/>
        <v>310</v>
      </c>
      <c r="X34" s="97">
        <v>31</v>
      </c>
      <c r="Y34" s="97">
        <v>62</v>
      </c>
      <c r="Z34" s="97">
        <v>2000</v>
      </c>
      <c r="AA34" s="97">
        <v>1100</v>
      </c>
    </row>
    <row r="35" spans="1:27" ht="16.5" x14ac:dyDescent="0.3">
      <c r="A35" s="22" t="s">
        <v>1974</v>
      </c>
      <c r="B35" s="22" t="s">
        <v>1975</v>
      </c>
      <c r="C35" s="23" t="s">
        <v>2039</v>
      </c>
      <c r="D35" s="22" t="s">
        <v>2040</v>
      </c>
      <c r="E35" s="22"/>
      <c r="F35" s="158">
        <v>32</v>
      </c>
      <c r="G35" s="158"/>
      <c r="H35" s="158">
        <f t="shared" si="1"/>
        <v>3200</v>
      </c>
      <c r="I35" s="158">
        <f t="shared" si="2"/>
        <v>320</v>
      </c>
      <c r="J35" s="158">
        <f t="shared" si="3"/>
        <v>160</v>
      </c>
      <c r="K35" s="201">
        <f>H35*属性价值参考!C$5+龙魂炼体!I35*(属性价值参考!C$7+属性价值参考!C$8)+龙魂炼体!J35*(属性价值参考!C$9+属性价值参考!C$10)</f>
        <v>47808</v>
      </c>
      <c r="L35" s="201">
        <f>R35*属性价值参考!C$22+S35*属性价值参考!C$23+龙魂炼体!U35*属性价值参考!C$24+龙魂炼体!V35*属性价值参考!C$16+龙魂炼体!X35*属性价值参考!C$19+龙魂炼体!Y35*属性价值参考!C$13+龙魂炼体!Z35*属性价值参考!C$25+龙魂炼体!AA35*属性价值参考!C$30</f>
        <v>24839.84</v>
      </c>
      <c r="M35" s="201">
        <f t="shared" si="7"/>
        <v>1424.4674509803922</v>
      </c>
      <c r="N35" s="201">
        <f t="shared" si="4"/>
        <v>1424467.4509803923</v>
      </c>
      <c r="O35" s="158"/>
      <c r="P35" s="158"/>
      <c r="Q35" s="158">
        <f t="shared" si="6"/>
        <v>3200</v>
      </c>
      <c r="R35" s="97">
        <v>1500</v>
      </c>
      <c r="S35" s="97">
        <v>100</v>
      </c>
      <c r="T35" s="158">
        <f t="shared" si="8"/>
        <v>160</v>
      </c>
      <c r="U35" s="97">
        <v>20</v>
      </c>
      <c r="V35" s="97">
        <v>12</v>
      </c>
      <c r="W35" s="158">
        <f t="shared" si="9"/>
        <v>320</v>
      </c>
      <c r="X35" s="97">
        <v>32</v>
      </c>
      <c r="Y35" s="97">
        <v>64</v>
      </c>
      <c r="Z35" s="97">
        <v>2000</v>
      </c>
      <c r="AA35" s="97">
        <v>1200</v>
      </c>
    </row>
    <row r="36" spans="1:27" ht="16.5" x14ac:dyDescent="0.3">
      <c r="A36" s="22" t="s">
        <v>1974</v>
      </c>
      <c r="B36" s="22" t="s">
        <v>1975</v>
      </c>
      <c r="C36" s="23" t="s">
        <v>2041</v>
      </c>
      <c r="D36" s="22" t="s">
        <v>2042</v>
      </c>
      <c r="E36" s="22"/>
      <c r="F36" s="158">
        <v>33</v>
      </c>
      <c r="G36" s="158"/>
      <c r="H36" s="158">
        <f t="shared" si="1"/>
        <v>3300</v>
      </c>
      <c r="I36" s="158">
        <f t="shared" si="2"/>
        <v>330</v>
      </c>
      <c r="J36" s="158">
        <f t="shared" si="3"/>
        <v>165</v>
      </c>
      <c r="K36" s="201">
        <f>H36*属性价值参考!C$5+龙魂炼体!I36*(属性价值参考!C$7+属性价值参考!C$8)+龙魂炼体!J36*(属性价值参考!C$9+属性价值参考!C$10)</f>
        <v>49302</v>
      </c>
      <c r="L36" s="201">
        <f>R36*属性价值参考!C$22+S36*属性价值参考!C$23+龙魂炼体!U36*属性价值参考!C$24+龙魂炼体!V36*属性价值参考!C$16+龙魂炼体!X36*属性价值参考!C$19+龙魂炼体!Y36*属性价值参考!C$13+龙魂炼体!Z36*属性价值参考!C$25+龙魂炼体!AA36*属性价值参考!C$30</f>
        <v>25503.96</v>
      </c>
      <c r="M36" s="201">
        <f t="shared" si="7"/>
        <v>1466.7835294117644</v>
      </c>
      <c r="N36" s="201">
        <f t="shared" si="4"/>
        <v>1466783.5294117643</v>
      </c>
      <c r="O36" s="158"/>
      <c r="P36" s="158"/>
      <c r="Q36" s="158">
        <f t="shared" si="6"/>
        <v>3300</v>
      </c>
      <c r="R36" s="97">
        <v>1500</v>
      </c>
      <c r="S36" s="97">
        <v>150</v>
      </c>
      <c r="T36" s="158">
        <f t="shared" si="8"/>
        <v>165</v>
      </c>
      <c r="U36" s="97">
        <v>20</v>
      </c>
      <c r="V36" s="97">
        <v>13</v>
      </c>
      <c r="W36" s="158">
        <f t="shared" si="9"/>
        <v>330</v>
      </c>
      <c r="X36" s="97">
        <v>33</v>
      </c>
      <c r="Y36" s="97">
        <v>66</v>
      </c>
      <c r="Z36" s="97">
        <v>2000</v>
      </c>
      <c r="AA36" s="97">
        <v>1300</v>
      </c>
    </row>
    <row r="37" spans="1:27" ht="16.5" x14ac:dyDescent="0.3">
      <c r="A37" s="22" t="s">
        <v>1974</v>
      </c>
      <c r="B37" s="22" t="s">
        <v>1975</v>
      </c>
      <c r="C37" s="23" t="s">
        <v>2043</v>
      </c>
      <c r="D37" s="22" t="s">
        <v>2044</v>
      </c>
      <c r="E37" s="22"/>
      <c r="F37" s="158">
        <v>34</v>
      </c>
      <c r="G37" s="158"/>
      <c r="H37" s="158">
        <f t="shared" si="1"/>
        <v>3400.0000000000005</v>
      </c>
      <c r="I37" s="158">
        <f t="shared" si="2"/>
        <v>340</v>
      </c>
      <c r="J37" s="158">
        <f t="shared" si="3"/>
        <v>170</v>
      </c>
      <c r="K37" s="201">
        <f>H37*属性价值参考!C$5+龙魂炼体!I37*(属性价值参考!C$7+属性价值参考!C$8)+龙魂炼体!J37*(属性价值参考!C$9+属性价值参考!C$10)</f>
        <v>50796.000000000007</v>
      </c>
      <c r="L37" s="201">
        <f>R37*属性价值参考!C$22+S37*属性价值参考!C$23+龙魂炼体!U37*属性价值参考!C$24+龙魂炼体!V37*属性价值参考!C$16+龙魂炼体!X37*属性价值参考!C$19+龙魂炼体!Y37*属性价值参考!C$13+龙魂炼体!Z37*属性价值参考!C$25+龙魂炼体!AA37*属性价值参考!C$30</f>
        <v>26168.079999999998</v>
      </c>
      <c r="M37" s="201">
        <f t="shared" si="7"/>
        <v>1509.0996078431374</v>
      </c>
      <c r="N37" s="201">
        <f t="shared" si="4"/>
        <v>1509099.6078431373</v>
      </c>
      <c r="O37" s="158"/>
      <c r="P37" s="158"/>
      <c r="Q37" s="158">
        <f t="shared" si="6"/>
        <v>3400.0000000000005</v>
      </c>
      <c r="R37" s="97">
        <v>1500</v>
      </c>
      <c r="S37" s="97">
        <v>200</v>
      </c>
      <c r="T37" s="158">
        <f t="shared" si="8"/>
        <v>170</v>
      </c>
      <c r="U37" s="97">
        <v>20</v>
      </c>
      <c r="V37" s="97">
        <v>14</v>
      </c>
      <c r="W37" s="158">
        <f t="shared" si="9"/>
        <v>340</v>
      </c>
      <c r="X37" s="97">
        <v>34</v>
      </c>
      <c r="Y37" s="97">
        <v>68</v>
      </c>
      <c r="Z37" s="97">
        <v>2000</v>
      </c>
      <c r="AA37" s="97">
        <v>1400</v>
      </c>
    </row>
    <row r="38" spans="1:27" ht="16.5" x14ac:dyDescent="0.3">
      <c r="A38" s="22" t="s">
        <v>1974</v>
      </c>
      <c r="B38" s="22" t="s">
        <v>1975</v>
      </c>
      <c r="C38" s="23" t="s">
        <v>2045</v>
      </c>
      <c r="D38" s="22" t="s">
        <v>2046</v>
      </c>
      <c r="E38" s="22"/>
      <c r="F38" s="158">
        <v>35</v>
      </c>
      <c r="G38" s="158"/>
      <c r="H38" s="158">
        <f t="shared" si="1"/>
        <v>3500</v>
      </c>
      <c r="I38" s="158">
        <f t="shared" si="2"/>
        <v>350</v>
      </c>
      <c r="J38" s="158">
        <f t="shared" si="3"/>
        <v>175</v>
      </c>
      <c r="K38" s="201">
        <f>H38*属性价值参考!C$5+龙魂炼体!I38*(属性价值参考!C$7+属性价值参考!C$8)+龙魂炼体!J38*(属性价值参考!C$9+属性价值参考!C$10)</f>
        <v>52290</v>
      </c>
      <c r="L38" s="201">
        <f>R38*属性价值参考!C$22+S38*属性价值参考!C$23+龙魂炼体!U38*属性价值参考!C$24+龙魂炼体!V38*属性价值参考!C$16+龙魂炼体!X38*属性价值参考!C$19+龙魂炼体!Y38*属性价值参考!C$13+龙魂炼体!Z38*属性价值参考!C$25+龙魂炼体!AA38*属性价值参考!C$30</f>
        <v>26832.2</v>
      </c>
      <c r="M38" s="201">
        <f t="shared" si="7"/>
        <v>1551.4156862745097</v>
      </c>
      <c r="N38" s="201">
        <f t="shared" si="4"/>
        <v>1551415.6862745096</v>
      </c>
      <c r="O38" s="158"/>
      <c r="P38" s="158"/>
      <c r="Q38" s="158">
        <f t="shared" si="6"/>
        <v>3500</v>
      </c>
      <c r="R38" s="97">
        <v>1500</v>
      </c>
      <c r="S38" s="97">
        <v>250</v>
      </c>
      <c r="T38" s="158">
        <f t="shared" si="8"/>
        <v>175</v>
      </c>
      <c r="U38" s="97">
        <v>20</v>
      </c>
      <c r="V38" s="97">
        <v>15</v>
      </c>
      <c r="W38" s="158">
        <f t="shared" si="9"/>
        <v>350</v>
      </c>
      <c r="X38" s="97">
        <v>35</v>
      </c>
      <c r="Y38" s="97">
        <v>70</v>
      </c>
      <c r="Z38" s="97">
        <v>2000</v>
      </c>
      <c r="AA38" s="97">
        <v>1500</v>
      </c>
    </row>
    <row r="39" spans="1:27" ht="16.5" x14ac:dyDescent="0.3">
      <c r="A39" s="22" t="s">
        <v>1974</v>
      </c>
      <c r="B39" s="22" t="s">
        <v>1975</v>
      </c>
      <c r="C39" s="23" t="s">
        <v>2047</v>
      </c>
      <c r="D39" s="22" t="s">
        <v>2048</v>
      </c>
      <c r="E39" s="22"/>
      <c r="F39" s="158">
        <v>36</v>
      </c>
      <c r="G39" s="158"/>
      <c r="H39" s="158">
        <f t="shared" si="1"/>
        <v>3600</v>
      </c>
      <c r="I39" s="158">
        <f t="shared" si="2"/>
        <v>360</v>
      </c>
      <c r="J39" s="158">
        <f t="shared" si="3"/>
        <v>180</v>
      </c>
      <c r="K39" s="201">
        <f>H39*属性价值参考!C$5+龙魂炼体!I39*(属性价值参考!C$7+属性价值参考!C$8)+龙魂炼体!J39*(属性价值参考!C$9+属性价值参考!C$10)</f>
        <v>53784</v>
      </c>
      <c r="L39" s="201">
        <f>R39*属性价值参考!C$22+S39*属性价值参考!C$23+龙魂炼体!U39*属性价值参考!C$24+龙魂炼体!V39*属性价值参考!C$16+龙魂炼体!X39*属性价值参考!C$19+龙魂炼体!Y39*属性价值参考!C$13+龙魂炼体!Z39*属性价值参考!C$25+龙魂炼体!AA39*属性价值参考!C$30</f>
        <v>27496.32</v>
      </c>
      <c r="M39" s="201">
        <f t="shared" si="7"/>
        <v>1593.7317647058826</v>
      </c>
      <c r="N39" s="201">
        <f t="shared" si="4"/>
        <v>1593731.7647058826</v>
      </c>
      <c r="O39" s="158"/>
      <c r="P39" s="158"/>
      <c r="Q39" s="158">
        <f t="shared" si="6"/>
        <v>3600</v>
      </c>
      <c r="R39" s="97">
        <v>1500</v>
      </c>
      <c r="S39" s="97">
        <v>300</v>
      </c>
      <c r="T39" s="158">
        <f t="shared" si="8"/>
        <v>180</v>
      </c>
      <c r="U39" s="97">
        <v>20</v>
      </c>
      <c r="V39" s="97">
        <v>16</v>
      </c>
      <c r="W39" s="158">
        <f t="shared" si="9"/>
        <v>360</v>
      </c>
      <c r="X39" s="97">
        <v>36</v>
      </c>
      <c r="Y39" s="97">
        <v>72</v>
      </c>
      <c r="Z39" s="97">
        <v>2000</v>
      </c>
      <c r="AA39" s="97">
        <v>1600</v>
      </c>
    </row>
    <row r="40" spans="1:27" ht="16.5" x14ac:dyDescent="0.3">
      <c r="A40" s="22" t="s">
        <v>1974</v>
      </c>
      <c r="B40" s="22" t="s">
        <v>1975</v>
      </c>
      <c r="C40" s="23" t="s">
        <v>2049</v>
      </c>
      <c r="D40" s="22" t="s">
        <v>2050</v>
      </c>
      <c r="E40" s="22"/>
      <c r="F40" s="158">
        <v>37</v>
      </c>
      <c r="G40" s="158"/>
      <c r="H40" s="158">
        <f t="shared" si="1"/>
        <v>3700</v>
      </c>
      <c r="I40" s="158">
        <f t="shared" si="2"/>
        <v>370</v>
      </c>
      <c r="J40" s="158">
        <f t="shared" si="3"/>
        <v>185</v>
      </c>
      <c r="K40" s="201">
        <f>H40*属性价值参考!C$5+龙魂炼体!I40*(属性价值参考!C$7+属性价值参考!C$8)+龙魂炼体!J40*(属性价值参考!C$9+属性价值参考!C$10)</f>
        <v>55278</v>
      </c>
      <c r="L40" s="201">
        <f>R40*属性价值参考!C$22+S40*属性价值参考!C$23+龙魂炼体!U40*属性价值参考!C$24+龙魂炼体!V40*属性价值参考!C$16+龙魂炼体!X40*属性价值参考!C$19+龙魂炼体!Y40*属性价值参考!C$13+龙魂炼体!Z40*属性价值参考!C$25+龙魂炼体!AA40*属性价值参考!C$30</f>
        <v>28160.440000000002</v>
      </c>
      <c r="M40" s="201">
        <f t="shared" si="7"/>
        <v>1636.0478431372549</v>
      </c>
      <c r="N40" s="201">
        <f t="shared" si="4"/>
        <v>1636047.8431372549</v>
      </c>
      <c r="O40" s="158"/>
      <c r="P40" s="158"/>
      <c r="Q40" s="158">
        <f t="shared" si="6"/>
        <v>3700</v>
      </c>
      <c r="R40" s="97">
        <v>1500</v>
      </c>
      <c r="S40" s="97">
        <v>350</v>
      </c>
      <c r="T40" s="158">
        <f t="shared" si="8"/>
        <v>185</v>
      </c>
      <c r="U40" s="97">
        <v>20</v>
      </c>
      <c r="V40" s="97">
        <v>17</v>
      </c>
      <c r="W40" s="158">
        <f t="shared" si="9"/>
        <v>370</v>
      </c>
      <c r="X40" s="97">
        <v>37</v>
      </c>
      <c r="Y40" s="97">
        <v>74</v>
      </c>
      <c r="Z40" s="97">
        <v>2000</v>
      </c>
      <c r="AA40" s="97">
        <v>1700</v>
      </c>
    </row>
    <row r="41" spans="1:27" ht="16.5" x14ac:dyDescent="0.3">
      <c r="A41" s="22" t="s">
        <v>1974</v>
      </c>
      <c r="B41" s="22" t="s">
        <v>1975</v>
      </c>
      <c r="C41" s="23" t="s">
        <v>2051</v>
      </c>
      <c r="D41" s="22" t="s">
        <v>2052</v>
      </c>
      <c r="E41" s="22"/>
      <c r="F41" s="158">
        <v>38</v>
      </c>
      <c r="G41" s="158"/>
      <c r="H41" s="158">
        <f t="shared" si="1"/>
        <v>3800</v>
      </c>
      <c r="I41" s="158">
        <f t="shared" si="2"/>
        <v>380</v>
      </c>
      <c r="J41" s="158">
        <f t="shared" si="3"/>
        <v>190</v>
      </c>
      <c r="K41" s="201">
        <f>H41*属性价值参考!C$5+龙魂炼体!I41*(属性价值参考!C$7+属性价值参考!C$8)+龙魂炼体!J41*(属性价值参考!C$9+属性价值参考!C$10)</f>
        <v>56772</v>
      </c>
      <c r="L41" s="201">
        <f>R41*属性价值参考!C$22+S41*属性价值参考!C$23+龙魂炼体!U41*属性价值参考!C$24+龙魂炼体!V41*属性价值参考!C$16+龙魂炼体!X41*属性价值参考!C$19+龙魂炼体!Y41*属性价值参考!C$13+龙魂炼体!Z41*属性价值参考!C$25+龙魂炼体!AA41*属性价值参考!C$30</f>
        <v>28824.559999999998</v>
      </c>
      <c r="M41" s="201">
        <f t="shared" si="7"/>
        <v>1678.3639215686273</v>
      </c>
      <c r="N41" s="201">
        <f t="shared" si="4"/>
        <v>1678363.9215686272</v>
      </c>
      <c r="O41" s="158"/>
      <c r="P41" s="158"/>
      <c r="Q41" s="158">
        <f t="shared" si="6"/>
        <v>3800</v>
      </c>
      <c r="R41" s="97">
        <v>1500</v>
      </c>
      <c r="S41" s="97">
        <v>400</v>
      </c>
      <c r="T41" s="158">
        <f t="shared" si="8"/>
        <v>190</v>
      </c>
      <c r="U41" s="97">
        <v>20</v>
      </c>
      <c r="V41" s="97">
        <v>18</v>
      </c>
      <c r="W41" s="158">
        <f t="shared" si="9"/>
        <v>380</v>
      </c>
      <c r="X41" s="97">
        <v>38</v>
      </c>
      <c r="Y41" s="97">
        <v>76</v>
      </c>
      <c r="Z41" s="97">
        <v>2000</v>
      </c>
      <c r="AA41" s="97">
        <v>1800</v>
      </c>
    </row>
    <row r="42" spans="1:27" ht="16.5" x14ac:dyDescent="0.3">
      <c r="A42" s="22" t="s">
        <v>1974</v>
      </c>
      <c r="B42" s="22" t="s">
        <v>1975</v>
      </c>
      <c r="C42" s="23" t="s">
        <v>2053</v>
      </c>
      <c r="D42" s="22" t="s">
        <v>2054</v>
      </c>
      <c r="E42" s="22"/>
      <c r="F42" s="158">
        <v>39</v>
      </c>
      <c r="G42" s="158"/>
      <c r="H42" s="158">
        <f t="shared" si="1"/>
        <v>3900</v>
      </c>
      <c r="I42" s="158">
        <f t="shared" si="2"/>
        <v>390</v>
      </c>
      <c r="J42" s="158">
        <f t="shared" si="3"/>
        <v>195</v>
      </c>
      <c r="K42" s="201">
        <f>H42*属性价值参考!C$5+龙魂炼体!I42*(属性价值参考!C$7+属性价值参考!C$8)+龙魂炼体!J42*(属性价值参考!C$9+属性价值参考!C$10)</f>
        <v>58266</v>
      </c>
      <c r="L42" s="201">
        <f>R42*属性价值参考!C$22+S42*属性价值参考!C$23+龙魂炼体!U42*属性价值参考!C$24+龙魂炼体!V42*属性价值参考!C$16+龙魂炼体!X42*属性价值参考!C$19+龙魂炼体!Y42*属性价值参考!C$13+龙魂炼体!Z42*属性价值参考!C$25+龙魂炼体!AA42*属性价值参考!C$30</f>
        <v>29488.679999999997</v>
      </c>
      <c r="M42" s="201">
        <f t="shared" si="7"/>
        <v>1720.6799999999998</v>
      </c>
      <c r="N42" s="201">
        <f t="shared" si="4"/>
        <v>1720679.9999999998</v>
      </c>
      <c r="O42" s="158"/>
      <c r="P42" s="158"/>
      <c r="Q42" s="158">
        <f t="shared" si="6"/>
        <v>3900</v>
      </c>
      <c r="R42" s="97">
        <v>1500</v>
      </c>
      <c r="S42" s="97">
        <v>450</v>
      </c>
      <c r="T42" s="158">
        <f t="shared" si="8"/>
        <v>195</v>
      </c>
      <c r="U42" s="97">
        <v>20</v>
      </c>
      <c r="V42" s="97">
        <v>19</v>
      </c>
      <c r="W42" s="158">
        <f t="shared" si="9"/>
        <v>390</v>
      </c>
      <c r="X42" s="97">
        <v>39</v>
      </c>
      <c r="Y42" s="97">
        <v>78</v>
      </c>
      <c r="Z42" s="97">
        <v>2000</v>
      </c>
      <c r="AA42" s="97">
        <v>1900</v>
      </c>
    </row>
    <row r="43" spans="1:27" ht="16.5" x14ac:dyDescent="0.3">
      <c r="A43" s="22" t="s">
        <v>1974</v>
      </c>
      <c r="B43" s="22" t="s">
        <v>1975</v>
      </c>
      <c r="C43" s="23" t="s">
        <v>2055</v>
      </c>
      <c r="D43" s="22" t="s">
        <v>2056</v>
      </c>
      <c r="E43" s="22"/>
      <c r="F43" s="158">
        <v>40</v>
      </c>
      <c r="G43" s="158"/>
      <c r="H43" s="158">
        <f t="shared" si="1"/>
        <v>4000</v>
      </c>
      <c r="I43" s="158">
        <f t="shared" si="2"/>
        <v>400</v>
      </c>
      <c r="J43" s="158">
        <f t="shared" si="3"/>
        <v>200</v>
      </c>
      <c r="K43" s="201">
        <f>H43*属性价值参考!C$5+龙魂炼体!I43*(属性价值参考!C$7+属性价值参考!C$8)+龙魂炼体!J43*(属性价值参考!C$9+属性价值参考!C$10)</f>
        <v>59760</v>
      </c>
      <c r="L43" s="201">
        <f>R43*属性价值参考!C$22+S43*属性价值参考!C$23+龙魂炼体!U43*属性价值参考!C$24+龙魂炼体!V43*属性价值参考!C$16+龙魂炼体!X43*属性价值参考!C$19+龙魂炼体!Y43*属性价值参考!C$13+龙魂炼体!Z43*属性价值参考!C$25+龙魂炼体!AA43*属性价值参考!C$30</f>
        <v>30152.799999999999</v>
      </c>
      <c r="M43" s="201">
        <f t="shared" si="7"/>
        <v>1762.9960784313726</v>
      </c>
      <c r="N43" s="201">
        <f t="shared" si="4"/>
        <v>1762996.0784313725</v>
      </c>
      <c r="O43" s="158"/>
      <c r="P43" s="158"/>
      <c r="Q43" s="158">
        <f t="shared" si="6"/>
        <v>4000</v>
      </c>
      <c r="R43" s="97">
        <v>1500</v>
      </c>
      <c r="S43" s="97">
        <v>500</v>
      </c>
      <c r="T43" s="158">
        <f t="shared" si="8"/>
        <v>200</v>
      </c>
      <c r="U43" s="97">
        <v>20</v>
      </c>
      <c r="V43" s="97">
        <v>20</v>
      </c>
      <c r="W43" s="158">
        <f t="shared" si="9"/>
        <v>400</v>
      </c>
      <c r="X43" s="97">
        <v>40</v>
      </c>
      <c r="Y43" s="97">
        <v>80</v>
      </c>
      <c r="Z43" s="97">
        <v>2000</v>
      </c>
      <c r="AA43" s="97">
        <v>2000</v>
      </c>
    </row>
    <row r="44" spans="1:27" ht="16.5" x14ac:dyDescent="0.3">
      <c r="A44" s="22" t="s">
        <v>1974</v>
      </c>
      <c r="B44" s="22" t="s">
        <v>1975</v>
      </c>
      <c r="C44" s="23" t="s">
        <v>2057</v>
      </c>
      <c r="D44" s="22" t="s">
        <v>2058</v>
      </c>
      <c r="E44" s="22"/>
      <c r="F44" s="158">
        <v>41</v>
      </c>
      <c r="G44" s="158"/>
      <c r="H44" s="158">
        <f t="shared" si="1"/>
        <v>4100</v>
      </c>
      <c r="I44" s="158">
        <f t="shared" si="2"/>
        <v>410</v>
      </c>
      <c r="J44" s="158">
        <f t="shared" si="3"/>
        <v>205</v>
      </c>
      <c r="K44" s="201">
        <f>H44*属性价值参考!C$5+龙魂炼体!I44*(属性价值参考!C$7+属性价值参考!C$8)+龙魂炼体!J44*(属性价值参考!C$9+属性价值参考!C$10)</f>
        <v>61254</v>
      </c>
      <c r="L44" s="201">
        <f>R44*属性价值参考!C$22+S44*属性价值参考!C$23+龙魂炼体!U44*属性价值参考!C$24+龙魂炼体!V44*属性价值参考!C$16+龙魂炼体!X44*属性价值参考!C$19+龙魂炼体!Y44*属性价值参考!C$13+龙魂炼体!Z44*属性价值参考!C$25+龙魂炼体!AA44*属性价值参考!C$30</f>
        <v>30816.92</v>
      </c>
      <c r="M44" s="201">
        <f t="shared" si="7"/>
        <v>1805.312156862745</v>
      </c>
      <c r="N44" s="201">
        <f t="shared" si="4"/>
        <v>1805312.1568627451</v>
      </c>
      <c r="O44" s="158"/>
      <c r="P44" s="158"/>
      <c r="Q44" s="158">
        <f t="shared" si="6"/>
        <v>4100</v>
      </c>
      <c r="R44" s="97">
        <v>1500</v>
      </c>
      <c r="S44" s="97">
        <v>550</v>
      </c>
      <c r="T44" s="158">
        <f t="shared" si="8"/>
        <v>205</v>
      </c>
      <c r="U44" s="97">
        <v>20</v>
      </c>
      <c r="V44" s="97">
        <v>21</v>
      </c>
      <c r="W44" s="158">
        <f t="shared" si="9"/>
        <v>410</v>
      </c>
      <c r="X44" s="97">
        <v>41</v>
      </c>
      <c r="Y44" s="97">
        <v>82</v>
      </c>
      <c r="Z44" s="97">
        <v>2000</v>
      </c>
      <c r="AA44" s="97">
        <v>2100</v>
      </c>
    </row>
    <row r="45" spans="1:27" ht="16.5" x14ac:dyDescent="0.3">
      <c r="A45" s="22" t="s">
        <v>1974</v>
      </c>
      <c r="B45" s="22" t="s">
        <v>1975</v>
      </c>
      <c r="C45" s="23" t="s">
        <v>2059</v>
      </c>
      <c r="D45" s="22" t="s">
        <v>2060</v>
      </c>
      <c r="E45" s="22"/>
      <c r="F45" s="158">
        <v>42</v>
      </c>
      <c r="G45" s="158"/>
      <c r="H45" s="158">
        <f t="shared" si="1"/>
        <v>4200</v>
      </c>
      <c r="I45" s="158">
        <f t="shared" si="2"/>
        <v>420</v>
      </c>
      <c r="J45" s="158">
        <f t="shared" si="3"/>
        <v>210</v>
      </c>
      <c r="K45" s="201">
        <f>H45*属性价值参考!C$5+龙魂炼体!I45*(属性价值参考!C$7+属性价值参考!C$8)+龙魂炼体!J45*(属性价值参考!C$9+属性价值参考!C$10)</f>
        <v>62748</v>
      </c>
      <c r="L45" s="201">
        <f>R45*属性价值参考!C$22+S45*属性价值参考!C$23+龙魂炼体!U45*属性价值参考!C$24+龙魂炼体!V45*属性价值参考!C$16+龙魂炼体!X45*属性价值参考!C$19+龙魂炼体!Y45*属性价值参考!C$13+龙魂炼体!Z45*属性价值参考!C$25+龙魂炼体!AA45*属性价值参考!C$30</f>
        <v>31481.040000000001</v>
      </c>
      <c r="M45" s="201">
        <f t="shared" si="7"/>
        <v>1847.6282352941178</v>
      </c>
      <c r="N45" s="201">
        <f t="shared" si="4"/>
        <v>1847628.2352941178</v>
      </c>
      <c r="O45" s="158"/>
      <c r="P45" s="158"/>
      <c r="Q45" s="158">
        <f t="shared" si="6"/>
        <v>4200</v>
      </c>
      <c r="R45" s="97">
        <v>1500</v>
      </c>
      <c r="S45" s="97">
        <v>600</v>
      </c>
      <c r="T45" s="158">
        <f t="shared" si="8"/>
        <v>210</v>
      </c>
      <c r="U45" s="97">
        <v>20</v>
      </c>
      <c r="V45" s="97">
        <v>22</v>
      </c>
      <c r="W45" s="158">
        <f t="shared" si="9"/>
        <v>420</v>
      </c>
      <c r="X45" s="97">
        <v>42</v>
      </c>
      <c r="Y45" s="97">
        <v>84</v>
      </c>
      <c r="Z45" s="97">
        <v>2000</v>
      </c>
      <c r="AA45" s="97">
        <v>2200</v>
      </c>
    </row>
    <row r="46" spans="1:27" ht="16.5" x14ac:dyDescent="0.3">
      <c r="A46" s="22" t="s">
        <v>1974</v>
      </c>
      <c r="B46" s="22" t="s">
        <v>1975</v>
      </c>
      <c r="C46" s="23" t="s">
        <v>2061</v>
      </c>
      <c r="D46" s="22" t="s">
        <v>2062</v>
      </c>
      <c r="E46" s="22"/>
      <c r="F46" s="158">
        <v>43</v>
      </c>
      <c r="G46" s="158"/>
      <c r="H46" s="158">
        <f t="shared" si="1"/>
        <v>4300</v>
      </c>
      <c r="I46" s="158">
        <f t="shared" si="2"/>
        <v>430</v>
      </c>
      <c r="J46" s="158">
        <f t="shared" si="3"/>
        <v>215</v>
      </c>
      <c r="K46" s="201">
        <f>H46*属性价值参考!C$5+龙魂炼体!I46*(属性价值参考!C$7+属性价值参考!C$8)+龙魂炼体!J46*(属性价值参考!C$9+属性价值参考!C$10)</f>
        <v>64242</v>
      </c>
      <c r="L46" s="201">
        <f>R46*属性价值参考!C$22+S46*属性价值参考!C$23+龙魂炼体!U46*属性价值参考!C$24+龙魂炼体!V46*属性价值参考!C$16+龙魂炼体!X46*属性价值参考!C$19+龙魂炼体!Y46*属性价值参考!C$13+龙魂炼体!Z46*属性价值参考!C$25+龙魂炼体!AA46*属性价值参考!C$30</f>
        <v>32145.159999999996</v>
      </c>
      <c r="M46" s="201">
        <f t="shared" si="7"/>
        <v>1889.9443137254902</v>
      </c>
      <c r="N46" s="201">
        <f t="shared" si="4"/>
        <v>1889944.3137254904</v>
      </c>
      <c r="O46" s="158"/>
      <c r="P46" s="158"/>
      <c r="Q46" s="158">
        <f t="shared" si="6"/>
        <v>4300</v>
      </c>
      <c r="R46" s="97">
        <v>1500</v>
      </c>
      <c r="S46" s="97">
        <v>650</v>
      </c>
      <c r="T46" s="158">
        <f t="shared" si="8"/>
        <v>215</v>
      </c>
      <c r="U46" s="97">
        <v>20</v>
      </c>
      <c r="V46" s="97">
        <v>23</v>
      </c>
      <c r="W46" s="158">
        <f t="shared" si="9"/>
        <v>430</v>
      </c>
      <c r="X46" s="97">
        <v>43</v>
      </c>
      <c r="Y46" s="97">
        <v>86</v>
      </c>
      <c r="Z46" s="97">
        <v>2000</v>
      </c>
      <c r="AA46" s="97">
        <v>2300</v>
      </c>
    </row>
    <row r="47" spans="1:27" ht="16.5" x14ac:dyDescent="0.3">
      <c r="A47" s="22" t="s">
        <v>1974</v>
      </c>
      <c r="B47" s="22" t="s">
        <v>1975</v>
      </c>
      <c r="C47" s="23" t="s">
        <v>2063</v>
      </c>
      <c r="D47" s="22" t="s">
        <v>2064</v>
      </c>
      <c r="E47" s="22"/>
      <c r="F47" s="158">
        <v>44</v>
      </c>
      <c r="G47" s="158"/>
      <c r="H47" s="158">
        <f t="shared" si="1"/>
        <v>4400</v>
      </c>
      <c r="I47" s="158">
        <f t="shared" si="2"/>
        <v>440</v>
      </c>
      <c r="J47" s="158">
        <f t="shared" si="3"/>
        <v>220</v>
      </c>
      <c r="K47" s="201">
        <f>H47*属性价值参考!C$5+龙魂炼体!I47*(属性价值参考!C$7+属性价值参考!C$8)+龙魂炼体!J47*(属性价值参考!C$9+属性价值参考!C$10)</f>
        <v>65736</v>
      </c>
      <c r="L47" s="201">
        <f>R47*属性价值参考!C$22+S47*属性价值参考!C$23+龙魂炼体!U47*属性价值参考!C$24+龙魂炼体!V47*属性价值参考!C$16+龙魂炼体!X47*属性价值参考!C$19+龙魂炼体!Y47*属性价值参考!C$13+龙魂炼体!Z47*属性价值参考!C$25+龙魂炼体!AA47*属性价值参考!C$30</f>
        <v>32809.279999999999</v>
      </c>
      <c r="M47" s="201">
        <f t="shared" si="7"/>
        <v>1932.2603921568627</v>
      </c>
      <c r="N47" s="201">
        <f t="shared" si="4"/>
        <v>1932260.3921568627</v>
      </c>
      <c r="O47" s="158"/>
      <c r="P47" s="158"/>
      <c r="Q47" s="158">
        <f t="shared" si="6"/>
        <v>4400</v>
      </c>
      <c r="R47" s="97">
        <v>1500</v>
      </c>
      <c r="S47" s="97">
        <v>700</v>
      </c>
      <c r="T47" s="158">
        <f t="shared" si="8"/>
        <v>220</v>
      </c>
      <c r="U47" s="97">
        <v>20</v>
      </c>
      <c r="V47" s="97">
        <v>24</v>
      </c>
      <c r="W47" s="158">
        <f t="shared" si="9"/>
        <v>440</v>
      </c>
      <c r="X47" s="97">
        <v>44</v>
      </c>
      <c r="Y47" s="97">
        <v>88</v>
      </c>
      <c r="Z47" s="97">
        <v>2000</v>
      </c>
      <c r="AA47" s="97">
        <v>2400</v>
      </c>
    </row>
    <row r="48" spans="1:27" ht="16.5" x14ac:dyDescent="0.3">
      <c r="A48" s="22" t="s">
        <v>1974</v>
      </c>
      <c r="B48" s="22" t="s">
        <v>1975</v>
      </c>
      <c r="C48" s="23" t="s">
        <v>2065</v>
      </c>
      <c r="D48" s="22" t="s">
        <v>2066</v>
      </c>
      <c r="E48" s="22"/>
      <c r="F48" s="158">
        <v>45</v>
      </c>
      <c r="G48" s="158"/>
      <c r="H48" s="158">
        <f t="shared" si="1"/>
        <v>4500</v>
      </c>
      <c r="I48" s="158">
        <f t="shared" si="2"/>
        <v>450</v>
      </c>
      <c r="J48" s="158">
        <f t="shared" si="3"/>
        <v>225</v>
      </c>
      <c r="K48" s="201">
        <f>H48*属性价值参考!C$5+龙魂炼体!I48*(属性价值参考!C$7+属性价值参考!C$8)+龙魂炼体!J48*(属性价值参考!C$9+属性价值参考!C$10)</f>
        <v>67230</v>
      </c>
      <c r="L48" s="201">
        <f>R48*属性价值参考!C$22+S48*属性价值参考!C$23+龙魂炼体!U48*属性价值参考!C$24+龙魂炼体!V48*属性价值参考!C$16+龙魂炼体!X48*属性价值参考!C$19+龙魂炼体!Y48*属性价值参考!C$13+龙魂炼体!Z48*属性价值参考!C$25+龙魂炼体!AA48*属性价值参考!C$30</f>
        <v>33473.4</v>
      </c>
      <c r="M48" s="201">
        <f t="shared" si="7"/>
        <v>1974.5764705882352</v>
      </c>
      <c r="N48" s="201">
        <f t="shared" si="4"/>
        <v>1974576.4705882352</v>
      </c>
      <c r="O48" s="158"/>
      <c r="P48" s="158"/>
      <c r="Q48" s="158">
        <f t="shared" si="6"/>
        <v>4500</v>
      </c>
      <c r="R48" s="97">
        <v>1500</v>
      </c>
      <c r="S48" s="97">
        <v>750</v>
      </c>
      <c r="T48" s="158">
        <f t="shared" si="8"/>
        <v>225</v>
      </c>
      <c r="U48" s="97">
        <v>20</v>
      </c>
      <c r="V48" s="97">
        <v>25</v>
      </c>
      <c r="W48" s="158">
        <f t="shared" si="9"/>
        <v>450</v>
      </c>
      <c r="X48" s="97">
        <v>45</v>
      </c>
      <c r="Y48" s="97">
        <v>90</v>
      </c>
      <c r="Z48" s="97">
        <v>2000</v>
      </c>
      <c r="AA48" s="97">
        <v>2500</v>
      </c>
    </row>
    <row r="49" spans="1:27" ht="16.5" x14ac:dyDescent="0.3">
      <c r="A49" s="22" t="s">
        <v>1974</v>
      </c>
      <c r="B49" s="22" t="s">
        <v>1975</v>
      </c>
      <c r="C49" s="23" t="s">
        <v>2067</v>
      </c>
      <c r="D49" s="22" t="s">
        <v>2068</v>
      </c>
      <c r="E49" s="22"/>
      <c r="F49" s="158">
        <v>46</v>
      </c>
      <c r="G49" s="158"/>
      <c r="H49" s="158">
        <f t="shared" si="1"/>
        <v>4600</v>
      </c>
      <c r="I49" s="158">
        <f t="shared" si="2"/>
        <v>460</v>
      </c>
      <c r="J49" s="158">
        <f t="shared" si="3"/>
        <v>230</v>
      </c>
      <c r="K49" s="201">
        <f>H49*属性价值参考!C$5+龙魂炼体!I49*(属性价值参考!C$7+属性价值参考!C$8)+龙魂炼体!J49*(属性价值参考!C$9+属性价值参考!C$10)</f>
        <v>68724</v>
      </c>
      <c r="L49" s="201">
        <f>R49*属性价值参考!C$22+S49*属性价值参考!C$23+龙魂炼体!U49*属性价值参考!C$24+龙魂炼体!V49*属性价值参考!C$16+龙魂炼体!X49*属性价值参考!C$19+龙魂炼体!Y49*属性价值参考!C$13+龙魂炼体!Z49*属性价值参考!C$25+龙魂炼体!AA49*属性价值参考!C$30</f>
        <v>34137.519999999997</v>
      </c>
      <c r="M49" s="201">
        <f t="shared" si="7"/>
        <v>2016.8925490196077</v>
      </c>
      <c r="N49" s="201">
        <f t="shared" si="4"/>
        <v>2016892.5490196077</v>
      </c>
      <c r="O49" s="158"/>
      <c r="P49" s="158"/>
      <c r="Q49" s="158">
        <f t="shared" si="6"/>
        <v>4600</v>
      </c>
      <c r="R49" s="97">
        <v>1500</v>
      </c>
      <c r="S49" s="97">
        <v>800</v>
      </c>
      <c r="T49" s="158">
        <f t="shared" si="8"/>
        <v>230</v>
      </c>
      <c r="U49" s="97">
        <v>20</v>
      </c>
      <c r="V49" s="97">
        <v>26</v>
      </c>
      <c r="W49" s="158">
        <f t="shared" si="9"/>
        <v>460</v>
      </c>
      <c r="X49" s="97">
        <v>46</v>
      </c>
      <c r="Y49" s="97">
        <v>92</v>
      </c>
      <c r="Z49" s="97">
        <v>2000</v>
      </c>
      <c r="AA49" s="97">
        <v>2600</v>
      </c>
    </row>
    <row r="50" spans="1:27" ht="16.5" x14ac:dyDescent="0.3">
      <c r="A50" s="22" t="s">
        <v>1974</v>
      </c>
      <c r="B50" s="22" t="s">
        <v>1975</v>
      </c>
      <c r="C50" s="23" t="s">
        <v>2069</v>
      </c>
      <c r="D50" s="22" t="s">
        <v>2070</v>
      </c>
      <c r="E50" s="22"/>
      <c r="F50" s="158">
        <v>47</v>
      </c>
      <c r="G50" s="158"/>
      <c r="H50" s="158">
        <f t="shared" si="1"/>
        <v>4700</v>
      </c>
      <c r="I50" s="158">
        <f t="shared" si="2"/>
        <v>470</v>
      </c>
      <c r="J50" s="158">
        <f t="shared" si="3"/>
        <v>235</v>
      </c>
      <c r="K50" s="201">
        <f>H50*属性价值参考!C$5+龙魂炼体!I50*(属性价值参考!C$7+属性价值参考!C$8)+龙魂炼体!J50*(属性价值参考!C$9+属性价值参考!C$10)</f>
        <v>70218</v>
      </c>
      <c r="L50" s="201">
        <f>R50*属性价值参考!C$22+S50*属性价值参考!C$23+龙魂炼体!U50*属性价值参考!C$24+龙魂炼体!V50*属性价值参考!C$16+龙魂炼体!X50*属性价值参考!C$19+龙魂炼体!Y50*属性价值参考!C$13+龙魂炼体!Z50*属性价值参考!C$25+龙魂炼体!AA50*属性价值参考!C$30</f>
        <v>34801.64</v>
      </c>
      <c r="M50" s="201">
        <f t="shared" si="7"/>
        <v>2059.2086274509802</v>
      </c>
      <c r="N50" s="201">
        <f t="shared" si="4"/>
        <v>2059208.6274509802</v>
      </c>
      <c r="O50" s="158"/>
      <c r="P50" s="158"/>
      <c r="Q50" s="158">
        <f t="shared" si="6"/>
        <v>4700</v>
      </c>
      <c r="R50" s="97">
        <v>1500</v>
      </c>
      <c r="S50" s="97">
        <v>850</v>
      </c>
      <c r="T50" s="158">
        <f t="shared" si="8"/>
        <v>235</v>
      </c>
      <c r="U50" s="97">
        <v>20</v>
      </c>
      <c r="V50" s="97">
        <v>27</v>
      </c>
      <c r="W50" s="158">
        <f t="shared" si="9"/>
        <v>470</v>
      </c>
      <c r="X50" s="97">
        <v>47</v>
      </c>
      <c r="Y50" s="97">
        <v>94</v>
      </c>
      <c r="Z50" s="97">
        <v>2000</v>
      </c>
      <c r="AA50" s="97">
        <v>2700</v>
      </c>
    </row>
    <row r="51" spans="1:27" ht="16.5" x14ac:dyDescent="0.3">
      <c r="A51" s="22" t="s">
        <v>1974</v>
      </c>
      <c r="B51" s="22" t="s">
        <v>1975</v>
      </c>
      <c r="C51" s="23" t="s">
        <v>2071</v>
      </c>
      <c r="D51" s="22" t="s">
        <v>2072</v>
      </c>
      <c r="E51" s="22"/>
      <c r="F51" s="158">
        <v>48</v>
      </c>
      <c r="G51" s="158"/>
      <c r="H51" s="158">
        <f t="shared" si="1"/>
        <v>4800</v>
      </c>
      <c r="I51" s="158">
        <f t="shared" si="2"/>
        <v>480</v>
      </c>
      <c r="J51" s="158">
        <f t="shared" si="3"/>
        <v>240</v>
      </c>
      <c r="K51" s="201">
        <f>H51*属性价值参考!C$5+龙魂炼体!I51*(属性价值参考!C$7+属性价值参考!C$8)+龙魂炼体!J51*(属性价值参考!C$9+属性价值参考!C$10)</f>
        <v>71712</v>
      </c>
      <c r="L51" s="201">
        <f>R51*属性价值参考!C$22+S51*属性价值参考!C$23+龙魂炼体!U51*属性价值参考!C$24+龙魂炼体!V51*属性价值参考!C$16+龙魂炼体!X51*属性价值参考!C$19+龙魂炼体!Y51*属性价值参考!C$13+龙魂炼体!Z51*属性价值参考!C$25+龙魂炼体!AA51*属性价值参考!C$30</f>
        <v>35465.759999999995</v>
      </c>
      <c r="M51" s="201">
        <f t="shared" si="7"/>
        <v>2101.5247058823529</v>
      </c>
      <c r="N51" s="201">
        <f t="shared" si="4"/>
        <v>2101524.7058823528</v>
      </c>
      <c r="O51" s="158"/>
      <c r="P51" s="158"/>
      <c r="Q51" s="158">
        <f t="shared" si="6"/>
        <v>4800</v>
      </c>
      <c r="R51" s="97">
        <v>1500</v>
      </c>
      <c r="S51" s="97">
        <v>900</v>
      </c>
      <c r="T51" s="158">
        <f t="shared" si="8"/>
        <v>240</v>
      </c>
      <c r="U51" s="97">
        <v>20</v>
      </c>
      <c r="V51" s="97">
        <v>28</v>
      </c>
      <c r="W51" s="158">
        <f t="shared" si="9"/>
        <v>480</v>
      </c>
      <c r="X51" s="97">
        <v>48</v>
      </c>
      <c r="Y51" s="97">
        <v>96</v>
      </c>
      <c r="Z51" s="97">
        <v>2000</v>
      </c>
      <c r="AA51" s="97">
        <v>2800</v>
      </c>
    </row>
    <row r="52" spans="1:27" ht="16.5" x14ac:dyDescent="0.3">
      <c r="A52" s="22" t="s">
        <v>1974</v>
      </c>
      <c r="B52" s="22" t="s">
        <v>1975</v>
      </c>
      <c r="C52" s="23" t="s">
        <v>2073</v>
      </c>
      <c r="D52" s="22" t="s">
        <v>2074</v>
      </c>
      <c r="E52" s="22"/>
      <c r="F52" s="158">
        <v>49</v>
      </c>
      <c r="G52" s="158"/>
      <c r="H52" s="158">
        <f>F52/F$53*H$53</f>
        <v>4900</v>
      </c>
      <c r="I52" s="158">
        <f>F52/F$53*I$53</f>
        <v>490</v>
      </c>
      <c r="J52" s="158">
        <f>F52/F$53*J$53</f>
        <v>245</v>
      </c>
      <c r="K52" s="201">
        <f>H52*属性价值参考!C$5+龙魂炼体!I52*(属性价值参考!C$7+属性价值参考!C$8)+龙魂炼体!J52*(属性价值参考!C$9+属性价值参考!C$10)</f>
        <v>73206</v>
      </c>
      <c r="L52" s="201">
        <f>R52*属性价值参考!C$22+S52*属性价值参考!C$23+龙魂炼体!U52*属性价值参考!C$24+龙魂炼体!V52*属性价值参考!C$16+龙魂炼体!X52*属性价值参考!C$19+龙魂炼体!Y52*属性价值参考!C$13+龙魂炼体!Z52*属性价值参考!C$25+龙魂炼体!AA52*属性价值参考!C$30</f>
        <v>36129.879999999997</v>
      </c>
      <c r="M52" s="201">
        <f t="shared" si="7"/>
        <v>2143.8407843137256</v>
      </c>
      <c r="N52" s="201">
        <f t="shared" si="4"/>
        <v>2143840.7843137258</v>
      </c>
      <c r="O52" s="158"/>
      <c r="P52" s="158"/>
      <c r="Q52" s="158">
        <f t="shared" si="6"/>
        <v>4900</v>
      </c>
      <c r="R52" s="97">
        <v>1500</v>
      </c>
      <c r="S52" s="97">
        <v>950</v>
      </c>
      <c r="T52" s="158">
        <f t="shared" si="8"/>
        <v>245</v>
      </c>
      <c r="U52" s="97">
        <v>20</v>
      </c>
      <c r="V52" s="97">
        <v>29</v>
      </c>
      <c r="W52" s="158">
        <f t="shared" si="9"/>
        <v>490</v>
      </c>
      <c r="X52" s="97">
        <v>49</v>
      </c>
      <c r="Y52" s="97">
        <v>98</v>
      </c>
      <c r="Z52" s="97">
        <v>2000</v>
      </c>
      <c r="AA52" s="97">
        <v>2900</v>
      </c>
    </row>
    <row r="53" spans="1:27" ht="16.5" x14ac:dyDescent="0.3">
      <c r="A53" s="22" t="s">
        <v>1974</v>
      </c>
      <c r="B53" s="22" t="s">
        <v>1975</v>
      </c>
      <c r="C53" s="23" t="s">
        <v>2075</v>
      </c>
      <c r="D53" s="22" t="s">
        <v>2076</v>
      </c>
      <c r="E53" s="22"/>
      <c r="F53" s="158">
        <v>50</v>
      </c>
      <c r="G53" s="158"/>
      <c r="H53" s="158">
        <f>养成属性分配!Z31</f>
        <v>5000</v>
      </c>
      <c r="I53" s="158">
        <f>养成属性分配!AA31</f>
        <v>500</v>
      </c>
      <c r="J53" s="158">
        <f>养成属性分配!AB31</f>
        <v>250</v>
      </c>
      <c r="K53" s="201">
        <f>H53*属性价值参考!C$5+龙魂炼体!I53*(属性价值参考!C$7+属性价值参考!C$8)+龙魂炼体!J53*(属性价值参考!C$9+属性价值参考!C$10)</f>
        <v>74700</v>
      </c>
      <c r="L53" s="201">
        <f>R53*属性价值参考!C$22+S53*属性价值参考!C$23+龙魂炼体!U53*属性价值参考!C$24+龙魂炼体!V53*属性价值参考!C$16+龙魂炼体!X53*属性价值参考!C$19+龙魂炼体!Y53*属性价值参考!C$13+龙魂炼体!Z53*属性价值参考!C$25+龙魂炼体!AA53*属性价值参考!C$30</f>
        <v>36794</v>
      </c>
      <c r="M53" s="201">
        <f>(K53+L53)/51*1</f>
        <v>2186.1568627450979</v>
      </c>
      <c r="N53" s="201">
        <f>(K53+L53)/51*1000</f>
        <v>2186156.8627450978</v>
      </c>
      <c r="O53" s="158"/>
      <c r="P53" s="158"/>
      <c r="Q53" s="158">
        <f>H53</f>
        <v>5000</v>
      </c>
      <c r="R53" s="97">
        <v>1500</v>
      </c>
      <c r="S53" s="97">
        <v>1000</v>
      </c>
      <c r="T53" s="158">
        <f t="shared" si="8"/>
        <v>250</v>
      </c>
      <c r="U53" s="97">
        <v>20</v>
      </c>
      <c r="V53" s="97">
        <v>30</v>
      </c>
      <c r="W53" s="158">
        <f t="shared" si="9"/>
        <v>500</v>
      </c>
      <c r="X53" s="97">
        <v>50</v>
      </c>
      <c r="Y53" s="97">
        <v>100</v>
      </c>
      <c r="Z53" s="97">
        <v>2000</v>
      </c>
      <c r="AA53" s="97">
        <v>3000</v>
      </c>
    </row>
    <row r="54" spans="1:27" ht="15.75" x14ac:dyDescent="0.3">
      <c r="A54" s="22" t="s">
        <v>1974</v>
      </c>
      <c r="B54" s="22" t="s">
        <v>2077</v>
      </c>
      <c r="C54" s="23" t="s">
        <v>2078</v>
      </c>
      <c r="D54" s="22">
        <v>0</v>
      </c>
      <c r="E54" s="22" t="str">
        <f>"龍の魄"&amp;O4&amp;"/元宝"&amp;P4</f>
        <v>龍の魄2/元宝2000</v>
      </c>
    </row>
    <row r="55" spans="1:27" ht="15.75" x14ac:dyDescent="0.3">
      <c r="A55" s="22" t="s">
        <v>1974</v>
      </c>
      <c r="B55" s="22" t="s">
        <v>2077</v>
      </c>
      <c r="C55" s="23" t="s">
        <v>2079</v>
      </c>
      <c r="D55" s="22" t="s">
        <v>2080</v>
      </c>
      <c r="E55" s="22" t="str">
        <f t="shared" ref="E55:E73" si="10">"龍の魄"&amp;O5&amp;"/元宝"&amp;P5</f>
        <v>龍の魄2/元宝2000</v>
      </c>
    </row>
    <row r="56" spans="1:27" ht="15.75" x14ac:dyDescent="0.3">
      <c r="A56" s="22" t="s">
        <v>1974</v>
      </c>
      <c r="B56" s="22" t="s">
        <v>2077</v>
      </c>
      <c r="C56" s="23" t="s">
        <v>2081</v>
      </c>
      <c r="D56" s="22" t="s">
        <v>2082</v>
      </c>
      <c r="E56" s="22" t="str">
        <f t="shared" si="10"/>
        <v>龍の魄2/元宝2000</v>
      </c>
    </row>
    <row r="57" spans="1:27" ht="15.75" x14ac:dyDescent="0.3">
      <c r="A57" s="22" t="s">
        <v>1974</v>
      </c>
      <c r="B57" s="22" t="s">
        <v>2077</v>
      </c>
      <c r="C57" s="23" t="s">
        <v>2083</v>
      </c>
      <c r="D57" s="22" t="s">
        <v>2084</v>
      </c>
      <c r="E57" s="22" t="str">
        <f t="shared" si="10"/>
        <v>龍の魄3/元宝3000</v>
      </c>
    </row>
    <row r="58" spans="1:27" ht="15.75" x14ac:dyDescent="0.3">
      <c r="A58" s="22" t="s">
        <v>1974</v>
      </c>
      <c r="B58" s="22" t="s">
        <v>2077</v>
      </c>
      <c r="C58" s="23" t="s">
        <v>2085</v>
      </c>
      <c r="D58" s="22" t="s">
        <v>2086</v>
      </c>
      <c r="E58" s="22" t="str">
        <f t="shared" si="10"/>
        <v>龍の魄15/元宝15000</v>
      </c>
    </row>
    <row r="59" spans="1:27" ht="15.75" x14ac:dyDescent="0.3">
      <c r="A59" s="22" t="s">
        <v>1974</v>
      </c>
      <c r="B59" s="22" t="s">
        <v>2077</v>
      </c>
      <c r="C59" s="23" t="s">
        <v>2087</v>
      </c>
      <c r="D59" s="22" t="s">
        <v>2088</v>
      </c>
      <c r="E59" s="22" t="str">
        <f t="shared" si="10"/>
        <v>龍の魄17/元宝17000</v>
      </c>
    </row>
    <row r="60" spans="1:27" ht="15.75" x14ac:dyDescent="0.3">
      <c r="A60" s="22" t="s">
        <v>1974</v>
      </c>
      <c r="B60" s="22" t="s">
        <v>2077</v>
      </c>
      <c r="C60" s="23" t="s">
        <v>2089</v>
      </c>
      <c r="D60" s="22" t="s">
        <v>2090</v>
      </c>
      <c r="E60" s="22" t="str">
        <f t="shared" si="10"/>
        <v>龍の魄20/元宝20000</v>
      </c>
    </row>
    <row r="61" spans="1:27" ht="15.75" x14ac:dyDescent="0.3">
      <c r="A61" s="22" t="s">
        <v>1974</v>
      </c>
      <c r="B61" s="22" t="s">
        <v>2077</v>
      </c>
      <c r="C61" s="23" t="s">
        <v>2091</v>
      </c>
      <c r="D61" s="22" t="s">
        <v>2092</v>
      </c>
      <c r="E61" s="22" t="str">
        <f t="shared" si="10"/>
        <v>龍の魄23/元宝23000</v>
      </c>
    </row>
    <row r="62" spans="1:27" ht="15.75" x14ac:dyDescent="0.3">
      <c r="A62" s="22" t="s">
        <v>1974</v>
      </c>
      <c r="B62" s="22" t="s">
        <v>2077</v>
      </c>
      <c r="C62" s="23" t="s">
        <v>2093</v>
      </c>
      <c r="D62" s="22" t="s">
        <v>2094</v>
      </c>
      <c r="E62" s="22" t="str">
        <f t="shared" si="10"/>
        <v>龍の魄25/元宝25000</v>
      </c>
    </row>
    <row r="63" spans="1:27" ht="15.75" x14ac:dyDescent="0.3">
      <c r="A63" s="22" t="s">
        <v>1974</v>
      </c>
      <c r="B63" s="22" t="s">
        <v>2077</v>
      </c>
      <c r="C63" s="23" t="s">
        <v>2095</v>
      </c>
      <c r="D63" s="22" t="s">
        <v>2096</v>
      </c>
      <c r="E63" s="22" t="str">
        <f t="shared" si="10"/>
        <v>龍の魄27/元宝27000</v>
      </c>
    </row>
    <row r="64" spans="1:27" ht="15.75" x14ac:dyDescent="0.3">
      <c r="A64" s="22" t="s">
        <v>1974</v>
      </c>
      <c r="B64" s="22" t="s">
        <v>2077</v>
      </c>
      <c r="C64" s="23" t="s">
        <v>2097</v>
      </c>
      <c r="D64" s="22" t="s">
        <v>2098</v>
      </c>
      <c r="E64" s="22" t="str">
        <f t="shared" si="10"/>
        <v>龍の魄143/元宝143000</v>
      </c>
    </row>
    <row r="65" spans="1:5" ht="15.75" x14ac:dyDescent="0.3">
      <c r="A65" s="22" t="s">
        <v>1974</v>
      </c>
      <c r="B65" s="22" t="s">
        <v>2077</v>
      </c>
      <c r="C65" s="23" t="s">
        <v>2099</v>
      </c>
      <c r="D65" s="22" t="s">
        <v>2100</v>
      </c>
      <c r="E65" s="22" t="str">
        <f t="shared" si="10"/>
        <v>龍の魄153/元宝153000</v>
      </c>
    </row>
    <row r="66" spans="1:5" ht="15.75" x14ac:dyDescent="0.3">
      <c r="A66" s="22" t="s">
        <v>1974</v>
      </c>
      <c r="B66" s="22" t="s">
        <v>2077</v>
      </c>
      <c r="C66" s="23" t="s">
        <v>2101</v>
      </c>
      <c r="D66" s="22" t="s">
        <v>2102</v>
      </c>
      <c r="E66" s="22" t="str">
        <f t="shared" si="10"/>
        <v>龍の魄163/元宝163000</v>
      </c>
    </row>
    <row r="67" spans="1:5" ht="15.75" x14ac:dyDescent="0.3">
      <c r="A67" s="22" t="s">
        <v>1974</v>
      </c>
      <c r="B67" s="22" t="s">
        <v>2077</v>
      </c>
      <c r="C67" s="23" t="s">
        <v>2103</v>
      </c>
      <c r="D67" s="22" t="s">
        <v>2104</v>
      </c>
      <c r="E67" s="22" t="str">
        <f t="shared" si="10"/>
        <v>龍の魄173/元宝173000</v>
      </c>
    </row>
    <row r="68" spans="1:5" ht="15.75" x14ac:dyDescent="0.3">
      <c r="A68" s="22" t="s">
        <v>1974</v>
      </c>
      <c r="B68" s="22" t="s">
        <v>2077</v>
      </c>
      <c r="C68" s="23" t="s">
        <v>2105</v>
      </c>
      <c r="D68" s="22" t="s">
        <v>2106</v>
      </c>
      <c r="E68" s="22" t="str">
        <f t="shared" si="10"/>
        <v>龍の魄183/元宝183000</v>
      </c>
    </row>
    <row r="69" spans="1:5" ht="15.75" x14ac:dyDescent="0.3">
      <c r="A69" s="22" t="s">
        <v>1974</v>
      </c>
      <c r="B69" s="22" t="s">
        <v>2077</v>
      </c>
      <c r="C69" s="23" t="s">
        <v>2107</v>
      </c>
      <c r="D69" s="22" t="s">
        <v>2108</v>
      </c>
      <c r="E69" s="22" t="str">
        <f t="shared" si="10"/>
        <v>龍の魄386/元宝386000</v>
      </c>
    </row>
    <row r="70" spans="1:5" ht="15.75" x14ac:dyDescent="0.3">
      <c r="A70" s="22" t="s">
        <v>1974</v>
      </c>
      <c r="B70" s="22" t="s">
        <v>2077</v>
      </c>
      <c r="C70" s="23" t="s">
        <v>2109</v>
      </c>
      <c r="D70" s="22" t="s">
        <v>2110</v>
      </c>
      <c r="E70" s="22" t="str">
        <f t="shared" si="10"/>
        <v>龍の魄406/元宝406000</v>
      </c>
    </row>
    <row r="71" spans="1:5" ht="15.75" x14ac:dyDescent="0.3">
      <c r="A71" s="22" t="s">
        <v>1974</v>
      </c>
      <c r="B71" s="22" t="s">
        <v>2077</v>
      </c>
      <c r="C71" s="23" t="s">
        <v>2111</v>
      </c>
      <c r="D71" s="22" t="s">
        <v>2112</v>
      </c>
      <c r="E71" s="22" t="str">
        <f t="shared" si="10"/>
        <v>龍の魄426/元宝426000</v>
      </c>
    </row>
    <row r="72" spans="1:5" ht="15.75" x14ac:dyDescent="0.3">
      <c r="A72" s="22" t="s">
        <v>1974</v>
      </c>
      <c r="B72" s="22" t="s">
        <v>2077</v>
      </c>
      <c r="C72" s="23" t="s">
        <v>2113</v>
      </c>
      <c r="D72" s="22" t="s">
        <v>2114</v>
      </c>
      <c r="E72" s="22" t="str">
        <f t="shared" si="10"/>
        <v>龍の魄446/元宝446000</v>
      </c>
    </row>
    <row r="73" spans="1:5" ht="15.75" x14ac:dyDescent="0.3">
      <c r="A73" s="22" t="s">
        <v>1974</v>
      </c>
      <c r="B73" s="22" t="s">
        <v>2077</v>
      </c>
      <c r="C73" s="23" t="s">
        <v>2115</v>
      </c>
      <c r="D73" s="22" t="s">
        <v>2116</v>
      </c>
      <c r="E73" s="22" t="str">
        <f t="shared" si="10"/>
        <v>龍の魄466/元宝466000</v>
      </c>
    </row>
    <row r="74" spans="1:5" ht="15.75" x14ac:dyDescent="0.3">
      <c r="A74" s="22" t="s">
        <v>1974</v>
      </c>
      <c r="B74" s="22" t="s">
        <v>2077</v>
      </c>
      <c r="C74" s="23" t="s">
        <v>2117</v>
      </c>
      <c r="D74" s="22" t="s">
        <v>2118</v>
      </c>
      <c r="E74" s="22"/>
    </row>
    <row r="75" spans="1:5" ht="15.75" x14ac:dyDescent="0.3">
      <c r="A75" s="22" t="s">
        <v>1974</v>
      </c>
      <c r="B75" s="22" t="s">
        <v>2077</v>
      </c>
      <c r="C75" s="23" t="s">
        <v>2119</v>
      </c>
      <c r="D75" s="22" t="s">
        <v>2120</v>
      </c>
      <c r="E75" s="22"/>
    </row>
    <row r="76" spans="1:5" ht="15.75" x14ac:dyDescent="0.3">
      <c r="A76" s="22" t="s">
        <v>1974</v>
      </c>
      <c r="B76" s="22" t="s">
        <v>2077</v>
      </c>
      <c r="C76" s="23" t="s">
        <v>2121</v>
      </c>
      <c r="D76" s="22" t="s">
        <v>2122</v>
      </c>
      <c r="E76" s="22"/>
    </row>
    <row r="77" spans="1:5" ht="15.75" x14ac:dyDescent="0.3">
      <c r="A77" s="22" t="s">
        <v>1974</v>
      </c>
      <c r="B77" s="22" t="s">
        <v>2077</v>
      </c>
      <c r="C77" s="23" t="s">
        <v>2123</v>
      </c>
      <c r="D77" s="22" t="s">
        <v>2124</v>
      </c>
      <c r="E77" s="22"/>
    </row>
    <row r="78" spans="1:5" ht="15.75" x14ac:dyDescent="0.3">
      <c r="A78" s="22" t="s">
        <v>1974</v>
      </c>
      <c r="B78" s="22" t="s">
        <v>2077</v>
      </c>
      <c r="C78" s="23" t="s">
        <v>2125</v>
      </c>
      <c r="D78" s="22" t="s">
        <v>2126</v>
      </c>
      <c r="E78" s="22"/>
    </row>
    <row r="79" spans="1:5" ht="15.75" x14ac:dyDescent="0.3">
      <c r="A79" s="22" t="s">
        <v>1974</v>
      </c>
      <c r="B79" s="22" t="s">
        <v>2077</v>
      </c>
      <c r="C79" s="23" t="s">
        <v>2127</v>
      </c>
      <c r="D79" s="22" t="s">
        <v>2128</v>
      </c>
      <c r="E79" s="22"/>
    </row>
    <row r="80" spans="1:5" ht="15.75" x14ac:dyDescent="0.3">
      <c r="A80" s="22" t="s">
        <v>1974</v>
      </c>
      <c r="B80" s="22" t="s">
        <v>2077</v>
      </c>
      <c r="C80" s="23" t="s">
        <v>2129</v>
      </c>
      <c r="D80" s="22" t="s">
        <v>2130</v>
      </c>
      <c r="E80" s="22"/>
    </row>
    <row r="81" spans="1:5" ht="15.75" x14ac:dyDescent="0.3">
      <c r="A81" s="22" t="s">
        <v>1974</v>
      </c>
      <c r="B81" s="22" t="s">
        <v>2077</v>
      </c>
      <c r="C81" s="23" t="s">
        <v>2131</v>
      </c>
      <c r="D81" s="22" t="s">
        <v>2132</v>
      </c>
      <c r="E81" s="22"/>
    </row>
    <row r="82" spans="1:5" ht="15.75" x14ac:dyDescent="0.3">
      <c r="A82" s="22" t="s">
        <v>1974</v>
      </c>
      <c r="B82" s="22" t="s">
        <v>2077</v>
      </c>
      <c r="C82" s="23" t="s">
        <v>2133</v>
      </c>
      <c r="D82" s="22" t="s">
        <v>2134</v>
      </c>
      <c r="E82" s="22"/>
    </row>
    <row r="83" spans="1:5" ht="15.75" x14ac:dyDescent="0.3">
      <c r="A83" s="22" t="s">
        <v>1974</v>
      </c>
      <c r="B83" s="22" t="s">
        <v>2077</v>
      </c>
      <c r="C83" s="23" t="s">
        <v>2135</v>
      </c>
      <c r="D83" s="22" t="s">
        <v>2136</v>
      </c>
      <c r="E83" s="22"/>
    </row>
    <row r="84" spans="1:5" ht="15.75" x14ac:dyDescent="0.3">
      <c r="A84" s="22" t="s">
        <v>1974</v>
      </c>
      <c r="B84" s="22" t="s">
        <v>2077</v>
      </c>
      <c r="C84" s="23" t="s">
        <v>2137</v>
      </c>
      <c r="D84" s="22" t="s">
        <v>2138</v>
      </c>
      <c r="E84" s="22"/>
    </row>
    <row r="85" spans="1:5" ht="15.75" x14ac:dyDescent="0.3">
      <c r="A85" s="22" t="s">
        <v>1974</v>
      </c>
      <c r="B85" s="22" t="s">
        <v>2077</v>
      </c>
      <c r="C85" s="23" t="s">
        <v>2139</v>
      </c>
      <c r="D85" s="22" t="s">
        <v>2140</v>
      </c>
      <c r="E85" s="22"/>
    </row>
    <row r="86" spans="1:5" ht="15.75" x14ac:dyDescent="0.3">
      <c r="A86" s="22" t="s">
        <v>1974</v>
      </c>
      <c r="B86" s="22" t="s">
        <v>2077</v>
      </c>
      <c r="C86" s="23" t="s">
        <v>2141</v>
      </c>
      <c r="D86" s="22" t="s">
        <v>2142</v>
      </c>
      <c r="E86" s="22"/>
    </row>
    <row r="87" spans="1:5" ht="15.75" x14ac:dyDescent="0.3">
      <c r="A87" s="22" t="s">
        <v>1974</v>
      </c>
      <c r="B87" s="22" t="s">
        <v>2077</v>
      </c>
      <c r="C87" s="23" t="s">
        <v>2143</v>
      </c>
      <c r="D87" s="22" t="s">
        <v>2144</v>
      </c>
      <c r="E87" s="22"/>
    </row>
    <row r="88" spans="1:5" ht="15.75" x14ac:dyDescent="0.3">
      <c r="A88" s="22" t="s">
        <v>1974</v>
      </c>
      <c r="B88" s="22" t="s">
        <v>2077</v>
      </c>
      <c r="C88" s="23" t="s">
        <v>2145</v>
      </c>
      <c r="D88" s="22" t="s">
        <v>2146</v>
      </c>
      <c r="E88" s="22"/>
    </row>
    <row r="89" spans="1:5" ht="15.75" x14ac:dyDescent="0.3">
      <c r="A89" s="22" t="s">
        <v>1974</v>
      </c>
      <c r="B89" s="22" t="s">
        <v>2077</v>
      </c>
      <c r="C89" s="23" t="s">
        <v>2147</v>
      </c>
      <c r="D89" s="22" t="s">
        <v>2148</v>
      </c>
      <c r="E89" s="22"/>
    </row>
    <row r="90" spans="1:5" ht="15.75" x14ac:dyDescent="0.3">
      <c r="A90" s="22" t="s">
        <v>1974</v>
      </c>
      <c r="B90" s="22" t="s">
        <v>2077</v>
      </c>
      <c r="C90" s="23" t="s">
        <v>2149</v>
      </c>
      <c r="D90" s="22" t="s">
        <v>2150</v>
      </c>
      <c r="E90" s="22"/>
    </row>
    <row r="91" spans="1:5" ht="15.75" x14ac:dyDescent="0.3">
      <c r="A91" s="22" t="s">
        <v>1974</v>
      </c>
      <c r="B91" s="22" t="s">
        <v>2077</v>
      </c>
      <c r="C91" s="23" t="s">
        <v>2151</v>
      </c>
      <c r="D91" s="22" t="s">
        <v>2152</v>
      </c>
      <c r="E91" s="22"/>
    </row>
    <row r="92" spans="1:5" ht="15.75" x14ac:dyDescent="0.3">
      <c r="A92" s="22" t="s">
        <v>1974</v>
      </c>
      <c r="B92" s="22" t="s">
        <v>2077</v>
      </c>
      <c r="C92" s="23" t="s">
        <v>2153</v>
      </c>
      <c r="D92" s="22" t="s">
        <v>2154</v>
      </c>
      <c r="E92" s="22"/>
    </row>
    <row r="93" spans="1:5" ht="15.75" x14ac:dyDescent="0.3">
      <c r="A93" s="22" t="s">
        <v>1974</v>
      </c>
      <c r="B93" s="22" t="s">
        <v>2077</v>
      </c>
      <c r="C93" s="23" t="s">
        <v>2155</v>
      </c>
      <c r="D93" s="22" t="s">
        <v>2156</v>
      </c>
      <c r="E93" s="22"/>
    </row>
    <row r="94" spans="1:5" ht="15.75" x14ac:dyDescent="0.3">
      <c r="A94" s="22" t="s">
        <v>1974</v>
      </c>
      <c r="B94" s="22" t="s">
        <v>2077</v>
      </c>
      <c r="C94" s="23" t="s">
        <v>2157</v>
      </c>
      <c r="D94" s="22" t="s">
        <v>2158</v>
      </c>
      <c r="E94" s="22"/>
    </row>
    <row r="95" spans="1:5" ht="15.75" x14ac:dyDescent="0.3">
      <c r="A95" s="22" t="s">
        <v>1974</v>
      </c>
      <c r="B95" s="22" t="s">
        <v>2077</v>
      </c>
      <c r="C95" s="23" t="s">
        <v>2159</v>
      </c>
      <c r="D95" s="22" t="s">
        <v>2160</v>
      </c>
      <c r="E95" s="22"/>
    </row>
    <row r="96" spans="1:5" ht="15.75" x14ac:dyDescent="0.3">
      <c r="A96" s="22" t="s">
        <v>1974</v>
      </c>
      <c r="B96" s="22" t="s">
        <v>2077</v>
      </c>
      <c r="C96" s="23" t="s">
        <v>2161</v>
      </c>
      <c r="D96" s="22" t="s">
        <v>2162</v>
      </c>
      <c r="E96" s="22"/>
    </row>
    <row r="97" spans="1:5" ht="15.75" x14ac:dyDescent="0.3">
      <c r="A97" s="22" t="s">
        <v>1974</v>
      </c>
      <c r="B97" s="22" t="s">
        <v>2077</v>
      </c>
      <c r="C97" s="23" t="s">
        <v>2163</v>
      </c>
      <c r="D97" s="22" t="s">
        <v>2164</v>
      </c>
      <c r="E97" s="22"/>
    </row>
    <row r="98" spans="1:5" ht="15.75" x14ac:dyDescent="0.3">
      <c r="A98" s="22" t="s">
        <v>1974</v>
      </c>
      <c r="B98" s="22" t="s">
        <v>2077</v>
      </c>
      <c r="C98" s="23" t="s">
        <v>2165</v>
      </c>
      <c r="D98" s="22" t="s">
        <v>2166</v>
      </c>
      <c r="E98" s="22"/>
    </row>
    <row r="99" spans="1:5" ht="15.75" x14ac:dyDescent="0.3">
      <c r="A99" s="22" t="s">
        <v>1974</v>
      </c>
      <c r="B99" s="22" t="s">
        <v>2077</v>
      </c>
      <c r="C99" s="23" t="s">
        <v>2167</v>
      </c>
      <c r="D99" s="22" t="s">
        <v>2168</v>
      </c>
      <c r="E99" s="22"/>
    </row>
    <row r="100" spans="1:5" ht="15.75" x14ac:dyDescent="0.3">
      <c r="A100" s="22" t="s">
        <v>1974</v>
      </c>
      <c r="B100" s="22" t="s">
        <v>2077</v>
      </c>
      <c r="C100" s="23" t="s">
        <v>2169</v>
      </c>
      <c r="D100" s="22" t="s">
        <v>2170</v>
      </c>
      <c r="E100" s="22"/>
    </row>
    <row r="101" spans="1:5" ht="15.75" x14ac:dyDescent="0.3">
      <c r="A101" s="22" t="s">
        <v>1974</v>
      </c>
      <c r="B101" s="22" t="s">
        <v>2077</v>
      </c>
      <c r="C101" s="23" t="s">
        <v>2171</v>
      </c>
      <c r="D101" s="22" t="s">
        <v>2172</v>
      </c>
      <c r="E101" s="22"/>
    </row>
    <row r="102" spans="1:5" ht="15.75" x14ac:dyDescent="0.3">
      <c r="A102" s="22" t="s">
        <v>1974</v>
      </c>
      <c r="B102" s="22" t="s">
        <v>2077</v>
      </c>
      <c r="C102" s="23" t="s">
        <v>2173</v>
      </c>
      <c r="D102" s="22" t="s">
        <v>2174</v>
      </c>
      <c r="E102" s="22"/>
    </row>
    <row r="103" spans="1:5" ht="15.75" x14ac:dyDescent="0.3">
      <c r="A103" s="22" t="s">
        <v>1974</v>
      </c>
      <c r="B103" s="22" t="s">
        <v>2077</v>
      </c>
      <c r="C103" s="23" t="s">
        <v>2175</v>
      </c>
      <c r="D103" s="22" t="s">
        <v>2176</v>
      </c>
      <c r="E103" s="22"/>
    </row>
    <row r="104" spans="1:5" ht="15.75" x14ac:dyDescent="0.3">
      <c r="A104" s="22" t="s">
        <v>1974</v>
      </c>
      <c r="B104" s="22" t="s">
        <v>2077</v>
      </c>
      <c r="C104" s="23" t="s">
        <v>2177</v>
      </c>
      <c r="D104" s="22" t="s">
        <v>2178</v>
      </c>
      <c r="E104" s="22"/>
    </row>
    <row r="105" spans="1:5" ht="15.75" x14ac:dyDescent="0.3">
      <c r="A105" s="22" t="s">
        <v>1974</v>
      </c>
      <c r="B105" s="22" t="s">
        <v>2179</v>
      </c>
      <c r="C105" s="23" t="s">
        <v>2180</v>
      </c>
      <c r="D105" s="22">
        <v>0</v>
      </c>
      <c r="E105" s="22" t="str">
        <f>"龍の心"&amp;O4&amp;"/元宝"&amp;P4</f>
        <v>龍の心2/元宝2000</v>
      </c>
    </row>
    <row r="106" spans="1:5" ht="15.75" x14ac:dyDescent="0.3">
      <c r="A106" s="22" t="s">
        <v>1974</v>
      </c>
      <c r="B106" s="22" t="s">
        <v>2179</v>
      </c>
      <c r="C106" s="23" t="s">
        <v>2181</v>
      </c>
      <c r="D106" s="22" t="s">
        <v>2182</v>
      </c>
      <c r="E106" s="22" t="str">
        <f t="shared" ref="E106:E124" si="11">"龍の心"&amp;O5&amp;"/元宝"&amp;P5</f>
        <v>龍の心2/元宝2000</v>
      </c>
    </row>
    <row r="107" spans="1:5" ht="15.75" x14ac:dyDescent="0.3">
      <c r="A107" s="22" t="s">
        <v>1974</v>
      </c>
      <c r="B107" s="22" t="s">
        <v>2179</v>
      </c>
      <c r="C107" s="23" t="s">
        <v>2183</v>
      </c>
      <c r="D107" s="22" t="s">
        <v>2184</v>
      </c>
      <c r="E107" s="22" t="str">
        <f t="shared" si="11"/>
        <v>龍の心2/元宝2000</v>
      </c>
    </row>
    <row r="108" spans="1:5" ht="15.75" x14ac:dyDescent="0.3">
      <c r="A108" s="22" t="s">
        <v>1974</v>
      </c>
      <c r="B108" s="22" t="s">
        <v>2179</v>
      </c>
      <c r="C108" s="23" t="s">
        <v>2185</v>
      </c>
      <c r="D108" s="22" t="s">
        <v>2186</v>
      </c>
      <c r="E108" s="22" t="str">
        <f t="shared" si="11"/>
        <v>龍の心3/元宝3000</v>
      </c>
    </row>
    <row r="109" spans="1:5" ht="15.75" x14ac:dyDescent="0.3">
      <c r="A109" s="22" t="s">
        <v>1974</v>
      </c>
      <c r="B109" s="22" t="s">
        <v>2179</v>
      </c>
      <c r="C109" s="23" t="s">
        <v>2187</v>
      </c>
      <c r="D109" s="22" t="s">
        <v>2188</v>
      </c>
      <c r="E109" s="22" t="str">
        <f t="shared" si="11"/>
        <v>龍の心15/元宝15000</v>
      </c>
    </row>
    <row r="110" spans="1:5" ht="15.75" x14ac:dyDescent="0.3">
      <c r="A110" s="22" t="s">
        <v>1974</v>
      </c>
      <c r="B110" s="22" t="s">
        <v>2179</v>
      </c>
      <c r="C110" s="23" t="s">
        <v>2189</v>
      </c>
      <c r="D110" s="22" t="s">
        <v>2190</v>
      </c>
      <c r="E110" s="22" t="str">
        <f t="shared" si="11"/>
        <v>龍の心17/元宝17000</v>
      </c>
    </row>
    <row r="111" spans="1:5" ht="15.75" x14ac:dyDescent="0.3">
      <c r="A111" s="22" t="s">
        <v>1974</v>
      </c>
      <c r="B111" s="22" t="s">
        <v>2179</v>
      </c>
      <c r="C111" s="23" t="s">
        <v>2191</v>
      </c>
      <c r="D111" s="22" t="s">
        <v>2192</v>
      </c>
      <c r="E111" s="22" t="str">
        <f t="shared" si="11"/>
        <v>龍の心20/元宝20000</v>
      </c>
    </row>
    <row r="112" spans="1:5" ht="15.75" x14ac:dyDescent="0.3">
      <c r="A112" s="22" t="s">
        <v>1974</v>
      </c>
      <c r="B112" s="22" t="s">
        <v>2179</v>
      </c>
      <c r="C112" s="23" t="s">
        <v>2193</v>
      </c>
      <c r="D112" s="22" t="s">
        <v>2194</v>
      </c>
      <c r="E112" s="22" t="str">
        <f t="shared" si="11"/>
        <v>龍の心23/元宝23000</v>
      </c>
    </row>
    <row r="113" spans="1:5" ht="15.75" x14ac:dyDescent="0.3">
      <c r="A113" s="22" t="s">
        <v>1974</v>
      </c>
      <c r="B113" s="22" t="s">
        <v>2179</v>
      </c>
      <c r="C113" s="23" t="s">
        <v>2195</v>
      </c>
      <c r="D113" s="22" t="s">
        <v>2196</v>
      </c>
      <c r="E113" s="22" t="str">
        <f t="shared" si="11"/>
        <v>龍の心25/元宝25000</v>
      </c>
    </row>
    <row r="114" spans="1:5" ht="15.75" x14ac:dyDescent="0.3">
      <c r="A114" s="22" t="s">
        <v>1974</v>
      </c>
      <c r="B114" s="22" t="s">
        <v>2179</v>
      </c>
      <c r="C114" s="23" t="s">
        <v>2197</v>
      </c>
      <c r="D114" s="22" t="s">
        <v>2198</v>
      </c>
      <c r="E114" s="22" t="str">
        <f t="shared" si="11"/>
        <v>龍の心27/元宝27000</v>
      </c>
    </row>
    <row r="115" spans="1:5" ht="15.75" x14ac:dyDescent="0.3">
      <c r="A115" s="22" t="s">
        <v>1974</v>
      </c>
      <c r="B115" s="22" t="s">
        <v>2179</v>
      </c>
      <c r="C115" s="23" t="s">
        <v>2199</v>
      </c>
      <c r="D115" s="22" t="s">
        <v>2200</v>
      </c>
      <c r="E115" s="22" t="str">
        <f t="shared" si="11"/>
        <v>龍の心143/元宝143000</v>
      </c>
    </row>
    <row r="116" spans="1:5" ht="15.75" x14ac:dyDescent="0.3">
      <c r="A116" s="22" t="s">
        <v>1974</v>
      </c>
      <c r="B116" s="22" t="s">
        <v>2179</v>
      </c>
      <c r="C116" s="23" t="s">
        <v>2201</v>
      </c>
      <c r="D116" s="22" t="s">
        <v>2202</v>
      </c>
      <c r="E116" s="22" t="str">
        <f t="shared" si="11"/>
        <v>龍の心153/元宝153000</v>
      </c>
    </row>
    <row r="117" spans="1:5" ht="15.75" x14ac:dyDescent="0.3">
      <c r="A117" s="22" t="s">
        <v>1974</v>
      </c>
      <c r="B117" s="22" t="s">
        <v>2179</v>
      </c>
      <c r="C117" s="23" t="s">
        <v>2203</v>
      </c>
      <c r="D117" s="22" t="s">
        <v>2204</v>
      </c>
      <c r="E117" s="22" t="str">
        <f t="shared" si="11"/>
        <v>龍の心163/元宝163000</v>
      </c>
    </row>
    <row r="118" spans="1:5" ht="15.75" x14ac:dyDescent="0.3">
      <c r="A118" s="22" t="s">
        <v>1974</v>
      </c>
      <c r="B118" s="22" t="s">
        <v>2179</v>
      </c>
      <c r="C118" s="23" t="s">
        <v>2205</v>
      </c>
      <c r="D118" s="22" t="s">
        <v>2206</v>
      </c>
      <c r="E118" s="22" t="str">
        <f t="shared" si="11"/>
        <v>龍の心173/元宝173000</v>
      </c>
    </row>
    <row r="119" spans="1:5" ht="15.75" x14ac:dyDescent="0.3">
      <c r="A119" s="22" t="s">
        <v>1974</v>
      </c>
      <c r="B119" s="22" t="s">
        <v>2179</v>
      </c>
      <c r="C119" s="23" t="s">
        <v>2207</v>
      </c>
      <c r="D119" s="22" t="s">
        <v>2208</v>
      </c>
      <c r="E119" s="22" t="str">
        <f t="shared" si="11"/>
        <v>龍の心183/元宝183000</v>
      </c>
    </row>
    <row r="120" spans="1:5" ht="15.75" x14ac:dyDescent="0.3">
      <c r="A120" s="22" t="s">
        <v>1974</v>
      </c>
      <c r="B120" s="22" t="s">
        <v>2179</v>
      </c>
      <c r="C120" s="23" t="s">
        <v>2209</v>
      </c>
      <c r="D120" s="22" t="s">
        <v>2210</v>
      </c>
      <c r="E120" s="22" t="str">
        <f t="shared" si="11"/>
        <v>龍の心386/元宝386000</v>
      </c>
    </row>
    <row r="121" spans="1:5" ht="15.75" x14ac:dyDescent="0.3">
      <c r="A121" s="22" t="s">
        <v>1974</v>
      </c>
      <c r="B121" s="22" t="s">
        <v>2179</v>
      </c>
      <c r="C121" s="23" t="s">
        <v>2211</v>
      </c>
      <c r="D121" s="22" t="s">
        <v>2212</v>
      </c>
      <c r="E121" s="22" t="str">
        <f t="shared" si="11"/>
        <v>龍の心406/元宝406000</v>
      </c>
    </row>
    <row r="122" spans="1:5" ht="15.75" x14ac:dyDescent="0.3">
      <c r="A122" s="22" t="s">
        <v>1974</v>
      </c>
      <c r="B122" s="22" t="s">
        <v>2179</v>
      </c>
      <c r="C122" s="23" t="s">
        <v>2213</v>
      </c>
      <c r="D122" s="22" t="s">
        <v>2214</v>
      </c>
      <c r="E122" s="22" t="str">
        <f t="shared" si="11"/>
        <v>龍の心426/元宝426000</v>
      </c>
    </row>
    <row r="123" spans="1:5" ht="15.75" x14ac:dyDescent="0.3">
      <c r="A123" s="22" t="s">
        <v>1974</v>
      </c>
      <c r="B123" s="22" t="s">
        <v>2179</v>
      </c>
      <c r="C123" s="23" t="s">
        <v>2215</v>
      </c>
      <c r="D123" s="22" t="s">
        <v>2216</v>
      </c>
      <c r="E123" s="22" t="str">
        <f t="shared" si="11"/>
        <v>龍の心446/元宝446000</v>
      </c>
    </row>
    <row r="124" spans="1:5" ht="15.75" x14ac:dyDescent="0.3">
      <c r="A124" s="22" t="s">
        <v>1974</v>
      </c>
      <c r="B124" s="22" t="s">
        <v>2179</v>
      </c>
      <c r="C124" s="23" t="s">
        <v>2217</v>
      </c>
      <c r="D124" s="22" t="s">
        <v>2218</v>
      </c>
      <c r="E124" s="22" t="str">
        <f t="shared" si="11"/>
        <v>龍の心466/元宝466000</v>
      </c>
    </row>
    <row r="125" spans="1:5" ht="15.75" x14ac:dyDescent="0.3">
      <c r="A125" s="22" t="s">
        <v>1974</v>
      </c>
      <c r="B125" s="22" t="s">
        <v>2179</v>
      </c>
      <c r="C125" s="23" t="s">
        <v>2219</v>
      </c>
      <c r="D125" s="22" t="s">
        <v>2220</v>
      </c>
      <c r="E125" s="22"/>
    </row>
    <row r="126" spans="1:5" ht="15.75" x14ac:dyDescent="0.3">
      <c r="A126" s="22" t="s">
        <v>1974</v>
      </c>
      <c r="B126" s="22" t="s">
        <v>2179</v>
      </c>
      <c r="C126" s="23" t="s">
        <v>2221</v>
      </c>
      <c r="D126" s="22" t="s">
        <v>2222</v>
      </c>
      <c r="E126" s="22"/>
    </row>
    <row r="127" spans="1:5" ht="15.75" x14ac:dyDescent="0.3">
      <c r="A127" s="22" t="s">
        <v>1974</v>
      </c>
      <c r="B127" s="22" t="s">
        <v>2179</v>
      </c>
      <c r="C127" s="23" t="s">
        <v>2223</v>
      </c>
      <c r="D127" s="22" t="s">
        <v>2224</v>
      </c>
      <c r="E127" s="22"/>
    </row>
    <row r="128" spans="1:5" ht="15.75" x14ac:dyDescent="0.3">
      <c r="A128" s="22" t="s">
        <v>1974</v>
      </c>
      <c r="B128" s="22" t="s">
        <v>2179</v>
      </c>
      <c r="C128" s="23" t="s">
        <v>2225</v>
      </c>
      <c r="D128" s="22" t="s">
        <v>2226</v>
      </c>
      <c r="E128" s="22"/>
    </row>
    <row r="129" spans="1:5" ht="15.75" x14ac:dyDescent="0.3">
      <c r="A129" s="22" t="s">
        <v>1974</v>
      </c>
      <c r="B129" s="22" t="s">
        <v>2179</v>
      </c>
      <c r="C129" s="23" t="s">
        <v>2227</v>
      </c>
      <c r="D129" s="22" t="s">
        <v>2228</v>
      </c>
      <c r="E129" s="22"/>
    </row>
    <row r="130" spans="1:5" ht="15.75" x14ac:dyDescent="0.3">
      <c r="A130" s="22" t="s">
        <v>1974</v>
      </c>
      <c r="B130" s="22" t="s">
        <v>2179</v>
      </c>
      <c r="C130" s="23" t="s">
        <v>2229</v>
      </c>
      <c r="D130" s="22" t="s">
        <v>2230</v>
      </c>
      <c r="E130" s="22"/>
    </row>
    <row r="131" spans="1:5" ht="15.75" x14ac:dyDescent="0.3">
      <c r="A131" s="22" t="s">
        <v>1974</v>
      </c>
      <c r="B131" s="22" t="s">
        <v>2179</v>
      </c>
      <c r="C131" s="23" t="s">
        <v>2231</v>
      </c>
      <c r="D131" s="22" t="s">
        <v>2232</v>
      </c>
      <c r="E131" s="22"/>
    </row>
    <row r="132" spans="1:5" ht="15.75" x14ac:dyDescent="0.3">
      <c r="A132" s="22" t="s">
        <v>1974</v>
      </c>
      <c r="B132" s="22" t="s">
        <v>2179</v>
      </c>
      <c r="C132" s="23" t="s">
        <v>2233</v>
      </c>
      <c r="D132" s="22" t="s">
        <v>2234</v>
      </c>
      <c r="E132" s="22"/>
    </row>
    <row r="133" spans="1:5" ht="15.75" x14ac:dyDescent="0.3">
      <c r="A133" s="22" t="s">
        <v>1974</v>
      </c>
      <c r="B133" s="22" t="s">
        <v>2179</v>
      </c>
      <c r="C133" s="23" t="s">
        <v>2235</v>
      </c>
      <c r="D133" s="22" t="s">
        <v>2236</v>
      </c>
      <c r="E133" s="22"/>
    </row>
    <row r="134" spans="1:5" ht="15.75" x14ac:dyDescent="0.3">
      <c r="A134" s="22" t="s">
        <v>1974</v>
      </c>
      <c r="B134" s="22" t="s">
        <v>2179</v>
      </c>
      <c r="C134" s="23" t="s">
        <v>2237</v>
      </c>
      <c r="D134" s="22" t="s">
        <v>2238</v>
      </c>
      <c r="E134" s="22"/>
    </row>
    <row r="135" spans="1:5" ht="15.75" x14ac:dyDescent="0.3">
      <c r="A135" s="22" t="s">
        <v>1974</v>
      </c>
      <c r="B135" s="22" t="s">
        <v>2179</v>
      </c>
      <c r="C135" s="23" t="s">
        <v>2239</v>
      </c>
      <c r="D135" s="22" t="s">
        <v>2240</v>
      </c>
      <c r="E135" s="22"/>
    </row>
    <row r="136" spans="1:5" ht="15.75" x14ac:dyDescent="0.3">
      <c r="A136" s="22" t="s">
        <v>1974</v>
      </c>
      <c r="B136" s="22" t="s">
        <v>2179</v>
      </c>
      <c r="C136" s="23" t="s">
        <v>2241</v>
      </c>
      <c r="D136" s="22" t="s">
        <v>2242</v>
      </c>
      <c r="E136" s="22"/>
    </row>
    <row r="137" spans="1:5" ht="15.75" x14ac:dyDescent="0.3">
      <c r="A137" s="22" t="s">
        <v>1974</v>
      </c>
      <c r="B137" s="22" t="s">
        <v>2179</v>
      </c>
      <c r="C137" s="23" t="s">
        <v>2243</v>
      </c>
      <c r="D137" s="22" t="s">
        <v>2244</v>
      </c>
      <c r="E137" s="22"/>
    </row>
    <row r="138" spans="1:5" ht="15.75" x14ac:dyDescent="0.3">
      <c r="A138" s="22" t="s">
        <v>1974</v>
      </c>
      <c r="B138" s="22" t="s">
        <v>2179</v>
      </c>
      <c r="C138" s="23" t="s">
        <v>2245</v>
      </c>
      <c r="D138" s="22" t="s">
        <v>2246</v>
      </c>
      <c r="E138" s="22"/>
    </row>
    <row r="139" spans="1:5" ht="15.75" x14ac:dyDescent="0.3">
      <c r="A139" s="22" t="s">
        <v>1974</v>
      </c>
      <c r="B139" s="22" t="s">
        <v>2179</v>
      </c>
      <c r="C139" s="23" t="s">
        <v>2247</v>
      </c>
      <c r="D139" s="22" t="s">
        <v>2248</v>
      </c>
      <c r="E139" s="22"/>
    </row>
    <row r="140" spans="1:5" ht="15.75" x14ac:dyDescent="0.3">
      <c r="A140" s="22" t="s">
        <v>1974</v>
      </c>
      <c r="B140" s="22" t="s">
        <v>2179</v>
      </c>
      <c r="C140" s="23" t="s">
        <v>2249</v>
      </c>
      <c r="D140" s="22" t="s">
        <v>2250</v>
      </c>
      <c r="E140" s="22"/>
    </row>
    <row r="141" spans="1:5" ht="15.75" x14ac:dyDescent="0.3">
      <c r="A141" s="22" t="s">
        <v>1974</v>
      </c>
      <c r="B141" s="22" t="s">
        <v>2179</v>
      </c>
      <c r="C141" s="23" t="s">
        <v>2251</v>
      </c>
      <c r="D141" s="22" t="s">
        <v>2252</v>
      </c>
      <c r="E141" s="22"/>
    </row>
    <row r="142" spans="1:5" ht="15.75" x14ac:dyDescent="0.3">
      <c r="A142" s="22" t="s">
        <v>1974</v>
      </c>
      <c r="B142" s="22" t="s">
        <v>2179</v>
      </c>
      <c r="C142" s="23" t="s">
        <v>2253</v>
      </c>
      <c r="D142" s="22" t="s">
        <v>2254</v>
      </c>
      <c r="E142" s="22"/>
    </row>
    <row r="143" spans="1:5" ht="15.75" x14ac:dyDescent="0.3">
      <c r="A143" s="22" t="s">
        <v>1974</v>
      </c>
      <c r="B143" s="22" t="s">
        <v>2179</v>
      </c>
      <c r="C143" s="23" t="s">
        <v>2255</v>
      </c>
      <c r="D143" s="22" t="s">
        <v>2256</v>
      </c>
      <c r="E143" s="22"/>
    </row>
    <row r="144" spans="1:5" ht="15.75" x14ac:dyDescent="0.3">
      <c r="A144" s="22" t="s">
        <v>1974</v>
      </c>
      <c r="B144" s="22" t="s">
        <v>2179</v>
      </c>
      <c r="C144" s="23" t="s">
        <v>2257</v>
      </c>
      <c r="D144" s="22" t="s">
        <v>2258</v>
      </c>
      <c r="E144" s="22"/>
    </row>
    <row r="145" spans="1:5" ht="15.75" x14ac:dyDescent="0.3">
      <c r="A145" s="22" t="s">
        <v>1974</v>
      </c>
      <c r="B145" s="22" t="s">
        <v>2179</v>
      </c>
      <c r="C145" s="23" t="s">
        <v>2259</v>
      </c>
      <c r="D145" s="22" t="s">
        <v>2260</v>
      </c>
      <c r="E145" s="22"/>
    </row>
    <row r="146" spans="1:5" ht="15.75" x14ac:dyDescent="0.3">
      <c r="A146" s="22" t="s">
        <v>1974</v>
      </c>
      <c r="B146" s="22" t="s">
        <v>2179</v>
      </c>
      <c r="C146" s="23" t="s">
        <v>2261</v>
      </c>
      <c r="D146" s="22" t="s">
        <v>2262</v>
      </c>
      <c r="E146" s="22"/>
    </row>
    <row r="147" spans="1:5" ht="15.75" x14ac:dyDescent="0.3">
      <c r="A147" s="22" t="s">
        <v>1974</v>
      </c>
      <c r="B147" s="22" t="s">
        <v>2179</v>
      </c>
      <c r="C147" s="23" t="s">
        <v>2263</v>
      </c>
      <c r="D147" s="22" t="s">
        <v>2264</v>
      </c>
      <c r="E147" s="22"/>
    </row>
    <row r="148" spans="1:5" ht="15.75" x14ac:dyDescent="0.3">
      <c r="A148" s="22" t="s">
        <v>1974</v>
      </c>
      <c r="B148" s="22" t="s">
        <v>2179</v>
      </c>
      <c r="C148" s="23" t="s">
        <v>2265</v>
      </c>
      <c r="D148" s="22" t="s">
        <v>2266</v>
      </c>
      <c r="E148" s="22"/>
    </row>
    <row r="149" spans="1:5" ht="15.75" x14ac:dyDescent="0.3">
      <c r="A149" s="22" t="s">
        <v>1974</v>
      </c>
      <c r="B149" s="22" t="s">
        <v>2179</v>
      </c>
      <c r="C149" s="23" t="s">
        <v>2267</v>
      </c>
      <c r="D149" s="22" t="s">
        <v>2268</v>
      </c>
      <c r="E149" s="22"/>
    </row>
    <row r="150" spans="1:5" ht="15.75" x14ac:dyDescent="0.3">
      <c r="A150" s="22" t="s">
        <v>1974</v>
      </c>
      <c r="B150" s="22" t="s">
        <v>2179</v>
      </c>
      <c r="C150" s="23" t="s">
        <v>2269</v>
      </c>
      <c r="D150" s="22" t="s">
        <v>2270</v>
      </c>
      <c r="E150" s="22"/>
    </row>
    <row r="151" spans="1:5" ht="15.75" x14ac:dyDescent="0.3">
      <c r="A151" s="22" t="s">
        <v>1974</v>
      </c>
      <c r="B151" s="22" t="s">
        <v>2179</v>
      </c>
      <c r="C151" s="23" t="s">
        <v>2271</v>
      </c>
      <c r="D151" s="22" t="s">
        <v>2272</v>
      </c>
      <c r="E151" s="22"/>
    </row>
    <row r="152" spans="1:5" ht="15.75" x14ac:dyDescent="0.3">
      <c r="A152" s="22" t="s">
        <v>1974</v>
      </c>
      <c r="B152" s="22" t="s">
        <v>2179</v>
      </c>
      <c r="C152" s="23" t="s">
        <v>2273</v>
      </c>
      <c r="D152" s="22" t="s">
        <v>2274</v>
      </c>
      <c r="E152" s="22"/>
    </row>
    <row r="153" spans="1:5" ht="15.75" x14ac:dyDescent="0.3">
      <c r="A153" s="22" t="s">
        <v>1974</v>
      </c>
      <c r="B153" s="22" t="s">
        <v>2179</v>
      </c>
      <c r="C153" s="23" t="s">
        <v>2275</v>
      </c>
      <c r="D153" s="22" t="s">
        <v>2276</v>
      </c>
      <c r="E153" s="22"/>
    </row>
    <row r="154" spans="1:5" ht="15.75" x14ac:dyDescent="0.3">
      <c r="A154" s="22" t="s">
        <v>1974</v>
      </c>
      <c r="B154" s="22" t="s">
        <v>2179</v>
      </c>
      <c r="C154" s="23" t="s">
        <v>2277</v>
      </c>
      <c r="D154" s="22" t="s">
        <v>2278</v>
      </c>
      <c r="E154" s="22"/>
    </row>
    <row r="155" spans="1:5" ht="15.75" x14ac:dyDescent="0.3">
      <c r="A155" s="22" t="s">
        <v>1974</v>
      </c>
      <c r="B155" s="22" t="s">
        <v>2179</v>
      </c>
      <c r="C155" s="23" t="s">
        <v>2279</v>
      </c>
      <c r="D155" s="22" t="s">
        <v>2280</v>
      </c>
      <c r="E155" s="22"/>
    </row>
    <row r="156" spans="1:5" ht="15.75" x14ac:dyDescent="0.3">
      <c r="A156" s="22" t="s">
        <v>1974</v>
      </c>
      <c r="B156" s="22" t="s">
        <v>2281</v>
      </c>
      <c r="C156" s="23" t="s">
        <v>2282</v>
      </c>
      <c r="D156" s="22">
        <v>0</v>
      </c>
      <c r="E156" s="22" t="str">
        <f>"恶魔头颅"&amp;O4&amp;"/元宝"&amp;P4</f>
        <v>恶魔头颅2/元宝2000</v>
      </c>
    </row>
    <row r="157" spans="1:5" ht="15.75" x14ac:dyDescent="0.3">
      <c r="A157" s="22" t="s">
        <v>1974</v>
      </c>
      <c r="B157" s="22" t="s">
        <v>2281</v>
      </c>
      <c r="C157" s="23" t="s">
        <v>2283</v>
      </c>
      <c r="D157" s="22" t="s">
        <v>2284</v>
      </c>
      <c r="E157" s="22" t="str">
        <f t="shared" ref="E157:E175" si="12">"恶魔头颅"&amp;O5&amp;"/元宝"&amp;P5</f>
        <v>恶魔头颅2/元宝2000</v>
      </c>
    </row>
    <row r="158" spans="1:5" ht="15.75" x14ac:dyDescent="0.3">
      <c r="A158" s="22" t="s">
        <v>1974</v>
      </c>
      <c r="B158" s="22" t="s">
        <v>2281</v>
      </c>
      <c r="C158" s="23" t="s">
        <v>2285</v>
      </c>
      <c r="D158" s="22" t="s">
        <v>2286</v>
      </c>
      <c r="E158" s="22" t="str">
        <f t="shared" si="12"/>
        <v>恶魔头颅2/元宝2000</v>
      </c>
    </row>
    <row r="159" spans="1:5" ht="15.75" x14ac:dyDescent="0.3">
      <c r="A159" s="22" t="s">
        <v>1974</v>
      </c>
      <c r="B159" s="22" t="s">
        <v>2281</v>
      </c>
      <c r="C159" s="23" t="s">
        <v>2287</v>
      </c>
      <c r="D159" s="22" t="s">
        <v>2288</v>
      </c>
      <c r="E159" s="22" t="str">
        <f t="shared" si="12"/>
        <v>恶魔头颅3/元宝3000</v>
      </c>
    </row>
    <row r="160" spans="1:5" ht="15.75" x14ac:dyDescent="0.3">
      <c r="A160" s="22" t="s">
        <v>1974</v>
      </c>
      <c r="B160" s="22" t="s">
        <v>2281</v>
      </c>
      <c r="C160" s="23" t="s">
        <v>2289</v>
      </c>
      <c r="D160" s="22" t="s">
        <v>2290</v>
      </c>
      <c r="E160" s="22" t="str">
        <f t="shared" si="12"/>
        <v>恶魔头颅15/元宝15000</v>
      </c>
    </row>
    <row r="161" spans="1:5" ht="15.75" x14ac:dyDescent="0.3">
      <c r="A161" s="22" t="s">
        <v>1974</v>
      </c>
      <c r="B161" s="22" t="s">
        <v>2281</v>
      </c>
      <c r="C161" s="23" t="s">
        <v>2291</v>
      </c>
      <c r="D161" s="22" t="s">
        <v>2292</v>
      </c>
      <c r="E161" s="22" t="str">
        <f t="shared" si="12"/>
        <v>恶魔头颅17/元宝17000</v>
      </c>
    </row>
    <row r="162" spans="1:5" ht="15.75" x14ac:dyDescent="0.3">
      <c r="A162" s="22" t="s">
        <v>1974</v>
      </c>
      <c r="B162" s="22" t="s">
        <v>2281</v>
      </c>
      <c r="C162" s="23" t="s">
        <v>2293</v>
      </c>
      <c r="D162" s="22" t="s">
        <v>2294</v>
      </c>
      <c r="E162" s="22" t="str">
        <f t="shared" si="12"/>
        <v>恶魔头颅20/元宝20000</v>
      </c>
    </row>
    <row r="163" spans="1:5" ht="15.75" x14ac:dyDescent="0.3">
      <c r="A163" s="22" t="s">
        <v>1974</v>
      </c>
      <c r="B163" s="22" t="s">
        <v>2281</v>
      </c>
      <c r="C163" s="23" t="s">
        <v>2295</v>
      </c>
      <c r="D163" s="22" t="s">
        <v>2296</v>
      </c>
      <c r="E163" s="22" t="str">
        <f t="shared" si="12"/>
        <v>恶魔头颅23/元宝23000</v>
      </c>
    </row>
    <row r="164" spans="1:5" ht="15.75" x14ac:dyDescent="0.3">
      <c r="A164" s="22" t="s">
        <v>1974</v>
      </c>
      <c r="B164" s="22" t="s">
        <v>2281</v>
      </c>
      <c r="C164" s="23" t="s">
        <v>2297</v>
      </c>
      <c r="D164" s="22" t="s">
        <v>2298</v>
      </c>
      <c r="E164" s="22" t="str">
        <f t="shared" si="12"/>
        <v>恶魔头颅25/元宝25000</v>
      </c>
    </row>
    <row r="165" spans="1:5" ht="15.75" x14ac:dyDescent="0.3">
      <c r="A165" s="22" t="s">
        <v>1974</v>
      </c>
      <c r="B165" s="22" t="s">
        <v>2281</v>
      </c>
      <c r="C165" s="23" t="s">
        <v>2299</v>
      </c>
      <c r="D165" s="22" t="s">
        <v>2300</v>
      </c>
      <c r="E165" s="22" t="str">
        <f t="shared" si="12"/>
        <v>恶魔头颅27/元宝27000</v>
      </c>
    </row>
    <row r="166" spans="1:5" ht="15.75" x14ac:dyDescent="0.3">
      <c r="A166" s="22" t="s">
        <v>1974</v>
      </c>
      <c r="B166" s="22" t="s">
        <v>2281</v>
      </c>
      <c r="C166" s="23" t="s">
        <v>2301</v>
      </c>
      <c r="D166" s="22" t="s">
        <v>2302</v>
      </c>
      <c r="E166" s="22" t="str">
        <f t="shared" si="12"/>
        <v>恶魔头颅143/元宝143000</v>
      </c>
    </row>
    <row r="167" spans="1:5" ht="15.75" x14ac:dyDescent="0.3">
      <c r="A167" s="22" t="s">
        <v>1974</v>
      </c>
      <c r="B167" s="22" t="s">
        <v>2281</v>
      </c>
      <c r="C167" s="23" t="s">
        <v>2303</v>
      </c>
      <c r="D167" s="22" t="s">
        <v>2304</v>
      </c>
      <c r="E167" s="22" t="str">
        <f t="shared" si="12"/>
        <v>恶魔头颅153/元宝153000</v>
      </c>
    </row>
    <row r="168" spans="1:5" ht="15.75" x14ac:dyDescent="0.3">
      <c r="A168" s="22" t="s">
        <v>1974</v>
      </c>
      <c r="B168" s="22" t="s">
        <v>2281</v>
      </c>
      <c r="C168" s="23" t="s">
        <v>2305</v>
      </c>
      <c r="D168" s="22" t="s">
        <v>2306</v>
      </c>
      <c r="E168" s="22" t="str">
        <f t="shared" si="12"/>
        <v>恶魔头颅163/元宝163000</v>
      </c>
    </row>
    <row r="169" spans="1:5" ht="15.75" x14ac:dyDescent="0.3">
      <c r="A169" s="22" t="s">
        <v>1974</v>
      </c>
      <c r="B169" s="22" t="s">
        <v>2281</v>
      </c>
      <c r="C169" s="23" t="s">
        <v>2307</v>
      </c>
      <c r="D169" s="22" t="s">
        <v>2308</v>
      </c>
      <c r="E169" s="22" t="str">
        <f t="shared" si="12"/>
        <v>恶魔头颅173/元宝173000</v>
      </c>
    </row>
    <row r="170" spans="1:5" ht="15.75" x14ac:dyDescent="0.3">
      <c r="A170" s="22" t="s">
        <v>1974</v>
      </c>
      <c r="B170" s="22" t="s">
        <v>2281</v>
      </c>
      <c r="C170" s="23" t="s">
        <v>2309</v>
      </c>
      <c r="D170" s="22" t="s">
        <v>2310</v>
      </c>
      <c r="E170" s="22" t="str">
        <f t="shared" si="12"/>
        <v>恶魔头颅183/元宝183000</v>
      </c>
    </row>
    <row r="171" spans="1:5" ht="15.75" x14ac:dyDescent="0.3">
      <c r="A171" s="22" t="s">
        <v>1974</v>
      </c>
      <c r="B171" s="22" t="s">
        <v>2281</v>
      </c>
      <c r="C171" s="23" t="s">
        <v>2311</v>
      </c>
      <c r="D171" s="22" t="s">
        <v>2312</v>
      </c>
      <c r="E171" s="22" t="str">
        <f t="shared" si="12"/>
        <v>恶魔头颅386/元宝386000</v>
      </c>
    </row>
    <row r="172" spans="1:5" ht="15.75" x14ac:dyDescent="0.3">
      <c r="A172" s="22" t="s">
        <v>1974</v>
      </c>
      <c r="B172" s="22" t="s">
        <v>2281</v>
      </c>
      <c r="C172" s="23" t="s">
        <v>2313</v>
      </c>
      <c r="D172" s="22" t="s">
        <v>2314</v>
      </c>
      <c r="E172" s="22" t="str">
        <f t="shared" si="12"/>
        <v>恶魔头颅406/元宝406000</v>
      </c>
    </row>
    <row r="173" spans="1:5" ht="15.75" x14ac:dyDescent="0.3">
      <c r="A173" s="22" t="s">
        <v>1974</v>
      </c>
      <c r="B173" s="22" t="s">
        <v>2281</v>
      </c>
      <c r="C173" s="23" t="s">
        <v>2315</v>
      </c>
      <c r="D173" s="22" t="s">
        <v>2316</v>
      </c>
      <c r="E173" s="22" t="str">
        <f t="shared" si="12"/>
        <v>恶魔头颅426/元宝426000</v>
      </c>
    </row>
    <row r="174" spans="1:5" ht="15.75" x14ac:dyDescent="0.3">
      <c r="A174" s="22" t="s">
        <v>1974</v>
      </c>
      <c r="B174" s="22" t="s">
        <v>2281</v>
      </c>
      <c r="C174" s="23" t="s">
        <v>2317</v>
      </c>
      <c r="D174" s="22" t="s">
        <v>2318</v>
      </c>
      <c r="E174" s="22" t="str">
        <f t="shared" si="12"/>
        <v>恶魔头颅446/元宝446000</v>
      </c>
    </row>
    <row r="175" spans="1:5" ht="15.75" x14ac:dyDescent="0.3">
      <c r="A175" s="22" t="s">
        <v>1974</v>
      </c>
      <c r="B175" s="22" t="s">
        <v>2281</v>
      </c>
      <c r="C175" s="23" t="s">
        <v>2319</v>
      </c>
      <c r="D175" s="22" t="s">
        <v>2320</v>
      </c>
      <c r="E175" s="22" t="str">
        <f t="shared" si="12"/>
        <v>恶魔头颅466/元宝466000</v>
      </c>
    </row>
    <row r="176" spans="1:5" ht="15.75" x14ac:dyDescent="0.3">
      <c r="A176" s="22" t="s">
        <v>1974</v>
      </c>
      <c r="B176" s="22" t="s">
        <v>2281</v>
      </c>
      <c r="C176" s="23" t="s">
        <v>2321</v>
      </c>
      <c r="D176" s="22" t="s">
        <v>2322</v>
      </c>
      <c r="E176" s="22"/>
    </row>
    <row r="177" spans="1:5" ht="15.75" x14ac:dyDescent="0.3">
      <c r="A177" s="22" t="s">
        <v>1974</v>
      </c>
      <c r="B177" s="22" t="s">
        <v>2281</v>
      </c>
      <c r="C177" s="23" t="s">
        <v>2323</v>
      </c>
      <c r="D177" s="22" t="s">
        <v>2324</v>
      </c>
      <c r="E177" s="22"/>
    </row>
    <row r="178" spans="1:5" ht="15.75" x14ac:dyDescent="0.3">
      <c r="A178" s="22" t="s">
        <v>1974</v>
      </c>
      <c r="B178" s="22" t="s">
        <v>2281</v>
      </c>
      <c r="C178" s="23" t="s">
        <v>2325</v>
      </c>
      <c r="D178" s="22" t="s">
        <v>2326</v>
      </c>
      <c r="E178" s="22"/>
    </row>
    <row r="179" spans="1:5" ht="15.75" x14ac:dyDescent="0.3">
      <c r="A179" s="22" t="s">
        <v>1974</v>
      </c>
      <c r="B179" s="22" t="s">
        <v>2281</v>
      </c>
      <c r="C179" s="23" t="s">
        <v>2327</v>
      </c>
      <c r="D179" s="22" t="s">
        <v>2328</v>
      </c>
      <c r="E179" s="22"/>
    </row>
    <row r="180" spans="1:5" ht="15.75" x14ac:dyDescent="0.3">
      <c r="A180" s="22" t="s">
        <v>1974</v>
      </c>
      <c r="B180" s="22" t="s">
        <v>2281</v>
      </c>
      <c r="C180" s="23" t="s">
        <v>2329</v>
      </c>
      <c r="D180" s="22" t="s">
        <v>2330</v>
      </c>
      <c r="E180" s="22"/>
    </row>
    <row r="181" spans="1:5" ht="15.75" x14ac:dyDescent="0.3">
      <c r="A181" s="22" t="s">
        <v>1974</v>
      </c>
      <c r="B181" s="22" t="s">
        <v>2281</v>
      </c>
      <c r="C181" s="23" t="s">
        <v>2331</v>
      </c>
      <c r="D181" s="22" t="s">
        <v>2332</v>
      </c>
      <c r="E181" s="22"/>
    </row>
    <row r="182" spans="1:5" ht="15.75" x14ac:dyDescent="0.3">
      <c r="A182" s="22" t="s">
        <v>1974</v>
      </c>
      <c r="B182" s="22" t="s">
        <v>2281</v>
      </c>
      <c r="C182" s="23" t="s">
        <v>2333</v>
      </c>
      <c r="D182" s="22" t="s">
        <v>2334</v>
      </c>
      <c r="E182" s="22"/>
    </row>
    <row r="183" spans="1:5" ht="15.75" x14ac:dyDescent="0.3">
      <c r="A183" s="22" t="s">
        <v>1974</v>
      </c>
      <c r="B183" s="22" t="s">
        <v>2281</v>
      </c>
      <c r="C183" s="23" t="s">
        <v>2335</v>
      </c>
      <c r="D183" s="22" t="s">
        <v>2336</v>
      </c>
      <c r="E183" s="22"/>
    </row>
    <row r="184" spans="1:5" ht="15.75" x14ac:dyDescent="0.3">
      <c r="A184" s="22" t="s">
        <v>1974</v>
      </c>
      <c r="B184" s="22" t="s">
        <v>2281</v>
      </c>
      <c r="C184" s="23" t="s">
        <v>2337</v>
      </c>
      <c r="D184" s="22" t="s">
        <v>2338</v>
      </c>
      <c r="E184" s="22"/>
    </row>
    <row r="185" spans="1:5" ht="15.75" x14ac:dyDescent="0.3">
      <c r="A185" s="22" t="s">
        <v>1974</v>
      </c>
      <c r="B185" s="22" t="s">
        <v>2281</v>
      </c>
      <c r="C185" s="23" t="s">
        <v>2339</v>
      </c>
      <c r="D185" s="22" t="s">
        <v>2340</v>
      </c>
      <c r="E185" s="22"/>
    </row>
    <row r="186" spans="1:5" ht="15.75" x14ac:dyDescent="0.3">
      <c r="A186" s="22" t="s">
        <v>1974</v>
      </c>
      <c r="B186" s="22" t="s">
        <v>2281</v>
      </c>
      <c r="C186" s="23" t="s">
        <v>2341</v>
      </c>
      <c r="D186" s="22" t="s">
        <v>2342</v>
      </c>
      <c r="E186" s="22"/>
    </row>
    <row r="187" spans="1:5" ht="15.75" x14ac:dyDescent="0.3">
      <c r="A187" s="22" t="s">
        <v>1974</v>
      </c>
      <c r="B187" s="22" t="s">
        <v>2281</v>
      </c>
      <c r="C187" s="23" t="s">
        <v>2343</v>
      </c>
      <c r="D187" s="22" t="s">
        <v>2344</v>
      </c>
      <c r="E187" s="22"/>
    </row>
    <row r="188" spans="1:5" ht="15.75" x14ac:dyDescent="0.3">
      <c r="A188" s="22" t="s">
        <v>1974</v>
      </c>
      <c r="B188" s="22" t="s">
        <v>2281</v>
      </c>
      <c r="C188" s="23" t="s">
        <v>2345</v>
      </c>
      <c r="D188" s="22" t="s">
        <v>2346</v>
      </c>
      <c r="E188" s="22"/>
    </row>
    <row r="189" spans="1:5" ht="15.75" x14ac:dyDescent="0.3">
      <c r="A189" s="22" t="s">
        <v>1974</v>
      </c>
      <c r="B189" s="22" t="s">
        <v>2281</v>
      </c>
      <c r="C189" s="23" t="s">
        <v>2347</v>
      </c>
      <c r="D189" s="22" t="s">
        <v>2348</v>
      </c>
      <c r="E189" s="22"/>
    </row>
    <row r="190" spans="1:5" ht="15.75" x14ac:dyDescent="0.3">
      <c r="A190" s="22" t="s">
        <v>1974</v>
      </c>
      <c r="B190" s="22" t="s">
        <v>2281</v>
      </c>
      <c r="C190" s="23" t="s">
        <v>2349</v>
      </c>
      <c r="D190" s="22" t="s">
        <v>2350</v>
      </c>
      <c r="E190" s="22"/>
    </row>
    <row r="191" spans="1:5" ht="15.75" x14ac:dyDescent="0.3">
      <c r="A191" s="22" t="s">
        <v>1974</v>
      </c>
      <c r="B191" s="22" t="s">
        <v>2281</v>
      </c>
      <c r="C191" s="23" t="s">
        <v>2351</v>
      </c>
      <c r="D191" s="22" t="s">
        <v>2352</v>
      </c>
      <c r="E191" s="22"/>
    </row>
    <row r="192" spans="1:5" ht="15.75" x14ac:dyDescent="0.3">
      <c r="A192" s="22" t="s">
        <v>1974</v>
      </c>
      <c r="B192" s="22" t="s">
        <v>2281</v>
      </c>
      <c r="C192" s="23" t="s">
        <v>2353</v>
      </c>
      <c r="D192" s="22" t="s">
        <v>2354</v>
      </c>
      <c r="E192" s="22"/>
    </row>
    <row r="193" spans="1:5" ht="15.75" x14ac:dyDescent="0.3">
      <c r="A193" s="22" t="s">
        <v>1974</v>
      </c>
      <c r="B193" s="22" t="s">
        <v>2281</v>
      </c>
      <c r="C193" s="23" t="s">
        <v>2355</v>
      </c>
      <c r="D193" s="22" t="s">
        <v>2356</v>
      </c>
      <c r="E193" s="22"/>
    </row>
    <row r="194" spans="1:5" ht="15.75" x14ac:dyDescent="0.3">
      <c r="A194" s="22" t="s">
        <v>1974</v>
      </c>
      <c r="B194" s="22" t="s">
        <v>2281</v>
      </c>
      <c r="C194" s="23" t="s">
        <v>2357</v>
      </c>
      <c r="D194" s="22" t="s">
        <v>2358</v>
      </c>
      <c r="E194" s="22"/>
    </row>
    <row r="195" spans="1:5" ht="15.75" x14ac:dyDescent="0.3">
      <c r="A195" s="22" t="s">
        <v>1974</v>
      </c>
      <c r="B195" s="22" t="s">
        <v>2281</v>
      </c>
      <c r="C195" s="23" t="s">
        <v>2359</v>
      </c>
      <c r="D195" s="22" t="s">
        <v>2360</v>
      </c>
      <c r="E195" s="22"/>
    </row>
    <row r="196" spans="1:5" ht="15.75" x14ac:dyDescent="0.3">
      <c r="A196" s="22" t="s">
        <v>1974</v>
      </c>
      <c r="B196" s="22" t="s">
        <v>2281</v>
      </c>
      <c r="C196" s="23" t="s">
        <v>2361</v>
      </c>
      <c r="D196" s="22" t="s">
        <v>2362</v>
      </c>
      <c r="E196" s="22"/>
    </row>
    <row r="197" spans="1:5" ht="15.75" x14ac:dyDescent="0.3">
      <c r="A197" s="22" t="s">
        <v>1974</v>
      </c>
      <c r="B197" s="22" t="s">
        <v>2281</v>
      </c>
      <c r="C197" s="23" t="s">
        <v>2363</v>
      </c>
      <c r="D197" s="22" t="s">
        <v>2364</v>
      </c>
      <c r="E197" s="22"/>
    </row>
    <row r="198" spans="1:5" ht="15.75" x14ac:dyDescent="0.3">
      <c r="A198" s="22" t="s">
        <v>1974</v>
      </c>
      <c r="B198" s="22" t="s">
        <v>2281</v>
      </c>
      <c r="C198" s="23" t="s">
        <v>2365</v>
      </c>
      <c r="D198" s="22" t="s">
        <v>2366</v>
      </c>
      <c r="E198" s="22"/>
    </row>
    <row r="199" spans="1:5" ht="15.75" x14ac:dyDescent="0.3">
      <c r="A199" s="22" t="s">
        <v>1974</v>
      </c>
      <c r="B199" s="22" t="s">
        <v>2281</v>
      </c>
      <c r="C199" s="23" t="s">
        <v>2367</v>
      </c>
      <c r="D199" s="22" t="s">
        <v>2368</v>
      </c>
      <c r="E199" s="22"/>
    </row>
    <row r="200" spans="1:5" ht="15.75" x14ac:dyDescent="0.3">
      <c r="A200" s="22" t="s">
        <v>1974</v>
      </c>
      <c r="B200" s="22" t="s">
        <v>2281</v>
      </c>
      <c r="C200" s="23" t="s">
        <v>2369</v>
      </c>
      <c r="D200" s="22" t="s">
        <v>2370</v>
      </c>
      <c r="E200" s="22"/>
    </row>
    <row r="201" spans="1:5" ht="15.75" x14ac:dyDescent="0.3">
      <c r="A201" s="22" t="s">
        <v>1974</v>
      </c>
      <c r="B201" s="22" t="s">
        <v>2281</v>
      </c>
      <c r="C201" s="23" t="s">
        <v>2371</v>
      </c>
      <c r="D201" s="22" t="s">
        <v>2372</v>
      </c>
      <c r="E201" s="22"/>
    </row>
    <row r="202" spans="1:5" ht="15.75" x14ac:dyDescent="0.3">
      <c r="A202" s="22" t="s">
        <v>1974</v>
      </c>
      <c r="B202" s="22" t="s">
        <v>2281</v>
      </c>
      <c r="C202" s="23" t="s">
        <v>2373</v>
      </c>
      <c r="D202" s="22" t="s">
        <v>2374</v>
      </c>
      <c r="E202" s="22"/>
    </row>
    <row r="203" spans="1:5" ht="15.75" x14ac:dyDescent="0.3">
      <c r="A203" s="22" t="s">
        <v>1974</v>
      </c>
      <c r="B203" s="22" t="s">
        <v>2281</v>
      </c>
      <c r="C203" s="23" t="s">
        <v>2375</v>
      </c>
      <c r="D203" s="22" t="s">
        <v>2376</v>
      </c>
      <c r="E203" s="22"/>
    </row>
    <row r="204" spans="1:5" ht="15.75" x14ac:dyDescent="0.3">
      <c r="A204" s="22" t="s">
        <v>1974</v>
      </c>
      <c r="B204" s="22" t="s">
        <v>2281</v>
      </c>
      <c r="C204" s="23" t="s">
        <v>2377</v>
      </c>
      <c r="D204" s="22" t="s">
        <v>2378</v>
      </c>
      <c r="E204" s="22"/>
    </row>
    <row r="205" spans="1:5" ht="15.75" x14ac:dyDescent="0.3">
      <c r="A205" s="22" t="s">
        <v>1974</v>
      </c>
      <c r="B205" s="22" t="s">
        <v>2281</v>
      </c>
      <c r="C205" s="23" t="s">
        <v>2379</v>
      </c>
      <c r="D205" s="22" t="s">
        <v>2380</v>
      </c>
      <c r="E205" s="22"/>
    </row>
    <row r="206" spans="1:5" ht="15.75" x14ac:dyDescent="0.3">
      <c r="A206" s="22" t="s">
        <v>1974</v>
      </c>
      <c r="B206" s="22" t="s">
        <v>2281</v>
      </c>
      <c r="C206" s="23" t="s">
        <v>2381</v>
      </c>
      <c r="D206" s="22" t="s">
        <v>2382</v>
      </c>
      <c r="E206" s="22"/>
    </row>
  </sheetData>
  <mergeCells count="9">
    <mergeCell ref="Y2:AA2"/>
    <mergeCell ref="F2:J2"/>
    <mergeCell ref="A1:J1"/>
    <mergeCell ref="Q1:AA1"/>
    <mergeCell ref="Q2:S2"/>
    <mergeCell ref="T2:V2"/>
    <mergeCell ref="W2:X2"/>
    <mergeCell ref="K2:L2"/>
    <mergeCell ref="M2:N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S407"/>
  <sheetViews>
    <sheetView topLeftCell="A79" workbookViewId="0">
      <selection activeCell="O102" sqref="O102"/>
    </sheetView>
  </sheetViews>
  <sheetFormatPr defaultRowHeight="14.25" x14ac:dyDescent="0.2"/>
  <cols>
    <col min="14" max="14" width="23.375" customWidth="1"/>
    <col min="15" max="15" width="31.875" bestFit="1" customWidth="1"/>
    <col min="16" max="16" width="9" style="94"/>
    <col min="17" max="21" width="9" style="159"/>
    <col min="22" max="22" width="11.875" style="159" bestFit="1" customWidth="1"/>
    <col min="23" max="23" width="16.375" style="159" bestFit="1" customWidth="1"/>
    <col min="24" max="25" width="16.375" style="159" customWidth="1"/>
    <col min="26" max="26" width="20.75" style="159" bestFit="1" customWidth="1"/>
    <col min="27" max="27" width="16.375" style="159" customWidth="1"/>
    <col min="29" max="29" width="10" style="94" bestFit="1" customWidth="1"/>
    <col min="32" max="32" width="11.75" bestFit="1" customWidth="1"/>
    <col min="33" max="33" width="10" bestFit="1" customWidth="1"/>
    <col min="35" max="35" width="9" style="94"/>
    <col min="44" max="44" width="20.75" bestFit="1" customWidth="1"/>
    <col min="45" max="45" width="16.375" bestFit="1" customWidth="1"/>
  </cols>
  <sheetData>
    <row r="1" spans="1:45" ht="18" x14ac:dyDescent="0.2">
      <c r="P1" s="293" t="s">
        <v>2850</v>
      </c>
      <c r="Q1" s="294"/>
      <c r="R1" s="294"/>
      <c r="S1" s="294"/>
      <c r="T1" s="294"/>
      <c r="U1" s="295"/>
      <c r="V1" s="293" t="s">
        <v>3773</v>
      </c>
      <c r="W1" s="295"/>
      <c r="X1" s="293" t="s">
        <v>3783</v>
      </c>
      <c r="Y1" s="295"/>
      <c r="Z1" s="293" t="s">
        <v>3805</v>
      </c>
      <c r="AA1" s="295"/>
      <c r="AB1" s="265" t="s">
        <v>2849</v>
      </c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</row>
    <row r="2" spans="1:45" ht="18" x14ac:dyDescent="0.2">
      <c r="A2" s="21" t="s">
        <v>50</v>
      </c>
      <c r="B2" s="21" t="s">
        <v>54</v>
      </c>
      <c r="C2" s="21" t="s">
        <v>55</v>
      </c>
      <c r="D2" s="290" t="s">
        <v>172</v>
      </c>
      <c r="E2" s="291"/>
      <c r="F2" s="291"/>
      <c r="G2" s="291"/>
      <c r="H2" s="291"/>
      <c r="I2" s="291"/>
      <c r="J2" s="291"/>
      <c r="K2" s="291"/>
      <c r="L2" s="291"/>
      <c r="M2" s="292"/>
      <c r="N2" s="21" t="s">
        <v>61</v>
      </c>
      <c r="O2" s="95" t="s">
        <v>62</v>
      </c>
      <c r="P2" s="293" t="s">
        <v>3719</v>
      </c>
      <c r="Q2" s="294"/>
      <c r="R2" s="294"/>
      <c r="S2" s="294"/>
      <c r="T2" s="294"/>
      <c r="U2" s="295"/>
      <c r="V2" s="205"/>
      <c r="W2" s="205"/>
      <c r="X2" s="205"/>
      <c r="Y2" s="205"/>
      <c r="Z2" s="205"/>
      <c r="AA2" s="205"/>
      <c r="AB2" s="265" t="s">
        <v>2399</v>
      </c>
      <c r="AC2" s="265"/>
      <c r="AD2" s="265" t="s">
        <v>2513</v>
      </c>
      <c r="AE2" s="265"/>
      <c r="AF2" s="265"/>
      <c r="AG2" s="265"/>
      <c r="AH2" s="265" t="s">
        <v>2625</v>
      </c>
      <c r="AI2" s="265"/>
      <c r="AJ2" s="265" t="s">
        <v>2737</v>
      </c>
      <c r="AK2" s="265"/>
      <c r="AL2" s="265"/>
      <c r="AM2" s="265"/>
      <c r="AN2" s="265"/>
    </row>
    <row r="3" spans="1:45" ht="18" x14ac:dyDescent="0.2">
      <c r="A3" s="21"/>
      <c r="B3" s="21"/>
      <c r="C3" s="21"/>
      <c r="D3" s="21" t="s">
        <v>2393</v>
      </c>
      <c r="E3" s="21" t="s">
        <v>2394</v>
      </c>
      <c r="F3" s="21" t="s">
        <v>2395</v>
      </c>
      <c r="G3" s="21" t="s">
        <v>2396</v>
      </c>
      <c r="H3" s="21" t="s">
        <v>67</v>
      </c>
      <c r="I3" s="21" t="s">
        <v>72</v>
      </c>
      <c r="J3" s="21" t="s">
        <v>2397</v>
      </c>
      <c r="K3" s="21" t="s">
        <v>2398</v>
      </c>
      <c r="L3" s="21" t="s">
        <v>75</v>
      </c>
      <c r="M3" s="21" t="s">
        <v>76</v>
      </c>
      <c r="N3" s="21"/>
      <c r="O3" s="95"/>
      <c r="P3" s="63" t="s">
        <v>55</v>
      </c>
      <c r="Q3" s="205"/>
      <c r="R3" s="205" t="s">
        <v>37</v>
      </c>
      <c r="S3" s="205" t="s">
        <v>38</v>
      </c>
      <c r="T3" s="205" t="s">
        <v>3</v>
      </c>
      <c r="U3" s="205" t="s">
        <v>2</v>
      </c>
      <c r="V3" s="204" t="s">
        <v>3758</v>
      </c>
      <c r="W3" s="204" t="s">
        <v>3771</v>
      </c>
      <c r="X3" s="205" t="s">
        <v>3784</v>
      </c>
      <c r="Y3" s="205" t="s">
        <v>3777</v>
      </c>
      <c r="Z3" s="205" t="s">
        <v>3804</v>
      </c>
      <c r="AA3" s="205" t="s">
        <v>3799</v>
      </c>
      <c r="AB3" s="21" t="s">
        <v>3</v>
      </c>
      <c r="AC3" s="63" t="s">
        <v>2851</v>
      </c>
      <c r="AD3" s="21" t="s">
        <v>3</v>
      </c>
      <c r="AE3" s="21" t="s">
        <v>2</v>
      </c>
      <c r="AF3" s="63" t="s">
        <v>2390</v>
      </c>
      <c r="AG3" s="63" t="s">
        <v>2851</v>
      </c>
      <c r="AH3" s="21" t="s">
        <v>2</v>
      </c>
      <c r="AI3" s="63" t="s">
        <v>2852</v>
      </c>
      <c r="AJ3" s="21" t="s">
        <v>36</v>
      </c>
      <c r="AK3" s="21" t="s">
        <v>1914</v>
      </c>
      <c r="AL3" s="63" t="s">
        <v>2851</v>
      </c>
      <c r="AM3" s="63" t="s">
        <v>2853</v>
      </c>
      <c r="AN3" s="63" t="s">
        <v>2854</v>
      </c>
      <c r="AP3" s="63" t="s">
        <v>55</v>
      </c>
      <c r="AQ3" s="63" t="s">
        <v>3798</v>
      </c>
      <c r="AR3" s="63" t="s">
        <v>3804</v>
      </c>
      <c r="AS3" s="63" t="s">
        <v>3799</v>
      </c>
    </row>
    <row r="4" spans="1:45" ht="16.5" x14ac:dyDescent="0.3">
      <c r="A4" s="22" t="s">
        <v>2399</v>
      </c>
      <c r="B4" s="23" t="s">
        <v>2400</v>
      </c>
      <c r="C4" s="22">
        <v>0</v>
      </c>
      <c r="D4" s="98"/>
      <c r="E4" s="99"/>
      <c r="F4" s="99"/>
      <c r="G4" s="99"/>
      <c r="H4" s="99"/>
      <c r="I4" s="99"/>
      <c r="J4" s="99"/>
      <c r="K4" s="99"/>
      <c r="L4" s="99"/>
      <c r="M4" s="99"/>
      <c r="N4" s="69"/>
      <c r="O4" s="100" t="str">
        <f>"龙晶碎片"&amp;Z4&amp;"/元宝"&amp;AA4</f>
        <v>龙晶碎片6/元宝6000</v>
      </c>
      <c r="P4" s="97">
        <v>1</v>
      </c>
      <c r="Q4" s="158"/>
      <c r="R4" s="158">
        <f t="shared" ref="R4:R67" si="0">INT(P4/P$103*R$103)</f>
        <v>100</v>
      </c>
      <c r="S4" s="158">
        <f t="shared" ref="S4:S67" si="1">INT(P4/P$103*S$103)</f>
        <v>400</v>
      </c>
      <c r="T4" s="158">
        <f t="shared" ref="T4:T67" si="2">INT(P4/P$103*T$103)</f>
        <v>5</v>
      </c>
      <c r="U4" s="158">
        <f t="shared" ref="U4:U67" si="3">INT(P4/P$103*U$103)</f>
        <v>5</v>
      </c>
      <c r="V4" s="158">
        <f>R4*属性价值参考!C$5+附件合成!S4*属性价值参考!C$6+附件合成!T4*(属性价值参考!C$7+属性价值参考!C$8)+附件合成!U4*(属性价值参考!C$9+属性价值参考!C$10)</f>
        <v>1527.6</v>
      </c>
      <c r="W4" s="158">
        <f>AC4*属性价值参考!C$26+附件合成!AF4*属性价值参考!C$24+附件合成!AG4*属性价值参考!C$26+附件合成!AI4*(属性价值参考!C$28+属性价值参考!C$29)+附件合成!AL4*属性价值参考!C$26+附件合成!AM4*属性价值参考!C$27+AN4*(属性价值参考!C$37+属性价值参考!C$38)</f>
        <v>1880.4</v>
      </c>
      <c r="X4" s="158">
        <f t="shared" ref="X4:X67" si="4">(V4+W4)/16</f>
        <v>213</v>
      </c>
      <c r="Y4" s="158">
        <f t="shared" ref="Y4:Y67" si="5">(V4+W4)/16*1000</f>
        <v>213000</v>
      </c>
      <c r="Z4" s="158">
        <f>ROUND(1/4*SUM(材料产出!$AB$4:$AB$6),0)</f>
        <v>6</v>
      </c>
      <c r="AA4" s="158">
        <f t="shared" ref="AA4:AA12" si="6">Z4*1000</f>
        <v>6000</v>
      </c>
      <c r="AB4" s="8">
        <f t="shared" ref="AB4:AB67" si="7">INT(0.5*T4)</f>
        <v>2</v>
      </c>
      <c r="AC4" s="97">
        <v>5</v>
      </c>
      <c r="AD4" s="8">
        <f t="shared" ref="AD4:AD67" si="8">INT(0.5*T4)</f>
        <v>2</v>
      </c>
      <c r="AE4" s="8">
        <f t="shared" ref="AE4:AE67" si="9">INT(0.5*U4)</f>
        <v>2</v>
      </c>
      <c r="AF4" s="97">
        <v>1</v>
      </c>
      <c r="AG4" s="97">
        <v>1</v>
      </c>
      <c r="AH4" s="8">
        <f t="shared" ref="AH4:AH67" si="10">INT(0.5*U4)</f>
        <v>2</v>
      </c>
      <c r="AI4" s="97">
        <v>2</v>
      </c>
      <c r="AJ4" s="8">
        <f t="shared" ref="AJ4:AJ67" si="11">INT(R4)</f>
        <v>100</v>
      </c>
      <c r="AK4" s="8">
        <f t="shared" ref="AK4:AK67" si="12">INT(S4)</f>
        <v>400</v>
      </c>
      <c r="AL4" s="97">
        <v>1</v>
      </c>
      <c r="AM4" s="97">
        <v>1</v>
      </c>
      <c r="AN4" s="97">
        <v>20</v>
      </c>
      <c r="AP4" s="97">
        <v>5</v>
      </c>
      <c r="AQ4" s="2">
        <f>材料产出!C8</f>
        <v>0.9</v>
      </c>
      <c r="AR4" s="2">
        <f>INT(X$103/材料产出!AC$31*(材料产出!AC4)*AQ4)</f>
        <v>1</v>
      </c>
      <c r="AS4" s="2">
        <f t="shared" ref="AS4:AS12" si="13">AR4*1000</f>
        <v>1000</v>
      </c>
    </row>
    <row r="5" spans="1:45" ht="16.5" x14ac:dyDescent="0.3">
      <c r="A5" s="22" t="s">
        <v>2399</v>
      </c>
      <c r="B5" s="23" t="s">
        <v>2401</v>
      </c>
      <c r="C5" s="22">
        <v>1</v>
      </c>
      <c r="D5" s="98">
        <v>1</v>
      </c>
      <c r="E5" s="101">
        <v>2</v>
      </c>
      <c r="F5" s="98">
        <v>1</v>
      </c>
      <c r="G5" s="101">
        <v>2</v>
      </c>
      <c r="H5" s="98">
        <v>1</v>
      </c>
      <c r="I5" s="101">
        <v>2</v>
      </c>
      <c r="J5" s="101"/>
      <c r="K5" s="101"/>
      <c r="L5" s="101"/>
      <c r="M5" s="101"/>
      <c r="N5" s="69" t="s">
        <v>2402</v>
      </c>
      <c r="O5" s="100" t="str">
        <f t="shared" ref="O5:O68" si="14">"龙晶碎片"&amp;Z5&amp;"/元宝"&amp;AA5</f>
        <v>龙晶碎片6/元宝6000</v>
      </c>
      <c r="P5" s="97">
        <v>2</v>
      </c>
      <c r="Q5" s="158"/>
      <c r="R5" s="158">
        <f t="shared" si="0"/>
        <v>200</v>
      </c>
      <c r="S5" s="158">
        <f t="shared" si="1"/>
        <v>800</v>
      </c>
      <c r="T5" s="158">
        <f t="shared" si="2"/>
        <v>10</v>
      </c>
      <c r="U5" s="158">
        <f t="shared" si="3"/>
        <v>10</v>
      </c>
      <c r="V5" s="158">
        <f>R5*属性价值参考!C$5+附件合成!S5*属性价值参考!C$6+附件合成!T5*(属性价值参考!C$7+属性价值参考!C$8)+附件合成!U5*(属性价值参考!C$9+属性价值参考!C$10)</f>
        <v>3055.2</v>
      </c>
      <c r="W5" s="158">
        <f>AC5*属性价值参考!C$26+附件合成!AF5*属性价值参考!C$24+附件合成!AG5*属性价值参考!C$26+附件合成!AI5*(属性价值参考!C$28+属性价值参考!C$29)+附件合成!AL5*属性价值参考!C$26+附件合成!AM5*属性价值参考!C$27+AN5*(属性价值参考!C$37+属性价值参考!C$38)</f>
        <v>1880.4</v>
      </c>
      <c r="X5" s="158">
        <f t="shared" si="4"/>
        <v>308.47500000000002</v>
      </c>
      <c r="Y5" s="158">
        <f t="shared" si="5"/>
        <v>308475</v>
      </c>
      <c r="Z5" s="158">
        <f>ROUND(1/4*SUM(材料产出!$AB$4:$AB$6),0)</f>
        <v>6</v>
      </c>
      <c r="AA5" s="158">
        <f t="shared" si="6"/>
        <v>6000</v>
      </c>
      <c r="AB5" s="8">
        <f t="shared" si="7"/>
        <v>5</v>
      </c>
      <c r="AC5" s="97">
        <v>5</v>
      </c>
      <c r="AD5" s="8">
        <f t="shared" si="8"/>
        <v>5</v>
      </c>
      <c r="AE5" s="8">
        <f t="shared" si="9"/>
        <v>5</v>
      </c>
      <c r="AF5" s="97">
        <v>1</v>
      </c>
      <c r="AG5" s="97">
        <v>1</v>
      </c>
      <c r="AH5" s="8">
        <f t="shared" si="10"/>
        <v>5</v>
      </c>
      <c r="AI5" s="97">
        <v>2</v>
      </c>
      <c r="AJ5" s="8">
        <f t="shared" si="11"/>
        <v>200</v>
      </c>
      <c r="AK5" s="8">
        <f t="shared" si="12"/>
        <v>800</v>
      </c>
      <c r="AL5" s="97">
        <v>1</v>
      </c>
      <c r="AM5" s="97">
        <v>1</v>
      </c>
      <c r="AN5" s="97">
        <v>20</v>
      </c>
      <c r="AP5" s="97">
        <v>7</v>
      </c>
      <c r="AQ5" s="2">
        <f>材料产出!C10</f>
        <v>1.1000000000000001</v>
      </c>
      <c r="AR5" s="2">
        <f>INT(X$103/材料产出!AC$31*(材料产出!AC7)*AQ5)</f>
        <v>7</v>
      </c>
      <c r="AS5" s="2">
        <f t="shared" si="13"/>
        <v>7000</v>
      </c>
    </row>
    <row r="6" spans="1:45" ht="16.5" x14ac:dyDescent="0.3">
      <c r="A6" s="22" t="s">
        <v>2399</v>
      </c>
      <c r="B6" s="23" t="s">
        <v>2403</v>
      </c>
      <c r="C6" s="22">
        <v>2</v>
      </c>
      <c r="D6" s="98">
        <v>1</v>
      </c>
      <c r="E6" s="101">
        <v>3</v>
      </c>
      <c r="F6" s="98">
        <v>1</v>
      </c>
      <c r="G6" s="101">
        <v>3</v>
      </c>
      <c r="H6" s="98">
        <v>1</v>
      </c>
      <c r="I6" s="101">
        <v>3</v>
      </c>
      <c r="J6" s="101"/>
      <c r="K6" s="101"/>
      <c r="L6" s="101"/>
      <c r="M6" s="101"/>
      <c r="N6" s="69" t="s">
        <v>2404</v>
      </c>
      <c r="O6" s="100" t="str">
        <f t="shared" si="14"/>
        <v>龙晶碎片6/元宝6000</v>
      </c>
      <c r="P6" s="97">
        <v>3</v>
      </c>
      <c r="Q6" s="158"/>
      <c r="R6" s="158">
        <f t="shared" si="0"/>
        <v>300</v>
      </c>
      <c r="S6" s="158">
        <f t="shared" si="1"/>
        <v>1200</v>
      </c>
      <c r="T6" s="158">
        <f t="shared" si="2"/>
        <v>15</v>
      </c>
      <c r="U6" s="158">
        <f t="shared" si="3"/>
        <v>15</v>
      </c>
      <c r="V6" s="158">
        <f>R6*属性价值参考!C$5+附件合成!S6*属性价值参考!C$6+附件合成!T6*(属性价值参考!C$7+属性价值参考!C$8)+附件合成!U6*(属性价值参考!C$9+属性价值参考!C$10)</f>
        <v>4582.8</v>
      </c>
      <c r="W6" s="158">
        <f>AC6*属性价值参考!C$26+附件合成!AF6*属性价值参考!C$24+附件合成!AG6*属性价值参考!C$26+附件合成!AI6*(属性价值参考!C$28+属性价值参考!C$29)+附件合成!AL6*属性价值参考!C$26+附件合成!AM6*属性价值参考!C$27+AN6*(属性价值参考!C$37+属性价值参考!C$38)</f>
        <v>1880.4</v>
      </c>
      <c r="X6" s="158">
        <f t="shared" si="4"/>
        <v>403.95000000000005</v>
      </c>
      <c r="Y6" s="158">
        <f t="shared" si="5"/>
        <v>403950.00000000006</v>
      </c>
      <c r="Z6" s="158">
        <f>ROUND(1/4*SUM(材料产出!$AB$4:$AB$6),0)</f>
        <v>6</v>
      </c>
      <c r="AA6" s="158">
        <f t="shared" si="6"/>
        <v>6000</v>
      </c>
      <c r="AB6" s="8">
        <f t="shared" si="7"/>
        <v>7</v>
      </c>
      <c r="AC6" s="97">
        <v>5</v>
      </c>
      <c r="AD6" s="8">
        <f t="shared" si="8"/>
        <v>7</v>
      </c>
      <c r="AE6" s="8">
        <f t="shared" si="9"/>
        <v>7</v>
      </c>
      <c r="AF6" s="97">
        <v>1</v>
      </c>
      <c r="AG6" s="97">
        <v>1</v>
      </c>
      <c r="AH6" s="8">
        <f t="shared" si="10"/>
        <v>7</v>
      </c>
      <c r="AI6" s="97">
        <v>2</v>
      </c>
      <c r="AJ6" s="8">
        <f t="shared" si="11"/>
        <v>300</v>
      </c>
      <c r="AK6" s="8">
        <f t="shared" si="12"/>
        <v>1200</v>
      </c>
      <c r="AL6" s="97">
        <v>1</v>
      </c>
      <c r="AM6" s="97">
        <v>1</v>
      </c>
      <c r="AN6" s="97">
        <v>20</v>
      </c>
      <c r="AP6" s="97">
        <v>9</v>
      </c>
      <c r="AQ6" s="2">
        <f>材料产出!C12</f>
        <v>1.3</v>
      </c>
      <c r="AR6" s="2">
        <f>INT(X$103/材料产出!AC$31*(材料产出!AC10)*AQ6)</f>
        <v>20</v>
      </c>
      <c r="AS6" s="2">
        <f t="shared" si="13"/>
        <v>20000</v>
      </c>
    </row>
    <row r="7" spans="1:45" ht="16.5" x14ac:dyDescent="0.3">
      <c r="A7" s="22" t="s">
        <v>2399</v>
      </c>
      <c r="B7" s="23" t="s">
        <v>2405</v>
      </c>
      <c r="C7" s="22">
        <v>3</v>
      </c>
      <c r="D7" s="98">
        <v>1</v>
      </c>
      <c r="E7" s="101">
        <v>4</v>
      </c>
      <c r="F7" s="98">
        <v>1</v>
      </c>
      <c r="G7" s="101">
        <v>4</v>
      </c>
      <c r="H7" s="98">
        <v>1</v>
      </c>
      <c r="I7" s="101">
        <v>4</v>
      </c>
      <c r="J7" s="101"/>
      <c r="K7" s="101"/>
      <c r="L7" s="101"/>
      <c r="M7" s="101"/>
      <c r="N7" s="69" t="s">
        <v>2404</v>
      </c>
      <c r="O7" s="100" t="str">
        <f t="shared" si="14"/>
        <v>龙晶碎片6/元宝6000</v>
      </c>
      <c r="P7" s="97">
        <v>4</v>
      </c>
      <c r="Q7" s="158"/>
      <c r="R7" s="158">
        <f t="shared" si="0"/>
        <v>400</v>
      </c>
      <c r="S7" s="158">
        <f t="shared" si="1"/>
        <v>1600</v>
      </c>
      <c r="T7" s="158">
        <f t="shared" si="2"/>
        <v>20</v>
      </c>
      <c r="U7" s="158">
        <f t="shared" si="3"/>
        <v>20</v>
      </c>
      <c r="V7" s="158">
        <f>R7*属性价值参考!C$5+附件合成!S7*属性价值参考!C$6+附件合成!T7*(属性价值参考!C$7+属性价值参考!C$8)+附件合成!U7*(属性价值参考!C$9+属性价值参考!C$10)</f>
        <v>6110.4</v>
      </c>
      <c r="W7" s="158">
        <f>AC7*属性价值参考!C$26+附件合成!AF7*属性价值参考!C$24+附件合成!AG7*属性价值参考!C$26+附件合成!AI7*(属性价值参考!C$28+属性价值参考!C$29)+附件合成!AL7*属性价值参考!C$26+附件合成!AM7*属性价值参考!C$27+AN7*(属性价值参考!C$37+属性价值参考!C$38)</f>
        <v>1880.4</v>
      </c>
      <c r="X7" s="158">
        <f t="shared" si="4"/>
        <v>499.42499999999995</v>
      </c>
      <c r="Y7" s="158">
        <f t="shared" si="5"/>
        <v>499424.99999999994</v>
      </c>
      <c r="Z7" s="158">
        <f>ROUND(1/4*SUM(材料产出!$AB$4:$AB$6),0)</f>
        <v>6</v>
      </c>
      <c r="AA7" s="158">
        <f t="shared" si="6"/>
        <v>6000</v>
      </c>
      <c r="AB7" s="8">
        <f t="shared" si="7"/>
        <v>10</v>
      </c>
      <c r="AC7" s="97">
        <v>5</v>
      </c>
      <c r="AD7" s="8">
        <f t="shared" si="8"/>
        <v>10</v>
      </c>
      <c r="AE7" s="8">
        <f t="shared" si="9"/>
        <v>10</v>
      </c>
      <c r="AF7" s="97">
        <v>1</v>
      </c>
      <c r="AG7" s="97">
        <v>1</v>
      </c>
      <c r="AH7" s="8">
        <f t="shared" si="10"/>
        <v>10</v>
      </c>
      <c r="AI7" s="97">
        <v>2</v>
      </c>
      <c r="AJ7" s="8">
        <f t="shared" si="11"/>
        <v>400</v>
      </c>
      <c r="AK7" s="8">
        <f t="shared" si="12"/>
        <v>1600</v>
      </c>
      <c r="AL7" s="97">
        <v>1</v>
      </c>
      <c r="AM7" s="97">
        <v>1</v>
      </c>
      <c r="AN7" s="97">
        <v>20</v>
      </c>
      <c r="AP7" s="97">
        <v>11</v>
      </c>
      <c r="AQ7" s="2">
        <f>材料产出!C14</f>
        <v>1.8</v>
      </c>
      <c r="AR7" s="2">
        <f>INT(X$103/材料产出!AC$31*(材料产出!AC13)*AQ7)</f>
        <v>80</v>
      </c>
      <c r="AS7" s="2">
        <f t="shared" si="13"/>
        <v>80000</v>
      </c>
    </row>
    <row r="8" spans="1:45" ht="16.5" x14ac:dyDescent="0.3">
      <c r="A8" s="22" t="s">
        <v>2399</v>
      </c>
      <c r="B8" s="23" t="s">
        <v>2406</v>
      </c>
      <c r="C8" s="22">
        <v>4</v>
      </c>
      <c r="D8" s="98">
        <v>1</v>
      </c>
      <c r="E8" s="101">
        <v>5</v>
      </c>
      <c r="F8" s="98">
        <v>1</v>
      </c>
      <c r="G8" s="101">
        <v>5</v>
      </c>
      <c r="H8" s="98">
        <v>1</v>
      </c>
      <c r="I8" s="101">
        <v>5</v>
      </c>
      <c r="J8" s="101"/>
      <c r="K8" s="101"/>
      <c r="L8" s="101"/>
      <c r="M8" s="101"/>
      <c r="N8" s="69" t="s">
        <v>2404</v>
      </c>
      <c r="O8" s="100" t="str">
        <f t="shared" si="14"/>
        <v>龙晶碎片6/元宝6000</v>
      </c>
      <c r="P8" s="97">
        <v>5</v>
      </c>
      <c r="Q8" s="158"/>
      <c r="R8" s="158">
        <f t="shared" si="0"/>
        <v>500</v>
      </c>
      <c r="S8" s="158">
        <f t="shared" si="1"/>
        <v>2000</v>
      </c>
      <c r="T8" s="158">
        <f t="shared" si="2"/>
        <v>25</v>
      </c>
      <c r="U8" s="158">
        <f t="shared" si="3"/>
        <v>25</v>
      </c>
      <c r="V8" s="158">
        <f>R8*属性价值参考!C$5+附件合成!S8*属性价值参考!C$6+附件合成!T8*(属性价值参考!C$7+属性价值参考!C$8)+附件合成!U8*(属性价值参考!C$9+属性价值参考!C$10)</f>
        <v>7638</v>
      </c>
      <c r="W8" s="158">
        <f>AC8*属性价值参考!C$26+附件合成!AF8*属性价值参考!C$24+附件合成!AG8*属性价值参考!C$26+附件合成!AI8*(属性价值参考!C$28+属性价值参考!C$29)+附件合成!AL8*属性价值参考!C$26+附件合成!AM8*属性价值参考!C$27+AN8*(属性价值参考!C$37+属性价值参考!C$38)</f>
        <v>1880.4</v>
      </c>
      <c r="X8" s="158">
        <f t="shared" si="4"/>
        <v>594.9</v>
      </c>
      <c r="Y8" s="158">
        <f t="shared" si="5"/>
        <v>594900</v>
      </c>
      <c r="Z8" s="158">
        <f>ROUND(1/4*SUM(材料产出!$AB$4:$AB$6),0)</f>
        <v>6</v>
      </c>
      <c r="AA8" s="158">
        <f t="shared" si="6"/>
        <v>6000</v>
      </c>
      <c r="AB8" s="8">
        <f t="shared" si="7"/>
        <v>12</v>
      </c>
      <c r="AC8" s="97">
        <v>5</v>
      </c>
      <c r="AD8" s="8">
        <f t="shared" si="8"/>
        <v>12</v>
      </c>
      <c r="AE8" s="8">
        <f t="shared" si="9"/>
        <v>12</v>
      </c>
      <c r="AF8" s="97">
        <v>1</v>
      </c>
      <c r="AG8" s="97">
        <v>1</v>
      </c>
      <c r="AH8" s="8">
        <f t="shared" si="10"/>
        <v>12</v>
      </c>
      <c r="AI8" s="97">
        <v>2</v>
      </c>
      <c r="AJ8" s="8">
        <f t="shared" si="11"/>
        <v>500</v>
      </c>
      <c r="AK8" s="8">
        <f t="shared" si="12"/>
        <v>2000</v>
      </c>
      <c r="AL8" s="97">
        <v>1</v>
      </c>
      <c r="AM8" s="97">
        <v>1</v>
      </c>
      <c r="AN8" s="97">
        <v>20</v>
      </c>
      <c r="AP8" s="97">
        <v>13</v>
      </c>
      <c r="AQ8" s="2">
        <f>材料产出!C16</f>
        <v>2.5</v>
      </c>
      <c r="AR8" s="2">
        <f>INT(X$103/材料产出!AC$31*(材料产出!AC16)*AQ8)</f>
        <v>1065</v>
      </c>
      <c r="AS8" s="2">
        <f t="shared" si="13"/>
        <v>1065000</v>
      </c>
    </row>
    <row r="9" spans="1:45" ht="16.5" x14ac:dyDescent="0.3">
      <c r="A9" s="22" t="s">
        <v>2399</v>
      </c>
      <c r="B9" s="23" t="s">
        <v>2407</v>
      </c>
      <c r="C9" s="22">
        <v>5</v>
      </c>
      <c r="D9" s="98">
        <v>2</v>
      </c>
      <c r="E9" s="101">
        <v>6</v>
      </c>
      <c r="F9" s="98">
        <v>2</v>
      </c>
      <c r="G9" s="101">
        <v>6</v>
      </c>
      <c r="H9" s="98">
        <v>2</v>
      </c>
      <c r="I9" s="101">
        <v>6</v>
      </c>
      <c r="J9" s="101"/>
      <c r="K9" s="101"/>
      <c r="L9" s="101"/>
      <c r="M9" s="101"/>
      <c r="N9" s="69" t="s">
        <v>2404</v>
      </c>
      <c r="O9" s="100" t="str">
        <f t="shared" si="14"/>
        <v>龙晶碎片6/元宝6000</v>
      </c>
      <c r="P9" s="97">
        <v>6</v>
      </c>
      <c r="Q9" s="158"/>
      <c r="R9" s="158">
        <f t="shared" si="0"/>
        <v>600</v>
      </c>
      <c r="S9" s="158">
        <f t="shared" si="1"/>
        <v>2400</v>
      </c>
      <c r="T9" s="158">
        <f t="shared" si="2"/>
        <v>30</v>
      </c>
      <c r="U9" s="158">
        <f t="shared" si="3"/>
        <v>30</v>
      </c>
      <c r="V9" s="158">
        <f>R9*属性价值参考!C$5+附件合成!S9*属性价值参考!C$6+附件合成!T9*(属性价值参考!C$7+属性价值参考!C$8)+附件合成!U9*(属性价值参考!C$9+属性价值参考!C$10)</f>
        <v>9165.6</v>
      </c>
      <c r="W9" s="158">
        <f>AC9*属性价值参考!C$26+附件合成!AF9*属性价值参考!C$24+附件合成!AG9*属性价值参考!C$26+附件合成!AI9*(属性价值参考!C$28+属性价值参考!C$29)+附件合成!AL9*属性价值参考!C$26+附件合成!AM9*属性价值参考!C$27+AN9*(属性价值参考!C$37+属性价值参考!C$38)</f>
        <v>1880.4</v>
      </c>
      <c r="X9" s="158">
        <f t="shared" si="4"/>
        <v>690.375</v>
      </c>
      <c r="Y9" s="158">
        <f t="shared" si="5"/>
        <v>690375</v>
      </c>
      <c r="Z9" s="158">
        <f>ROUND(1/4*SUM(材料产出!$AB$4:$AB$6),0)</f>
        <v>6</v>
      </c>
      <c r="AA9" s="158">
        <f t="shared" si="6"/>
        <v>6000</v>
      </c>
      <c r="AB9" s="8">
        <f t="shared" si="7"/>
        <v>15</v>
      </c>
      <c r="AC9" s="97">
        <v>5</v>
      </c>
      <c r="AD9" s="8">
        <f t="shared" si="8"/>
        <v>15</v>
      </c>
      <c r="AE9" s="8">
        <f t="shared" si="9"/>
        <v>15</v>
      </c>
      <c r="AF9" s="97">
        <v>1</v>
      </c>
      <c r="AG9" s="97">
        <v>1</v>
      </c>
      <c r="AH9" s="8">
        <f t="shared" si="10"/>
        <v>15</v>
      </c>
      <c r="AI9" s="97">
        <v>2</v>
      </c>
      <c r="AJ9" s="8">
        <f t="shared" si="11"/>
        <v>600</v>
      </c>
      <c r="AK9" s="8">
        <f t="shared" si="12"/>
        <v>2400</v>
      </c>
      <c r="AL9" s="97">
        <v>1</v>
      </c>
      <c r="AM9" s="97">
        <v>1</v>
      </c>
      <c r="AN9" s="97">
        <v>20</v>
      </c>
      <c r="AP9" s="97">
        <v>15</v>
      </c>
      <c r="AQ9" s="2">
        <f>材料产出!C18</f>
        <v>3.5</v>
      </c>
      <c r="AR9" s="2">
        <f>INT(X$103/材料产出!AC$31*(材料产出!AC19)*AQ9)</f>
        <v>2207</v>
      </c>
      <c r="AS9" s="2">
        <f t="shared" si="13"/>
        <v>2207000</v>
      </c>
    </row>
    <row r="10" spans="1:45" ht="16.5" x14ac:dyDescent="0.3">
      <c r="A10" s="22" t="s">
        <v>2399</v>
      </c>
      <c r="B10" s="23" t="s">
        <v>2408</v>
      </c>
      <c r="C10" s="22">
        <v>6</v>
      </c>
      <c r="D10" s="98">
        <v>2</v>
      </c>
      <c r="E10" s="101">
        <v>7</v>
      </c>
      <c r="F10" s="98">
        <v>2</v>
      </c>
      <c r="G10" s="101">
        <v>7</v>
      </c>
      <c r="H10" s="98">
        <v>2</v>
      </c>
      <c r="I10" s="101">
        <v>7</v>
      </c>
      <c r="J10" s="101"/>
      <c r="K10" s="101"/>
      <c r="L10" s="101"/>
      <c r="M10" s="101"/>
      <c r="N10" s="69" t="s">
        <v>2404</v>
      </c>
      <c r="O10" s="100" t="str">
        <f t="shared" si="14"/>
        <v>龙晶碎片6/元宝6000</v>
      </c>
      <c r="P10" s="97">
        <v>7</v>
      </c>
      <c r="Q10" s="158"/>
      <c r="R10" s="158">
        <f t="shared" si="0"/>
        <v>700</v>
      </c>
      <c r="S10" s="158">
        <f t="shared" si="1"/>
        <v>2800</v>
      </c>
      <c r="T10" s="158">
        <f t="shared" si="2"/>
        <v>35</v>
      </c>
      <c r="U10" s="158">
        <f t="shared" si="3"/>
        <v>35</v>
      </c>
      <c r="V10" s="158">
        <f>R10*属性价值参考!C$5+附件合成!S10*属性价值参考!C$6+附件合成!T10*(属性价值参考!C$7+属性价值参考!C$8)+附件合成!U10*(属性价值参考!C$9+属性价值参考!C$10)</f>
        <v>10693.2</v>
      </c>
      <c r="W10" s="158">
        <f>AC10*属性价值参考!C$26+附件合成!AF10*属性价值参考!C$24+附件合成!AG10*属性价值参考!C$26+附件合成!AI10*(属性价值参考!C$28+属性价值参考!C$29)+附件合成!AL10*属性价值参考!C$26+附件合成!AM10*属性价值参考!C$27+AN10*(属性价值参考!C$37+属性价值参考!C$38)</f>
        <v>1880.4</v>
      </c>
      <c r="X10" s="158">
        <f t="shared" si="4"/>
        <v>785.85</v>
      </c>
      <c r="Y10" s="158">
        <f t="shared" si="5"/>
        <v>785850</v>
      </c>
      <c r="Z10" s="158">
        <f>ROUND(1/4*SUM(材料产出!$AB$4:$AB$6),0)</f>
        <v>6</v>
      </c>
      <c r="AA10" s="158">
        <f t="shared" si="6"/>
        <v>6000</v>
      </c>
      <c r="AB10" s="8">
        <f t="shared" si="7"/>
        <v>17</v>
      </c>
      <c r="AC10" s="97">
        <v>5</v>
      </c>
      <c r="AD10" s="8">
        <f t="shared" si="8"/>
        <v>17</v>
      </c>
      <c r="AE10" s="8">
        <f t="shared" si="9"/>
        <v>17</v>
      </c>
      <c r="AF10" s="97">
        <v>1</v>
      </c>
      <c r="AG10" s="97">
        <v>1</v>
      </c>
      <c r="AH10" s="8">
        <f t="shared" si="10"/>
        <v>17</v>
      </c>
      <c r="AI10" s="97">
        <v>2</v>
      </c>
      <c r="AJ10" s="8">
        <f t="shared" si="11"/>
        <v>700</v>
      </c>
      <c r="AK10" s="8">
        <f t="shared" si="12"/>
        <v>2800</v>
      </c>
      <c r="AL10" s="97">
        <v>1</v>
      </c>
      <c r="AM10" s="97">
        <v>1</v>
      </c>
      <c r="AN10" s="97">
        <v>20</v>
      </c>
      <c r="AP10" s="97">
        <v>17</v>
      </c>
      <c r="AQ10" s="2">
        <f>材料产出!C20</f>
        <v>4</v>
      </c>
      <c r="AR10" s="2">
        <f>INT(X$103/材料产出!AC$31*(材料产出!AC22)*AQ10)</f>
        <v>15685</v>
      </c>
      <c r="AS10" s="2">
        <f t="shared" si="13"/>
        <v>15685000</v>
      </c>
    </row>
    <row r="11" spans="1:45" ht="16.5" x14ac:dyDescent="0.3">
      <c r="A11" s="22" t="s">
        <v>2399</v>
      </c>
      <c r="B11" s="23" t="s">
        <v>2409</v>
      </c>
      <c r="C11" s="22">
        <v>7</v>
      </c>
      <c r="D11" s="98">
        <v>2</v>
      </c>
      <c r="E11" s="101">
        <v>8</v>
      </c>
      <c r="F11" s="98">
        <v>2</v>
      </c>
      <c r="G11" s="101">
        <v>8</v>
      </c>
      <c r="H11" s="98">
        <v>2</v>
      </c>
      <c r="I11" s="101">
        <v>8</v>
      </c>
      <c r="J11" s="101"/>
      <c r="K11" s="101"/>
      <c r="L11" s="101"/>
      <c r="M11" s="101"/>
      <c r="N11" s="69" t="s">
        <v>2404</v>
      </c>
      <c r="O11" s="100" t="str">
        <f t="shared" si="14"/>
        <v>龙晶碎片6/元宝6000</v>
      </c>
      <c r="P11" s="97">
        <v>8</v>
      </c>
      <c r="Q11" s="158"/>
      <c r="R11" s="158">
        <f t="shared" si="0"/>
        <v>800</v>
      </c>
      <c r="S11" s="158">
        <f t="shared" si="1"/>
        <v>3200</v>
      </c>
      <c r="T11" s="158">
        <f t="shared" si="2"/>
        <v>40</v>
      </c>
      <c r="U11" s="158">
        <f t="shared" si="3"/>
        <v>40</v>
      </c>
      <c r="V11" s="158">
        <f>R11*属性价值参考!C$5+附件合成!S11*属性价值参考!C$6+附件合成!T11*(属性价值参考!C$7+属性价值参考!C$8)+附件合成!U11*(属性价值参考!C$9+属性价值参考!C$10)</f>
        <v>12220.8</v>
      </c>
      <c r="W11" s="158">
        <f>AC11*属性价值参考!C$26+附件合成!AF11*属性价值参考!C$24+附件合成!AG11*属性价值参考!C$26+附件合成!AI11*(属性价值参考!C$28+属性价值参考!C$29)+附件合成!AL11*属性价值参考!C$26+附件合成!AM11*属性价值参考!C$27+AN11*(属性价值参考!C$37+属性价值参考!C$38)</f>
        <v>1880.4</v>
      </c>
      <c r="X11" s="158">
        <f t="shared" si="4"/>
        <v>881.32499999999993</v>
      </c>
      <c r="Y11" s="158">
        <f t="shared" si="5"/>
        <v>881324.99999999988</v>
      </c>
      <c r="Z11" s="158">
        <f>ROUND(1/4*SUM(材料产出!$AB$4:$AB$6),0)</f>
        <v>6</v>
      </c>
      <c r="AA11" s="158">
        <f t="shared" si="6"/>
        <v>6000</v>
      </c>
      <c r="AB11" s="8">
        <f t="shared" si="7"/>
        <v>20</v>
      </c>
      <c r="AC11" s="97">
        <v>5</v>
      </c>
      <c r="AD11" s="8">
        <f t="shared" si="8"/>
        <v>20</v>
      </c>
      <c r="AE11" s="8">
        <f t="shared" si="9"/>
        <v>20</v>
      </c>
      <c r="AF11" s="97">
        <v>1</v>
      </c>
      <c r="AG11" s="97">
        <v>1</v>
      </c>
      <c r="AH11" s="8">
        <f t="shared" si="10"/>
        <v>20</v>
      </c>
      <c r="AI11" s="97">
        <v>2</v>
      </c>
      <c r="AJ11" s="8">
        <f t="shared" si="11"/>
        <v>800</v>
      </c>
      <c r="AK11" s="8">
        <f t="shared" si="12"/>
        <v>3200</v>
      </c>
      <c r="AL11" s="97">
        <v>1</v>
      </c>
      <c r="AM11" s="97">
        <v>1</v>
      </c>
      <c r="AN11" s="97">
        <v>20</v>
      </c>
      <c r="AP11" s="97">
        <v>19</v>
      </c>
      <c r="AQ11" s="2">
        <f>材料产出!C22</f>
        <v>4.5999999999999996</v>
      </c>
      <c r="AR11" s="2">
        <f>INT(X$103/材料产出!AC$31*(材料产出!AC25)*AQ11)</f>
        <v>21567</v>
      </c>
      <c r="AS11" s="2">
        <f t="shared" si="13"/>
        <v>21567000</v>
      </c>
    </row>
    <row r="12" spans="1:45" ht="16.5" x14ac:dyDescent="0.3">
      <c r="A12" s="22" t="s">
        <v>2399</v>
      </c>
      <c r="B12" s="23" t="s">
        <v>2410</v>
      </c>
      <c r="C12" s="22">
        <v>8</v>
      </c>
      <c r="D12" s="98">
        <v>3</v>
      </c>
      <c r="E12" s="101">
        <v>9</v>
      </c>
      <c r="F12" s="98">
        <v>3</v>
      </c>
      <c r="G12" s="101">
        <v>9</v>
      </c>
      <c r="H12" s="98">
        <v>3</v>
      </c>
      <c r="I12" s="101">
        <v>9</v>
      </c>
      <c r="J12" s="101"/>
      <c r="K12" s="101"/>
      <c r="L12" s="101"/>
      <c r="M12" s="101"/>
      <c r="N12" s="69" t="s">
        <v>2404</v>
      </c>
      <c r="O12" s="100" t="str">
        <f t="shared" si="14"/>
        <v>龙晶碎片6/元宝6000</v>
      </c>
      <c r="P12" s="97">
        <v>9</v>
      </c>
      <c r="Q12" s="158"/>
      <c r="R12" s="158">
        <f t="shared" si="0"/>
        <v>900</v>
      </c>
      <c r="S12" s="158">
        <f t="shared" si="1"/>
        <v>3600</v>
      </c>
      <c r="T12" s="158">
        <f t="shared" si="2"/>
        <v>45</v>
      </c>
      <c r="U12" s="158">
        <f t="shared" si="3"/>
        <v>45</v>
      </c>
      <c r="V12" s="158">
        <f>R12*属性价值参考!C$5+附件合成!S12*属性价值参考!C$6+附件合成!T12*(属性价值参考!C$7+属性价值参考!C$8)+附件合成!U12*(属性价值参考!C$9+属性价值参考!C$10)</f>
        <v>13748.4</v>
      </c>
      <c r="W12" s="158">
        <f>AC12*属性价值参考!C$26+附件合成!AF12*属性价值参考!C$24+附件合成!AG12*属性价值参考!C$26+附件合成!AI12*(属性价值参考!C$28+属性价值参考!C$29)+附件合成!AL12*属性价值参考!C$26+附件合成!AM12*属性价值参考!C$27+AN12*(属性价值参考!C$37+属性价值参考!C$38)</f>
        <v>1880.4</v>
      </c>
      <c r="X12" s="158">
        <f t="shared" si="4"/>
        <v>976.8</v>
      </c>
      <c r="Y12" s="158">
        <f t="shared" si="5"/>
        <v>976800</v>
      </c>
      <c r="Z12" s="158">
        <f>ROUND(1/4*SUM(材料产出!$AB$4:$AB$6),0)</f>
        <v>6</v>
      </c>
      <c r="AA12" s="158">
        <f t="shared" si="6"/>
        <v>6000</v>
      </c>
      <c r="AB12" s="8">
        <f t="shared" si="7"/>
        <v>22</v>
      </c>
      <c r="AC12" s="97">
        <v>5</v>
      </c>
      <c r="AD12" s="8">
        <f t="shared" si="8"/>
        <v>22</v>
      </c>
      <c r="AE12" s="8">
        <f t="shared" si="9"/>
        <v>22</v>
      </c>
      <c r="AF12" s="97">
        <v>1</v>
      </c>
      <c r="AG12" s="97">
        <v>1</v>
      </c>
      <c r="AH12" s="8">
        <f t="shared" si="10"/>
        <v>22</v>
      </c>
      <c r="AI12" s="97">
        <v>2</v>
      </c>
      <c r="AJ12" s="8">
        <f t="shared" si="11"/>
        <v>900</v>
      </c>
      <c r="AK12" s="8">
        <f t="shared" si="12"/>
        <v>3600</v>
      </c>
      <c r="AL12" s="97">
        <v>1</v>
      </c>
      <c r="AM12" s="97">
        <v>1</v>
      </c>
      <c r="AN12" s="97">
        <v>20</v>
      </c>
      <c r="AP12" s="97">
        <v>21</v>
      </c>
      <c r="AQ12" s="2">
        <f>材料产出!C24</f>
        <v>5.2</v>
      </c>
      <c r="AR12" s="2">
        <f>INT(X$103/材料产出!AC$31*(材料产出!AC28)*AQ12)</f>
        <v>56740</v>
      </c>
      <c r="AS12" s="2">
        <f t="shared" si="13"/>
        <v>56740000</v>
      </c>
    </row>
    <row r="13" spans="1:45" ht="16.5" x14ac:dyDescent="0.3">
      <c r="A13" s="22" t="s">
        <v>2399</v>
      </c>
      <c r="B13" s="23" t="s">
        <v>2411</v>
      </c>
      <c r="C13" s="22">
        <v>9</v>
      </c>
      <c r="D13" s="98">
        <v>3</v>
      </c>
      <c r="E13" s="101">
        <v>10</v>
      </c>
      <c r="F13" s="98">
        <v>3</v>
      </c>
      <c r="G13" s="101">
        <v>10</v>
      </c>
      <c r="H13" s="98">
        <v>3</v>
      </c>
      <c r="I13" s="101">
        <v>10</v>
      </c>
      <c r="J13" s="101"/>
      <c r="K13" s="101"/>
      <c r="L13" s="101"/>
      <c r="M13" s="101"/>
      <c r="N13" s="69" t="s">
        <v>2404</v>
      </c>
      <c r="O13" s="100" t="str">
        <f t="shared" si="14"/>
        <v>龙晶碎片6/元宝6000</v>
      </c>
      <c r="P13" s="97">
        <v>10</v>
      </c>
      <c r="Q13" s="206">
        <f>材料产出!C4</f>
        <v>0.5</v>
      </c>
      <c r="R13" s="158">
        <f t="shared" si="0"/>
        <v>1000</v>
      </c>
      <c r="S13" s="158">
        <f t="shared" si="1"/>
        <v>4000</v>
      </c>
      <c r="T13" s="158">
        <f t="shared" si="2"/>
        <v>50</v>
      </c>
      <c r="U13" s="158">
        <f t="shared" si="3"/>
        <v>50</v>
      </c>
      <c r="V13" s="158">
        <f>R13*属性价值参考!C$5+附件合成!S13*属性价值参考!C$6+附件合成!T13*(属性价值参考!C$7+属性价值参考!C$8)+附件合成!U13*(属性价值参考!C$9+属性价值参考!C$10)</f>
        <v>15276</v>
      </c>
      <c r="W13" s="158">
        <f>AC13*属性价值参考!C$26+附件合成!AF13*属性价值参考!C$24+附件合成!AG13*属性价值参考!C$26+附件合成!AI13*(属性价值参考!C$28+属性价值参考!C$29)+附件合成!AL13*属性价值参考!C$26+附件合成!AM13*属性价值参考!C$27+AN13*(属性价值参考!C$37+属性价值参考!C$38)</f>
        <v>1880.4</v>
      </c>
      <c r="X13" s="158">
        <f t="shared" si="4"/>
        <v>1072.2750000000001</v>
      </c>
      <c r="Y13" s="158">
        <f t="shared" si="5"/>
        <v>1072275</v>
      </c>
      <c r="Z13" s="158">
        <f>ROUND(1/4*SUM(材料产出!$AB$4:$AB$6),0)</f>
        <v>6</v>
      </c>
      <c r="AA13" s="158">
        <f>Z13*1000</f>
        <v>6000</v>
      </c>
      <c r="AB13" s="8">
        <f t="shared" si="7"/>
        <v>25</v>
      </c>
      <c r="AC13" s="97">
        <v>5</v>
      </c>
      <c r="AD13" s="8">
        <f t="shared" si="8"/>
        <v>25</v>
      </c>
      <c r="AE13" s="8">
        <f t="shared" si="9"/>
        <v>25</v>
      </c>
      <c r="AF13" s="97">
        <v>1</v>
      </c>
      <c r="AG13" s="97">
        <v>1</v>
      </c>
      <c r="AH13" s="8">
        <f t="shared" si="10"/>
        <v>25</v>
      </c>
      <c r="AI13" s="97">
        <v>2</v>
      </c>
      <c r="AJ13" s="8">
        <f t="shared" si="11"/>
        <v>1000</v>
      </c>
      <c r="AK13" s="8">
        <f t="shared" si="12"/>
        <v>4000</v>
      </c>
      <c r="AL13" s="97">
        <v>1</v>
      </c>
      <c r="AM13" s="97">
        <v>1</v>
      </c>
      <c r="AN13" s="97">
        <v>20</v>
      </c>
      <c r="AP13" s="97">
        <v>23</v>
      </c>
      <c r="AQ13" s="2">
        <f>材料产出!C26</f>
        <v>5.8</v>
      </c>
      <c r="AR13" s="2">
        <f>INT(X$103/材料产出!AC$31*(材料产出!AC30)*AQ13)</f>
        <v>69220</v>
      </c>
      <c r="AS13" s="2">
        <f>AR13*1000</f>
        <v>69220000</v>
      </c>
    </row>
    <row r="14" spans="1:45" ht="16.5" x14ac:dyDescent="0.3">
      <c r="A14" s="22" t="s">
        <v>2399</v>
      </c>
      <c r="B14" s="23" t="s">
        <v>2412</v>
      </c>
      <c r="C14" s="22">
        <v>10</v>
      </c>
      <c r="D14" s="98">
        <v>3</v>
      </c>
      <c r="E14" s="101">
        <v>11</v>
      </c>
      <c r="F14" s="98">
        <v>3</v>
      </c>
      <c r="G14" s="101">
        <v>11</v>
      </c>
      <c r="H14" s="98">
        <v>3</v>
      </c>
      <c r="I14" s="101">
        <v>11</v>
      </c>
      <c r="J14" s="101"/>
      <c r="K14" s="101"/>
      <c r="L14" s="101"/>
      <c r="M14" s="101"/>
      <c r="N14" s="69" t="s">
        <v>2404</v>
      </c>
      <c r="O14" s="100" t="str">
        <f t="shared" si="14"/>
        <v>龙晶碎片10/元宝10000</v>
      </c>
      <c r="P14" s="191">
        <v>11</v>
      </c>
      <c r="Q14" s="207"/>
      <c r="R14" s="158">
        <f t="shared" si="0"/>
        <v>1100</v>
      </c>
      <c r="S14" s="158">
        <f t="shared" si="1"/>
        <v>4400</v>
      </c>
      <c r="T14" s="158">
        <f t="shared" si="2"/>
        <v>55</v>
      </c>
      <c r="U14" s="158">
        <f t="shared" si="3"/>
        <v>55</v>
      </c>
      <c r="V14" s="158">
        <f>R14*属性价值参考!C$5+附件合成!S14*属性价值参考!C$6+附件合成!T14*(属性价值参考!C$7+属性价值参考!C$8)+附件合成!U14*(属性价值参考!C$9+属性价值参考!C$10)</f>
        <v>16803.599999999999</v>
      </c>
      <c r="W14" s="158">
        <f>AC14*属性价值参考!C$26+附件合成!AF14*属性价值参考!C$24+附件合成!AG14*属性价值参考!C$26+附件合成!AI14*(属性价值参考!C$28+属性价值参考!C$29)+附件合成!AL14*属性价值参考!C$26+附件合成!AM14*属性价值参考!C$27+AN14*(属性价值参考!C$37+属性价值参考!C$38)</f>
        <v>3436.8</v>
      </c>
      <c r="X14" s="158">
        <f t="shared" si="4"/>
        <v>1265.0249999999999</v>
      </c>
      <c r="Y14" s="158">
        <f t="shared" si="5"/>
        <v>1265024.9999999998</v>
      </c>
      <c r="Z14" s="158">
        <f>ROUND(1/4*SUM(材料产出!$AB$7:$AB$9),0)</f>
        <v>10</v>
      </c>
      <c r="AA14" s="158">
        <f t="shared" ref="AA14:AA22" si="15">Z14*1000</f>
        <v>10000</v>
      </c>
      <c r="AB14" s="104">
        <f t="shared" si="7"/>
        <v>27</v>
      </c>
      <c r="AC14" s="105">
        <v>5</v>
      </c>
      <c r="AD14" s="104">
        <f t="shared" si="8"/>
        <v>27</v>
      </c>
      <c r="AE14" s="104">
        <f t="shared" si="9"/>
        <v>27</v>
      </c>
      <c r="AF14" s="105">
        <v>2</v>
      </c>
      <c r="AG14" s="105">
        <v>2</v>
      </c>
      <c r="AH14" s="104">
        <f t="shared" si="10"/>
        <v>27</v>
      </c>
      <c r="AI14" s="105">
        <v>4</v>
      </c>
      <c r="AJ14" s="104">
        <f t="shared" si="11"/>
        <v>1100</v>
      </c>
      <c r="AK14" s="104">
        <f t="shared" si="12"/>
        <v>4400</v>
      </c>
      <c r="AL14" s="105">
        <v>2</v>
      </c>
      <c r="AM14" s="105">
        <v>2</v>
      </c>
      <c r="AN14" s="105">
        <v>40</v>
      </c>
      <c r="AP14" s="183"/>
    </row>
    <row r="15" spans="1:45" ht="16.5" x14ac:dyDescent="0.3">
      <c r="A15" s="22" t="s">
        <v>2399</v>
      </c>
      <c r="B15" s="23" t="s">
        <v>2413</v>
      </c>
      <c r="C15" s="22">
        <v>11</v>
      </c>
      <c r="D15" s="98">
        <v>4</v>
      </c>
      <c r="E15" s="101">
        <v>12</v>
      </c>
      <c r="F15" s="98">
        <v>4</v>
      </c>
      <c r="G15" s="101">
        <v>12</v>
      </c>
      <c r="H15" s="98">
        <v>4</v>
      </c>
      <c r="I15" s="101">
        <v>12</v>
      </c>
      <c r="J15" s="101"/>
      <c r="K15" s="101"/>
      <c r="L15" s="101"/>
      <c r="M15" s="101"/>
      <c r="N15" s="69" t="s">
        <v>2414</v>
      </c>
      <c r="O15" s="100" t="str">
        <f t="shared" si="14"/>
        <v>龙晶碎片10/元宝10000</v>
      </c>
      <c r="P15" s="97">
        <v>12</v>
      </c>
      <c r="Q15" s="158"/>
      <c r="R15" s="158">
        <f t="shared" si="0"/>
        <v>1200</v>
      </c>
      <c r="S15" s="158">
        <f t="shared" si="1"/>
        <v>4800</v>
      </c>
      <c r="T15" s="158">
        <f t="shared" si="2"/>
        <v>60</v>
      </c>
      <c r="U15" s="158">
        <f t="shared" si="3"/>
        <v>60</v>
      </c>
      <c r="V15" s="158">
        <f>R15*属性价值参考!C$5+附件合成!S15*属性价值参考!C$6+附件合成!T15*(属性价值参考!C$7+属性价值参考!C$8)+附件合成!U15*(属性价值参考!C$9+属性价值参考!C$10)</f>
        <v>18331.2</v>
      </c>
      <c r="W15" s="158">
        <f>AC15*属性价值参考!C$26+附件合成!AF15*属性价值参考!C$24+附件合成!AG15*属性价值参考!C$26+附件合成!AI15*(属性价值参考!C$28+属性价值参考!C$29)+附件合成!AL15*属性价值参考!C$26+附件合成!AM15*属性价值参考!C$27+AN15*(属性价值参考!C$37+属性价值参考!C$38)</f>
        <v>3760.8</v>
      </c>
      <c r="X15" s="158">
        <f t="shared" si="4"/>
        <v>1380.75</v>
      </c>
      <c r="Y15" s="158">
        <f t="shared" si="5"/>
        <v>1380750</v>
      </c>
      <c r="Z15" s="158">
        <f>ROUND(1/4*SUM(材料产出!$AB$7:$AB$9),0)</f>
        <v>10</v>
      </c>
      <c r="AA15" s="158">
        <f t="shared" si="15"/>
        <v>10000</v>
      </c>
      <c r="AB15" s="8">
        <f t="shared" si="7"/>
        <v>30</v>
      </c>
      <c r="AC15" s="97">
        <v>10</v>
      </c>
      <c r="AD15" s="8">
        <f t="shared" si="8"/>
        <v>30</v>
      </c>
      <c r="AE15" s="8">
        <f t="shared" si="9"/>
        <v>30</v>
      </c>
      <c r="AF15" s="97">
        <v>2</v>
      </c>
      <c r="AG15" s="97">
        <v>2</v>
      </c>
      <c r="AH15" s="8">
        <f t="shared" si="10"/>
        <v>30</v>
      </c>
      <c r="AI15" s="97">
        <v>4</v>
      </c>
      <c r="AJ15" s="8">
        <f t="shared" si="11"/>
        <v>1200</v>
      </c>
      <c r="AK15" s="8">
        <f t="shared" si="12"/>
        <v>4800</v>
      </c>
      <c r="AL15" s="97">
        <v>2</v>
      </c>
      <c r="AM15" s="97">
        <v>2</v>
      </c>
      <c r="AN15" s="97">
        <v>40</v>
      </c>
      <c r="AP15" s="183"/>
    </row>
    <row r="16" spans="1:45" ht="16.5" x14ac:dyDescent="0.3">
      <c r="A16" s="22" t="s">
        <v>2399</v>
      </c>
      <c r="B16" s="23" t="s">
        <v>2415</v>
      </c>
      <c r="C16" s="22">
        <v>12</v>
      </c>
      <c r="D16" s="98">
        <v>4</v>
      </c>
      <c r="E16" s="101">
        <v>13</v>
      </c>
      <c r="F16" s="98">
        <v>4</v>
      </c>
      <c r="G16" s="101">
        <v>13</v>
      </c>
      <c r="H16" s="98">
        <v>4</v>
      </c>
      <c r="I16" s="101">
        <v>13</v>
      </c>
      <c r="J16" s="101"/>
      <c r="K16" s="101"/>
      <c r="L16" s="101"/>
      <c r="M16" s="101"/>
      <c r="N16" s="69" t="s">
        <v>2414</v>
      </c>
      <c r="O16" s="100" t="str">
        <f t="shared" si="14"/>
        <v>龙晶碎片10/元宝10000</v>
      </c>
      <c r="P16" s="97">
        <v>13</v>
      </c>
      <c r="Q16" s="158"/>
      <c r="R16" s="158">
        <f t="shared" si="0"/>
        <v>1300</v>
      </c>
      <c r="S16" s="158">
        <f t="shared" si="1"/>
        <v>5200</v>
      </c>
      <c r="T16" s="158">
        <f t="shared" si="2"/>
        <v>65</v>
      </c>
      <c r="U16" s="158">
        <f t="shared" si="3"/>
        <v>65</v>
      </c>
      <c r="V16" s="158">
        <f>R16*属性价值参考!C$5+附件合成!S16*属性价值参考!C$6+附件合成!T16*(属性价值参考!C$7+属性价值参考!C$8)+附件合成!U16*(属性价值参考!C$9+属性价值参考!C$10)</f>
        <v>19858.8</v>
      </c>
      <c r="W16" s="158">
        <f>AC16*属性价值参考!C$26+附件合成!AF16*属性价值参考!C$24+附件合成!AG16*属性价值参考!C$26+附件合成!AI16*(属性价值参考!C$28+属性价值参考!C$29)+附件合成!AL16*属性价值参考!C$26+附件合成!AM16*属性价值参考!C$27+AN16*(属性价值参考!C$37+属性价值参考!C$38)</f>
        <v>3760.8</v>
      </c>
      <c r="X16" s="158">
        <f t="shared" si="4"/>
        <v>1476.2249999999999</v>
      </c>
      <c r="Y16" s="158">
        <f t="shared" si="5"/>
        <v>1476225</v>
      </c>
      <c r="Z16" s="158">
        <f>ROUND(1/4*SUM(材料产出!$AB$7:$AB$9),0)</f>
        <v>10</v>
      </c>
      <c r="AA16" s="158">
        <f t="shared" si="15"/>
        <v>10000</v>
      </c>
      <c r="AB16" s="8">
        <f t="shared" si="7"/>
        <v>32</v>
      </c>
      <c r="AC16" s="97">
        <v>10</v>
      </c>
      <c r="AD16" s="8">
        <f t="shared" si="8"/>
        <v>32</v>
      </c>
      <c r="AE16" s="8">
        <f t="shared" si="9"/>
        <v>32</v>
      </c>
      <c r="AF16" s="97">
        <v>2</v>
      </c>
      <c r="AG16" s="97">
        <v>2</v>
      </c>
      <c r="AH16" s="8">
        <f t="shared" si="10"/>
        <v>32</v>
      </c>
      <c r="AI16" s="97">
        <v>4</v>
      </c>
      <c r="AJ16" s="8">
        <f t="shared" si="11"/>
        <v>1300</v>
      </c>
      <c r="AK16" s="8">
        <f t="shared" si="12"/>
        <v>5200</v>
      </c>
      <c r="AL16" s="97">
        <v>2</v>
      </c>
      <c r="AM16" s="97">
        <v>2</v>
      </c>
      <c r="AN16" s="97">
        <v>40</v>
      </c>
      <c r="AP16" s="183"/>
    </row>
    <row r="17" spans="1:40" ht="16.5" x14ac:dyDescent="0.3">
      <c r="A17" s="22" t="s">
        <v>2399</v>
      </c>
      <c r="B17" s="23" t="s">
        <v>2416</v>
      </c>
      <c r="C17" s="22">
        <v>13</v>
      </c>
      <c r="D17" s="98">
        <v>4</v>
      </c>
      <c r="E17" s="101">
        <v>14</v>
      </c>
      <c r="F17" s="98">
        <v>4</v>
      </c>
      <c r="G17" s="101">
        <v>14</v>
      </c>
      <c r="H17" s="98">
        <v>4</v>
      </c>
      <c r="I17" s="101">
        <v>14</v>
      </c>
      <c r="J17" s="101"/>
      <c r="K17" s="101"/>
      <c r="L17" s="101"/>
      <c r="M17" s="101"/>
      <c r="N17" s="69" t="s">
        <v>2414</v>
      </c>
      <c r="O17" s="100" t="str">
        <f t="shared" si="14"/>
        <v>龙晶碎片10/元宝10000</v>
      </c>
      <c r="P17" s="97">
        <v>14</v>
      </c>
      <c r="Q17" s="158"/>
      <c r="R17" s="158">
        <f t="shared" si="0"/>
        <v>1400</v>
      </c>
      <c r="S17" s="158">
        <f t="shared" si="1"/>
        <v>5600</v>
      </c>
      <c r="T17" s="158">
        <f t="shared" si="2"/>
        <v>70</v>
      </c>
      <c r="U17" s="158">
        <f t="shared" si="3"/>
        <v>70</v>
      </c>
      <c r="V17" s="158">
        <f>R17*属性价值参考!C$5+附件合成!S17*属性价值参考!C$6+附件合成!T17*(属性价值参考!C$7+属性价值参考!C$8)+附件合成!U17*(属性价值参考!C$9+属性价值参考!C$10)</f>
        <v>21386.400000000001</v>
      </c>
      <c r="W17" s="158">
        <f>AC17*属性价值参考!C$26+附件合成!AF17*属性价值参考!C$24+附件合成!AG17*属性价值参考!C$26+附件合成!AI17*(属性价值参考!C$28+属性价值参考!C$29)+附件合成!AL17*属性价值参考!C$26+附件合成!AM17*属性价值参考!C$27+AN17*(属性价值参考!C$37+属性价值参考!C$38)</f>
        <v>3760.8</v>
      </c>
      <c r="X17" s="158">
        <f t="shared" si="4"/>
        <v>1571.7</v>
      </c>
      <c r="Y17" s="158">
        <f t="shared" si="5"/>
        <v>1571700</v>
      </c>
      <c r="Z17" s="158">
        <f>ROUND(1/4*SUM(材料产出!$AB$7:$AB$9),0)</f>
        <v>10</v>
      </c>
      <c r="AA17" s="158">
        <f t="shared" si="15"/>
        <v>10000</v>
      </c>
      <c r="AB17" s="8">
        <f t="shared" si="7"/>
        <v>35</v>
      </c>
      <c r="AC17" s="97">
        <v>10</v>
      </c>
      <c r="AD17" s="8">
        <f t="shared" si="8"/>
        <v>35</v>
      </c>
      <c r="AE17" s="8">
        <f t="shared" si="9"/>
        <v>35</v>
      </c>
      <c r="AF17" s="97">
        <v>2</v>
      </c>
      <c r="AG17" s="97">
        <v>2</v>
      </c>
      <c r="AH17" s="8">
        <f t="shared" si="10"/>
        <v>35</v>
      </c>
      <c r="AI17" s="97">
        <v>4</v>
      </c>
      <c r="AJ17" s="8">
        <f t="shared" si="11"/>
        <v>1400</v>
      </c>
      <c r="AK17" s="8">
        <f t="shared" si="12"/>
        <v>5600</v>
      </c>
      <c r="AL17" s="97">
        <v>2</v>
      </c>
      <c r="AM17" s="97">
        <v>2</v>
      </c>
      <c r="AN17" s="97">
        <v>40</v>
      </c>
    </row>
    <row r="18" spans="1:40" ht="16.5" x14ac:dyDescent="0.3">
      <c r="A18" s="22" t="s">
        <v>2399</v>
      </c>
      <c r="B18" s="23" t="s">
        <v>2417</v>
      </c>
      <c r="C18" s="22">
        <v>14</v>
      </c>
      <c r="D18" s="98">
        <v>4</v>
      </c>
      <c r="E18" s="101">
        <v>15</v>
      </c>
      <c r="F18" s="98">
        <v>4</v>
      </c>
      <c r="G18" s="101">
        <v>15</v>
      </c>
      <c r="H18" s="98">
        <v>4</v>
      </c>
      <c r="I18" s="101">
        <v>15</v>
      </c>
      <c r="J18" s="101"/>
      <c r="K18" s="101"/>
      <c r="L18" s="101"/>
      <c r="M18" s="101"/>
      <c r="N18" s="69" t="s">
        <v>2414</v>
      </c>
      <c r="O18" s="100" t="str">
        <f t="shared" si="14"/>
        <v>龙晶碎片10/元宝10000</v>
      </c>
      <c r="P18" s="97">
        <v>15</v>
      </c>
      <c r="Q18" s="158"/>
      <c r="R18" s="158">
        <f t="shared" si="0"/>
        <v>1500</v>
      </c>
      <c r="S18" s="158">
        <f t="shared" si="1"/>
        <v>6000</v>
      </c>
      <c r="T18" s="158">
        <f t="shared" si="2"/>
        <v>75</v>
      </c>
      <c r="U18" s="158">
        <f t="shared" si="3"/>
        <v>75</v>
      </c>
      <c r="V18" s="158">
        <f>R18*属性价值参考!C$5+附件合成!S18*属性价值参考!C$6+附件合成!T18*(属性价值参考!C$7+属性价值参考!C$8)+附件合成!U18*(属性价值参考!C$9+属性价值参考!C$10)</f>
        <v>22914</v>
      </c>
      <c r="W18" s="158">
        <f>AC18*属性价值参考!C$26+附件合成!AF18*属性价值参考!C$24+附件合成!AG18*属性价值参考!C$26+附件合成!AI18*(属性价值参考!C$28+属性价值参考!C$29)+附件合成!AL18*属性价值参考!C$26+附件合成!AM18*属性价值参考!C$27+AN18*(属性价值参考!C$37+属性价值参考!C$38)</f>
        <v>3760.8</v>
      </c>
      <c r="X18" s="158">
        <f t="shared" si="4"/>
        <v>1667.175</v>
      </c>
      <c r="Y18" s="158">
        <f t="shared" si="5"/>
        <v>1667175</v>
      </c>
      <c r="Z18" s="158">
        <f>ROUND(1/4*SUM(材料产出!$AB$7:$AB$9),0)</f>
        <v>10</v>
      </c>
      <c r="AA18" s="158">
        <f t="shared" si="15"/>
        <v>10000</v>
      </c>
      <c r="AB18" s="8">
        <f t="shared" si="7"/>
        <v>37</v>
      </c>
      <c r="AC18" s="97">
        <v>10</v>
      </c>
      <c r="AD18" s="8">
        <f t="shared" si="8"/>
        <v>37</v>
      </c>
      <c r="AE18" s="8">
        <f t="shared" si="9"/>
        <v>37</v>
      </c>
      <c r="AF18" s="97">
        <v>2</v>
      </c>
      <c r="AG18" s="97">
        <v>2</v>
      </c>
      <c r="AH18" s="8">
        <f t="shared" si="10"/>
        <v>37</v>
      </c>
      <c r="AI18" s="97">
        <v>4</v>
      </c>
      <c r="AJ18" s="8">
        <f t="shared" si="11"/>
        <v>1500</v>
      </c>
      <c r="AK18" s="8">
        <f t="shared" si="12"/>
        <v>6000</v>
      </c>
      <c r="AL18" s="97">
        <v>2</v>
      </c>
      <c r="AM18" s="97">
        <v>2</v>
      </c>
      <c r="AN18" s="97">
        <v>40</v>
      </c>
    </row>
    <row r="19" spans="1:40" ht="16.5" x14ac:dyDescent="0.3">
      <c r="A19" s="22" t="s">
        <v>2399</v>
      </c>
      <c r="B19" s="23" t="s">
        <v>2418</v>
      </c>
      <c r="C19" s="22">
        <v>15</v>
      </c>
      <c r="D19" s="98">
        <v>5</v>
      </c>
      <c r="E19" s="101">
        <v>16</v>
      </c>
      <c r="F19" s="98">
        <v>5</v>
      </c>
      <c r="G19" s="101">
        <v>16</v>
      </c>
      <c r="H19" s="98">
        <v>5</v>
      </c>
      <c r="I19" s="101">
        <v>16</v>
      </c>
      <c r="J19" s="101"/>
      <c r="K19" s="101"/>
      <c r="L19" s="101"/>
      <c r="M19" s="101"/>
      <c r="N19" s="69" t="s">
        <v>2414</v>
      </c>
      <c r="O19" s="100" t="str">
        <f t="shared" si="14"/>
        <v>龙晶碎片10/元宝10000</v>
      </c>
      <c r="P19" s="97">
        <v>16</v>
      </c>
      <c r="Q19" s="158"/>
      <c r="R19" s="158">
        <f t="shared" si="0"/>
        <v>1600</v>
      </c>
      <c r="S19" s="158">
        <f t="shared" si="1"/>
        <v>6400</v>
      </c>
      <c r="T19" s="158">
        <f t="shared" si="2"/>
        <v>80</v>
      </c>
      <c r="U19" s="158">
        <f t="shared" si="3"/>
        <v>80</v>
      </c>
      <c r="V19" s="158">
        <f>R19*属性价值参考!C$5+附件合成!S19*属性价值参考!C$6+附件合成!T19*(属性价值参考!C$7+属性价值参考!C$8)+附件合成!U19*(属性价值参考!C$9+属性价值参考!C$10)</f>
        <v>24441.599999999999</v>
      </c>
      <c r="W19" s="158">
        <f>AC19*属性价值参考!C$26+附件合成!AF19*属性价值参考!C$24+附件合成!AG19*属性价值参考!C$26+附件合成!AI19*(属性价值参考!C$28+属性价值参考!C$29)+附件合成!AL19*属性价值参考!C$26+附件合成!AM19*属性价值参考!C$27+AN19*(属性价值参考!C$37+属性价值参考!C$38)</f>
        <v>3760.8</v>
      </c>
      <c r="X19" s="158">
        <f t="shared" si="4"/>
        <v>1762.6499999999999</v>
      </c>
      <c r="Y19" s="158">
        <f t="shared" si="5"/>
        <v>1762649.9999999998</v>
      </c>
      <c r="Z19" s="158">
        <f>ROUND(1/4*SUM(材料产出!$AB$7:$AB$9),0)</f>
        <v>10</v>
      </c>
      <c r="AA19" s="158">
        <f t="shared" si="15"/>
        <v>10000</v>
      </c>
      <c r="AB19" s="8">
        <f t="shared" si="7"/>
        <v>40</v>
      </c>
      <c r="AC19" s="97">
        <v>10</v>
      </c>
      <c r="AD19" s="8">
        <f t="shared" si="8"/>
        <v>40</v>
      </c>
      <c r="AE19" s="8">
        <f t="shared" si="9"/>
        <v>40</v>
      </c>
      <c r="AF19" s="97">
        <v>2</v>
      </c>
      <c r="AG19" s="97">
        <v>2</v>
      </c>
      <c r="AH19" s="8">
        <f t="shared" si="10"/>
        <v>40</v>
      </c>
      <c r="AI19" s="97">
        <v>4</v>
      </c>
      <c r="AJ19" s="8">
        <f t="shared" si="11"/>
        <v>1600</v>
      </c>
      <c r="AK19" s="8">
        <f t="shared" si="12"/>
        <v>6400</v>
      </c>
      <c r="AL19" s="97">
        <v>2</v>
      </c>
      <c r="AM19" s="97">
        <v>2</v>
      </c>
      <c r="AN19" s="97">
        <v>40</v>
      </c>
    </row>
    <row r="20" spans="1:40" ht="16.5" x14ac:dyDescent="0.3">
      <c r="A20" s="22" t="s">
        <v>2399</v>
      </c>
      <c r="B20" s="23" t="s">
        <v>2419</v>
      </c>
      <c r="C20" s="22">
        <v>16</v>
      </c>
      <c r="D20" s="98">
        <v>5</v>
      </c>
      <c r="E20" s="101">
        <v>17</v>
      </c>
      <c r="F20" s="98">
        <v>5</v>
      </c>
      <c r="G20" s="101">
        <v>17</v>
      </c>
      <c r="H20" s="98">
        <v>5</v>
      </c>
      <c r="I20" s="101">
        <v>17</v>
      </c>
      <c r="J20" s="101"/>
      <c r="K20" s="101"/>
      <c r="L20" s="101"/>
      <c r="M20" s="101"/>
      <c r="N20" s="69" t="s">
        <v>2414</v>
      </c>
      <c r="O20" s="100" t="str">
        <f t="shared" si="14"/>
        <v>龙晶碎片10/元宝10000</v>
      </c>
      <c r="P20" s="97">
        <v>17</v>
      </c>
      <c r="Q20" s="158"/>
      <c r="R20" s="158">
        <f t="shared" si="0"/>
        <v>1700</v>
      </c>
      <c r="S20" s="158">
        <f t="shared" si="1"/>
        <v>6800</v>
      </c>
      <c r="T20" s="158">
        <f t="shared" si="2"/>
        <v>85</v>
      </c>
      <c r="U20" s="158">
        <f t="shared" si="3"/>
        <v>85</v>
      </c>
      <c r="V20" s="158">
        <f>R20*属性价值参考!C$5+附件合成!S20*属性价值参考!C$6+附件合成!T20*(属性价值参考!C$7+属性价值参考!C$8)+附件合成!U20*(属性价值参考!C$9+属性价值参考!C$10)</f>
        <v>25969.200000000001</v>
      </c>
      <c r="W20" s="158">
        <f>AC20*属性价值参考!C$26+附件合成!AF20*属性价值参考!C$24+附件合成!AG20*属性价值参考!C$26+附件合成!AI20*(属性价值参考!C$28+属性价值参考!C$29)+附件合成!AL20*属性价值参考!C$26+附件合成!AM20*属性价值参考!C$27+AN20*(属性价值参考!C$37+属性价值参考!C$38)</f>
        <v>3760.8</v>
      </c>
      <c r="X20" s="158">
        <f t="shared" si="4"/>
        <v>1858.125</v>
      </c>
      <c r="Y20" s="158">
        <f t="shared" si="5"/>
        <v>1858125</v>
      </c>
      <c r="Z20" s="158">
        <f>ROUND(1/4*SUM(材料产出!$AB$7:$AB$9),0)</f>
        <v>10</v>
      </c>
      <c r="AA20" s="158">
        <f t="shared" si="15"/>
        <v>10000</v>
      </c>
      <c r="AB20" s="8">
        <f t="shared" si="7"/>
        <v>42</v>
      </c>
      <c r="AC20" s="97">
        <v>10</v>
      </c>
      <c r="AD20" s="8">
        <f t="shared" si="8"/>
        <v>42</v>
      </c>
      <c r="AE20" s="8">
        <f t="shared" si="9"/>
        <v>42</v>
      </c>
      <c r="AF20" s="97">
        <v>2</v>
      </c>
      <c r="AG20" s="97">
        <v>2</v>
      </c>
      <c r="AH20" s="8">
        <f t="shared" si="10"/>
        <v>42</v>
      </c>
      <c r="AI20" s="97">
        <v>4</v>
      </c>
      <c r="AJ20" s="8">
        <f t="shared" si="11"/>
        <v>1700</v>
      </c>
      <c r="AK20" s="8">
        <f t="shared" si="12"/>
        <v>6800</v>
      </c>
      <c r="AL20" s="97">
        <v>2</v>
      </c>
      <c r="AM20" s="97">
        <v>2</v>
      </c>
      <c r="AN20" s="97">
        <v>40</v>
      </c>
    </row>
    <row r="21" spans="1:40" ht="16.5" x14ac:dyDescent="0.3">
      <c r="A21" s="22" t="s">
        <v>2399</v>
      </c>
      <c r="B21" s="23" t="s">
        <v>2420</v>
      </c>
      <c r="C21" s="22">
        <v>17</v>
      </c>
      <c r="D21" s="98">
        <v>5</v>
      </c>
      <c r="E21" s="101">
        <v>18</v>
      </c>
      <c r="F21" s="98">
        <v>5</v>
      </c>
      <c r="G21" s="101">
        <v>18</v>
      </c>
      <c r="H21" s="98">
        <v>5</v>
      </c>
      <c r="I21" s="101">
        <v>18</v>
      </c>
      <c r="J21" s="101"/>
      <c r="K21" s="101"/>
      <c r="L21" s="101"/>
      <c r="M21" s="101"/>
      <c r="N21" s="69" t="s">
        <v>2414</v>
      </c>
      <c r="O21" s="100" t="str">
        <f t="shared" si="14"/>
        <v>龙晶碎片10/元宝10000</v>
      </c>
      <c r="P21" s="97">
        <v>18</v>
      </c>
      <c r="Q21" s="158"/>
      <c r="R21" s="158">
        <f t="shared" si="0"/>
        <v>1800</v>
      </c>
      <c r="S21" s="158">
        <f t="shared" si="1"/>
        <v>7200</v>
      </c>
      <c r="T21" s="158">
        <f t="shared" si="2"/>
        <v>90</v>
      </c>
      <c r="U21" s="158">
        <f t="shared" si="3"/>
        <v>90</v>
      </c>
      <c r="V21" s="158">
        <f>R21*属性价值参考!C$5+附件合成!S21*属性价值参考!C$6+附件合成!T21*(属性价值参考!C$7+属性价值参考!C$8)+附件合成!U21*(属性价值参考!C$9+属性价值参考!C$10)</f>
        <v>27496.799999999999</v>
      </c>
      <c r="W21" s="158">
        <f>AC21*属性价值参考!C$26+附件合成!AF21*属性价值参考!C$24+附件合成!AG21*属性价值参考!C$26+附件合成!AI21*(属性价值参考!C$28+属性价值参考!C$29)+附件合成!AL21*属性价值参考!C$26+附件合成!AM21*属性价值参考!C$27+AN21*(属性价值参考!C$37+属性价值参考!C$38)</f>
        <v>3760.8</v>
      </c>
      <c r="X21" s="158">
        <f t="shared" si="4"/>
        <v>1953.6</v>
      </c>
      <c r="Y21" s="158">
        <f t="shared" si="5"/>
        <v>1953600</v>
      </c>
      <c r="Z21" s="158">
        <f>ROUND(1/4*SUM(材料产出!$AB$7:$AB$9),0)</f>
        <v>10</v>
      </c>
      <c r="AA21" s="158">
        <f t="shared" si="15"/>
        <v>10000</v>
      </c>
      <c r="AB21" s="8">
        <f t="shared" si="7"/>
        <v>45</v>
      </c>
      <c r="AC21" s="97">
        <v>10</v>
      </c>
      <c r="AD21" s="8">
        <f t="shared" si="8"/>
        <v>45</v>
      </c>
      <c r="AE21" s="8">
        <f t="shared" si="9"/>
        <v>45</v>
      </c>
      <c r="AF21" s="97">
        <v>2</v>
      </c>
      <c r="AG21" s="97">
        <v>2</v>
      </c>
      <c r="AH21" s="8">
        <f t="shared" si="10"/>
        <v>45</v>
      </c>
      <c r="AI21" s="97">
        <v>4</v>
      </c>
      <c r="AJ21" s="8">
        <f t="shared" si="11"/>
        <v>1800</v>
      </c>
      <c r="AK21" s="8">
        <f t="shared" si="12"/>
        <v>7200</v>
      </c>
      <c r="AL21" s="97">
        <v>2</v>
      </c>
      <c r="AM21" s="97">
        <v>2</v>
      </c>
      <c r="AN21" s="97">
        <v>40</v>
      </c>
    </row>
    <row r="22" spans="1:40" ht="16.5" x14ac:dyDescent="0.3">
      <c r="A22" s="22" t="s">
        <v>2399</v>
      </c>
      <c r="B22" s="23" t="s">
        <v>2421</v>
      </c>
      <c r="C22" s="22">
        <v>18</v>
      </c>
      <c r="D22" s="98">
        <v>6</v>
      </c>
      <c r="E22" s="101">
        <v>19</v>
      </c>
      <c r="F22" s="98">
        <v>6</v>
      </c>
      <c r="G22" s="101">
        <v>19</v>
      </c>
      <c r="H22" s="98">
        <v>6</v>
      </c>
      <c r="I22" s="101">
        <v>19</v>
      </c>
      <c r="J22" s="101"/>
      <c r="K22" s="101"/>
      <c r="L22" s="101"/>
      <c r="M22" s="101"/>
      <c r="N22" s="69" t="s">
        <v>2414</v>
      </c>
      <c r="O22" s="100" t="str">
        <f t="shared" si="14"/>
        <v>龙晶碎片10/元宝10000</v>
      </c>
      <c r="P22" s="97">
        <v>19</v>
      </c>
      <c r="Q22" s="158"/>
      <c r="R22" s="158">
        <f t="shared" si="0"/>
        <v>1900</v>
      </c>
      <c r="S22" s="158">
        <f t="shared" si="1"/>
        <v>7600</v>
      </c>
      <c r="T22" s="158">
        <f t="shared" si="2"/>
        <v>95</v>
      </c>
      <c r="U22" s="158">
        <f t="shared" si="3"/>
        <v>95</v>
      </c>
      <c r="V22" s="158">
        <f>R22*属性价值参考!C$5+附件合成!S22*属性价值参考!C$6+附件合成!T22*(属性价值参考!C$7+属性价值参考!C$8)+附件合成!U22*(属性价值参考!C$9+属性价值参考!C$10)</f>
        <v>29024.400000000001</v>
      </c>
      <c r="W22" s="158">
        <f>AC22*属性价值参考!C$26+附件合成!AF22*属性价值参考!C$24+附件合成!AG22*属性价值参考!C$26+附件合成!AI22*(属性价值参考!C$28+属性价值参考!C$29)+附件合成!AL22*属性价值参考!C$26+附件合成!AM22*属性价值参考!C$27+AN22*(属性价值参考!C$37+属性价值参考!C$38)</f>
        <v>3760.8</v>
      </c>
      <c r="X22" s="158">
        <f t="shared" si="4"/>
        <v>2049.0750000000003</v>
      </c>
      <c r="Y22" s="158">
        <f t="shared" si="5"/>
        <v>2049075.0000000002</v>
      </c>
      <c r="Z22" s="158">
        <f>ROUND(1/4*SUM(材料产出!$AB$7:$AB$9),0)</f>
        <v>10</v>
      </c>
      <c r="AA22" s="158">
        <f t="shared" si="15"/>
        <v>10000</v>
      </c>
      <c r="AB22" s="8">
        <f t="shared" si="7"/>
        <v>47</v>
      </c>
      <c r="AC22" s="97">
        <v>10</v>
      </c>
      <c r="AD22" s="8">
        <f t="shared" si="8"/>
        <v>47</v>
      </c>
      <c r="AE22" s="8">
        <f t="shared" si="9"/>
        <v>47</v>
      </c>
      <c r="AF22" s="97">
        <v>2</v>
      </c>
      <c r="AG22" s="97">
        <v>2</v>
      </c>
      <c r="AH22" s="8">
        <f t="shared" si="10"/>
        <v>47</v>
      </c>
      <c r="AI22" s="97">
        <v>4</v>
      </c>
      <c r="AJ22" s="8">
        <f t="shared" si="11"/>
        <v>1900</v>
      </c>
      <c r="AK22" s="8">
        <f t="shared" si="12"/>
        <v>7600</v>
      </c>
      <c r="AL22" s="97">
        <v>2</v>
      </c>
      <c r="AM22" s="97">
        <v>2</v>
      </c>
      <c r="AN22" s="97">
        <v>40</v>
      </c>
    </row>
    <row r="23" spans="1:40" ht="16.5" x14ac:dyDescent="0.3">
      <c r="A23" s="22" t="s">
        <v>2399</v>
      </c>
      <c r="B23" s="23" t="s">
        <v>2422</v>
      </c>
      <c r="C23" s="22">
        <v>19</v>
      </c>
      <c r="D23" s="98">
        <v>6</v>
      </c>
      <c r="E23" s="101">
        <v>20</v>
      </c>
      <c r="F23" s="98">
        <v>6</v>
      </c>
      <c r="G23" s="101">
        <v>20</v>
      </c>
      <c r="H23" s="98">
        <v>6</v>
      </c>
      <c r="I23" s="101">
        <v>20</v>
      </c>
      <c r="J23" s="101"/>
      <c r="K23" s="101"/>
      <c r="L23" s="101"/>
      <c r="M23" s="101"/>
      <c r="N23" s="69" t="s">
        <v>2414</v>
      </c>
      <c r="O23" s="100" t="str">
        <f t="shared" si="14"/>
        <v>龙晶碎片10/元宝10000</v>
      </c>
      <c r="P23" s="97">
        <v>20</v>
      </c>
      <c r="Q23" s="206">
        <f>材料产出!C7</f>
        <v>0.8</v>
      </c>
      <c r="R23" s="158">
        <f t="shared" si="0"/>
        <v>2000</v>
      </c>
      <c r="S23" s="158">
        <f t="shared" si="1"/>
        <v>8000</v>
      </c>
      <c r="T23" s="158">
        <f t="shared" si="2"/>
        <v>100</v>
      </c>
      <c r="U23" s="158">
        <f t="shared" si="3"/>
        <v>100</v>
      </c>
      <c r="V23" s="158">
        <f>R23*属性价值参考!C$5+附件合成!S23*属性价值参考!C$6+附件合成!T23*(属性价值参考!C$7+属性价值参考!C$8)+附件合成!U23*(属性价值参考!C$9+属性价值参考!C$10)</f>
        <v>30552</v>
      </c>
      <c r="W23" s="158">
        <f>AC23*属性价值参考!C$26+附件合成!AF23*属性价值参考!C$24+附件合成!AG23*属性价值参考!C$26+附件合成!AI23*(属性价值参考!C$28+属性价值参考!C$29)+附件合成!AL23*属性价值参考!C$26+附件合成!AM23*属性价值参考!C$27+AN23*(属性价值参考!C$37+属性价值参考!C$38)</f>
        <v>3760.8</v>
      </c>
      <c r="X23" s="158">
        <f t="shared" si="4"/>
        <v>2144.5500000000002</v>
      </c>
      <c r="Y23" s="158">
        <f t="shared" si="5"/>
        <v>2144550</v>
      </c>
      <c r="Z23" s="158">
        <f>ROUND(1/4*SUM(材料产出!$AB$7:$AB$9),0)</f>
        <v>10</v>
      </c>
      <c r="AA23" s="158">
        <f>Z23*1000</f>
        <v>10000</v>
      </c>
      <c r="AB23" s="8">
        <f t="shared" si="7"/>
        <v>50</v>
      </c>
      <c r="AC23" s="97">
        <v>10</v>
      </c>
      <c r="AD23" s="8">
        <f t="shared" si="8"/>
        <v>50</v>
      </c>
      <c r="AE23" s="8">
        <f t="shared" si="9"/>
        <v>50</v>
      </c>
      <c r="AF23" s="97">
        <v>2</v>
      </c>
      <c r="AG23" s="97">
        <v>2</v>
      </c>
      <c r="AH23" s="8">
        <f t="shared" si="10"/>
        <v>50</v>
      </c>
      <c r="AI23" s="97">
        <v>4</v>
      </c>
      <c r="AJ23" s="8">
        <f t="shared" si="11"/>
        <v>2000</v>
      </c>
      <c r="AK23" s="8">
        <f t="shared" si="12"/>
        <v>8000</v>
      </c>
      <c r="AL23" s="97">
        <v>2</v>
      </c>
      <c r="AM23" s="97">
        <v>2</v>
      </c>
      <c r="AN23" s="97">
        <v>40</v>
      </c>
    </row>
    <row r="24" spans="1:40" ht="16.5" x14ac:dyDescent="0.3">
      <c r="A24" s="22" t="s">
        <v>2399</v>
      </c>
      <c r="B24" s="23" t="s">
        <v>2423</v>
      </c>
      <c r="C24" s="22">
        <v>20</v>
      </c>
      <c r="D24" s="98">
        <v>6</v>
      </c>
      <c r="E24" s="101">
        <v>21</v>
      </c>
      <c r="F24" s="98">
        <v>6</v>
      </c>
      <c r="G24" s="101">
        <v>21</v>
      </c>
      <c r="H24" s="98">
        <v>6</v>
      </c>
      <c r="I24" s="101">
        <v>21</v>
      </c>
      <c r="J24" s="101"/>
      <c r="K24" s="101"/>
      <c r="L24" s="101"/>
      <c r="M24" s="101"/>
      <c r="N24" s="69" t="s">
        <v>2414</v>
      </c>
      <c r="O24" s="100" t="str">
        <f t="shared" si="14"/>
        <v>龙晶碎片26/元宝26000</v>
      </c>
      <c r="P24" s="191">
        <v>21</v>
      </c>
      <c r="Q24" s="207"/>
      <c r="R24" s="158">
        <f t="shared" si="0"/>
        <v>2100</v>
      </c>
      <c r="S24" s="158">
        <f t="shared" si="1"/>
        <v>8400</v>
      </c>
      <c r="T24" s="158">
        <f t="shared" si="2"/>
        <v>105</v>
      </c>
      <c r="U24" s="158">
        <f t="shared" si="3"/>
        <v>105</v>
      </c>
      <c r="V24" s="158">
        <f>R24*属性价值参考!C$5+附件合成!S24*属性价值参考!C$6+附件合成!T24*(属性价值参考!C$7+属性价值参考!C$8)+附件合成!U24*(属性价值参考!C$9+属性价值参考!C$10)</f>
        <v>32079.599999999999</v>
      </c>
      <c r="W24" s="158">
        <f>AC24*属性价值参考!C$26+附件合成!AF24*属性价值参考!C$24+附件合成!AG24*属性价值参考!C$26+附件合成!AI24*(属性价值参考!C$28+属性价值参考!C$29)+附件合成!AL24*属性价值参考!C$26+附件合成!AM24*属性价值参考!C$27+AN24*(属性价值参考!C$37+属性价值参考!C$38)</f>
        <v>5901.6</v>
      </c>
      <c r="X24" s="158">
        <f t="shared" si="4"/>
        <v>2373.8249999999998</v>
      </c>
      <c r="Y24" s="158">
        <f t="shared" si="5"/>
        <v>2373825</v>
      </c>
      <c r="Z24" s="158">
        <f>ROUND(1/4*SUM(材料产出!$AB$10:$AB$12),0)</f>
        <v>26</v>
      </c>
      <c r="AA24" s="158">
        <f t="shared" ref="AA24:AA87" si="16">Z24*1000</f>
        <v>26000</v>
      </c>
      <c r="AB24" s="104">
        <f t="shared" si="7"/>
        <v>52</v>
      </c>
      <c r="AC24" s="105">
        <v>10</v>
      </c>
      <c r="AD24" s="104">
        <f t="shared" si="8"/>
        <v>52</v>
      </c>
      <c r="AE24" s="104">
        <f t="shared" si="9"/>
        <v>52</v>
      </c>
      <c r="AF24" s="105">
        <v>3</v>
      </c>
      <c r="AG24" s="105">
        <v>3</v>
      </c>
      <c r="AH24" s="104">
        <f t="shared" si="10"/>
        <v>52</v>
      </c>
      <c r="AI24" s="105">
        <v>6</v>
      </c>
      <c r="AJ24" s="104">
        <f t="shared" si="11"/>
        <v>2100</v>
      </c>
      <c r="AK24" s="104">
        <f t="shared" si="12"/>
        <v>8400</v>
      </c>
      <c r="AL24" s="105">
        <v>3</v>
      </c>
      <c r="AM24" s="105">
        <v>3</v>
      </c>
      <c r="AN24" s="105">
        <v>80</v>
      </c>
    </row>
    <row r="25" spans="1:40" ht="16.5" x14ac:dyDescent="0.3">
      <c r="A25" s="22" t="s">
        <v>2399</v>
      </c>
      <c r="B25" s="23" t="s">
        <v>2424</v>
      </c>
      <c r="C25" s="22">
        <v>21</v>
      </c>
      <c r="D25" s="98">
        <v>7</v>
      </c>
      <c r="E25" s="101">
        <v>21</v>
      </c>
      <c r="F25" s="98">
        <v>7</v>
      </c>
      <c r="G25" s="101">
        <v>21</v>
      </c>
      <c r="H25" s="98">
        <v>7</v>
      </c>
      <c r="I25" s="101">
        <v>21</v>
      </c>
      <c r="J25" s="101"/>
      <c r="K25" s="101"/>
      <c r="L25" s="101"/>
      <c r="M25" s="101"/>
      <c r="N25" s="69" t="s">
        <v>2425</v>
      </c>
      <c r="O25" s="100" t="str">
        <f t="shared" si="14"/>
        <v>龙晶碎片26/元宝26000</v>
      </c>
      <c r="P25" s="97">
        <v>22</v>
      </c>
      <c r="Q25" s="158"/>
      <c r="R25" s="158">
        <f t="shared" si="0"/>
        <v>2200</v>
      </c>
      <c r="S25" s="158">
        <f t="shared" si="1"/>
        <v>8800</v>
      </c>
      <c r="T25" s="158">
        <f t="shared" si="2"/>
        <v>110</v>
      </c>
      <c r="U25" s="158">
        <f t="shared" si="3"/>
        <v>110</v>
      </c>
      <c r="V25" s="158">
        <f>R25*属性价值参考!C$5+附件合成!S25*属性价值参考!C$6+附件合成!T25*(属性价值参考!C$7+属性价值参考!C$8)+附件合成!U25*(属性价值参考!C$9+属性价值参考!C$10)</f>
        <v>33607.199999999997</v>
      </c>
      <c r="W25" s="158">
        <f>AC25*属性价值参考!C$26+附件合成!AF25*属性价值参考!C$24+附件合成!AG25*属性价值参考!C$26+附件合成!AI25*(属性价值参考!C$28+属性价值参考!C$29)+附件合成!AL25*属性价值参考!C$26+附件合成!AM25*属性价值参考!C$27+AN25*(属性价值参考!C$37+属性价值参考!C$38)</f>
        <v>6225.6</v>
      </c>
      <c r="X25" s="158">
        <f t="shared" si="4"/>
        <v>2489.5499999999997</v>
      </c>
      <c r="Y25" s="158">
        <f t="shared" si="5"/>
        <v>2489549.9999999995</v>
      </c>
      <c r="Z25" s="158">
        <f>ROUND(1/4*SUM(材料产出!$AB$10:$AB$12),0)</f>
        <v>26</v>
      </c>
      <c r="AA25" s="158">
        <f t="shared" si="16"/>
        <v>26000</v>
      </c>
      <c r="AB25" s="8">
        <f t="shared" si="7"/>
        <v>55</v>
      </c>
      <c r="AC25" s="97">
        <v>15</v>
      </c>
      <c r="AD25" s="8">
        <f t="shared" si="8"/>
        <v>55</v>
      </c>
      <c r="AE25" s="8">
        <f t="shared" si="9"/>
        <v>55</v>
      </c>
      <c r="AF25" s="97">
        <v>3</v>
      </c>
      <c r="AG25" s="97">
        <v>3</v>
      </c>
      <c r="AH25" s="8">
        <f t="shared" si="10"/>
        <v>55</v>
      </c>
      <c r="AI25" s="97">
        <v>6</v>
      </c>
      <c r="AJ25" s="8">
        <f t="shared" si="11"/>
        <v>2200</v>
      </c>
      <c r="AK25" s="8">
        <f t="shared" si="12"/>
        <v>8800</v>
      </c>
      <c r="AL25" s="97">
        <v>3</v>
      </c>
      <c r="AM25" s="97">
        <v>3</v>
      </c>
      <c r="AN25" s="97">
        <v>80</v>
      </c>
    </row>
    <row r="26" spans="1:40" ht="16.5" x14ac:dyDescent="0.3">
      <c r="A26" s="22" t="s">
        <v>2399</v>
      </c>
      <c r="B26" s="23" t="s">
        <v>2426</v>
      </c>
      <c r="C26" s="22">
        <v>22</v>
      </c>
      <c r="D26" s="98">
        <v>7</v>
      </c>
      <c r="E26" s="101">
        <v>23</v>
      </c>
      <c r="F26" s="98">
        <v>7</v>
      </c>
      <c r="G26" s="101">
        <v>23</v>
      </c>
      <c r="H26" s="98">
        <v>7</v>
      </c>
      <c r="I26" s="101">
        <v>23</v>
      </c>
      <c r="J26" s="101"/>
      <c r="K26" s="101"/>
      <c r="L26" s="101"/>
      <c r="M26" s="101"/>
      <c r="N26" s="69" t="s">
        <v>2425</v>
      </c>
      <c r="O26" s="100" t="str">
        <f t="shared" si="14"/>
        <v>龙晶碎片26/元宝26000</v>
      </c>
      <c r="P26" s="97">
        <v>23</v>
      </c>
      <c r="Q26" s="158"/>
      <c r="R26" s="158">
        <f t="shared" si="0"/>
        <v>2300</v>
      </c>
      <c r="S26" s="158">
        <f t="shared" si="1"/>
        <v>9200</v>
      </c>
      <c r="T26" s="158">
        <f t="shared" si="2"/>
        <v>115</v>
      </c>
      <c r="U26" s="158">
        <f t="shared" si="3"/>
        <v>115</v>
      </c>
      <c r="V26" s="158">
        <f>R26*属性价值参考!C$5+附件合成!S26*属性价值参考!C$6+附件合成!T26*(属性价值参考!C$7+属性价值参考!C$8)+附件合成!U26*(属性价值参考!C$9+属性价值参考!C$10)</f>
        <v>35134.800000000003</v>
      </c>
      <c r="W26" s="158">
        <f>AC26*属性价值参考!C$26+附件合成!AF26*属性价值参考!C$24+附件合成!AG26*属性价值参考!C$26+附件合成!AI26*(属性价值参考!C$28+属性价值参考!C$29)+附件合成!AL26*属性价值参考!C$26+附件合成!AM26*属性价值参考!C$27+AN26*(属性价值参考!C$37+属性价值参考!C$38)</f>
        <v>6225.6</v>
      </c>
      <c r="X26" s="158">
        <f t="shared" si="4"/>
        <v>2585.0250000000001</v>
      </c>
      <c r="Y26" s="158">
        <f t="shared" si="5"/>
        <v>2585025</v>
      </c>
      <c r="Z26" s="158">
        <f>ROUND(1/4*SUM(材料产出!$AB$10:$AB$12),0)</f>
        <v>26</v>
      </c>
      <c r="AA26" s="158">
        <f t="shared" si="16"/>
        <v>26000</v>
      </c>
      <c r="AB26" s="8">
        <f t="shared" si="7"/>
        <v>57</v>
      </c>
      <c r="AC26" s="97">
        <v>15</v>
      </c>
      <c r="AD26" s="8">
        <f t="shared" si="8"/>
        <v>57</v>
      </c>
      <c r="AE26" s="8">
        <f t="shared" si="9"/>
        <v>57</v>
      </c>
      <c r="AF26" s="97">
        <v>3</v>
      </c>
      <c r="AG26" s="97">
        <v>3</v>
      </c>
      <c r="AH26" s="8">
        <f t="shared" si="10"/>
        <v>57</v>
      </c>
      <c r="AI26" s="97">
        <v>6</v>
      </c>
      <c r="AJ26" s="8">
        <f t="shared" si="11"/>
        <v>2300</v>
      </c>
      <c r="AK26" s="8">
        <f t="shared" si="12"/>
        <v>9200</v>
      </c>
      <c r="AL26" s="97">
        <v>3</v>
      </c>
      <c r="AM26" s="97">
        <v>3</v>
      </c>
      <c r="AN26" s="97">
        <v>80</v>
      </c>
    </row>
    <row r="27" spans="1:40" ht="16.5" x14ac:dyDescent="0.3">
      <c r="A27" s="22" t="s">
        <v>2399</v>
      </c>
      <c r="B27" s="23" t="s">
        <v>2427</v>
      </c>
      <c r="C27" s="22">
        <v>23</v>
      </c>
      <c r="D27" s="98">
        <v>7</v>
      </c>
      <c r="E27" s="101">
        <v>24</v>
      </c>
      <c r="F27" s="98">
        <v>7</v>
      </c>
      <c r="G27" s="101">
        <v>24</v>
      </c>
      <c r="H27" s="98">
        <v>7</v>
      </c>
      <c r="I27" s="101">
        <v>24</v>
      </c>
      <c r="J27" s="101"/>
      <c r="K27" s="101"/>
      <c r="L27" s="101"/>
      <c r="M27" s="101"/>
      <c r="N27" s="69" t="s">
        <v>2425</v>
      </c>
      <c r="O27" s="100" t="str">
        <f t="shared" si="14"/>
        <v>龙晶碎片26/元宝26000</v>
      </c>
      <c r="P27" s="97">
        <v>24</v>
      </c>
      <c r="Q27" s="158"/>
      <c r="R27" s="158">
        <f t="shared" si="0"/>
        <v>2400</v>
      </c>
      <c r="S27" s="158">
        <f t="shared" si="1"/>
        <v>9600</v>
      </c>
      <c r="T27" s="158">
        <f t="shared" si="2"/>
        <v>120</v>
      </c>
      <c r="U27" s="158">
        <f t="shared" si="3"/>
        <v>120</v>
      </c>
      <c r="V27" s="158">
        <f>R27*属性价值参考!C$5+附件合成!S27*属性价值参考!C$6+附件合成!T27*(属性价值参考!C$7+属性价值参考!C$8)+附件合成!U27*(属性价值参考!C$9+属性价值参考!C$10)</f>
        <v>36662.400000000001</v>
      </c>
      <c r="W27" s="158">
        <f>AC27*属性价值参考!C$26+附件合成!AF27*属性价值参考!C$24+附件合成!AG27*属性价值参考!C$26+附件合成!AI27*(属性价值参考!C$28+属性价值参考!C$29)+附件合成!AL27*属性价值参考!C$26+附件合成!AM27*属性价值参考!C$27+AN27*(属性价值参考!C$37+属性价值参考!C$38)</f>
        <v>6225.6</v>
      </c>
      <c r="X27" s="158">
        <f t="shared" si="4"/>
        <v>2680.5</v>
      </c>
      <c r="Y27" s="158">
        <f t="shared" si="5"/>
        <v>2680500</v>
      </c>
      <c r="Z27" s="158">
        <f>ROUND(1/4*SUM(材料产出!$AB$10:$AB$12),0)</f>
        <v>26</v>
      </c>
      <c r="AA27" s="158">
        <f t="shared" si="16"/>
        <v>26000</v>
      </c>
      <c r="AB27" s="8">
        <f t="shared" si="7"/>
        <v>60</v>
      </c>
      <c r="AC27" s="97">
        <v>15</v>
      </c>
      <c r="AD27" s="8">
        <f t="shared" si="8"/>
        <v>60</v>
      </c>
      <c r="AE27" s="8">
        <f t="shared" si="9"/>
        <v>60</v>
      </c>
      <c r="AF27" s="97">
        <v>3</v>
      </c>
      <c r="AG27" s="97">
        <v>3</v>
      </c>
      <c r="AH27" s="8">
        <f t="shared" si="10"/>
        <v>60</v>
      </c>
      <c r="AI27" s="97">
        <v>6</v>
      </c>
      <c r="AJ27" s="8">
        <f t="shared" si="11"/>
        <v>2400</v>
      </c>
      <c r="AK27" s="8">
        <f t="shared" si="12"/>
        <v>9600</v>
      </c>
      <c r="AL27" s="97">
        <v>3</v>
      </c>
      <c r="AM27" s="97">
        <v>3</v>
      </c>
      <c r="AN27" s="97">
        <v>80</v>
      </c>
    </row>
    <row r="28" spans="1:40" ht="16.5" x14ac:dyDescent="0.3">
      <c r="A28" s="22" t="s">
        <v>2399</v>
      </c>
      <c r="B28" s="23" t="s">
        <v>2428</v>
      </c>
      <c r="C28" s="22">
        <v>24</v>
      </c>
      <c r="D28" s="98">
        <v>7</v>
      </c>
      <c r="E28" s="101">
        <v>25</v>
      </c>
      <c r="F28" s="98">
        <v>7</v>
      </c>
      <c r="G28" s="101">
        <v>25</v>
      </c>
      <c r="H28" s="98">
        <v>7</v>
      </c>
      <c r="I28" s="101">
        <v>25</v>
      </c>
      <c r="J28" s="101"/>
      <c r="K28" s="101"/>
      <c r="L28" s="101"/>
      <c r="M28" s="101"/>
      <c r="N28" s="69" t="s">
        <v>2425</v>
      </c>
      <c r="O28" s="100" t="str">
        <f t="shared" si="14"/>
        <v>龙晶碎片26/元宝26000</v>
      </c>
      <c r="P28" s="97">
        <v>25</v>
      </c>
      <c r="Q28" s="158"/>
      <c r="R28" s="158">
        <f t="shared" si="0"/>
        <v>2500</v>
      </c>
      <c r="S28" s="158">
        <f t="shared" si="1"/>
        <v>10000</v>
      </c>
      <c r="T28" s="158">
        <f t="shared" si="2"/>
        <v>125</v>
      </c>
      <c r="U28" s="158">
        <f t="shared" si="3"/>
        <v>125</v>
      </c>
      <c r="V28" s="158">
        <f>R28*属性价值参考!C$5+附件合成!S28*属性价值参考!C$6+附件合成!T28*(属性价值参考!C$7+属性价值参考!C$8)+附件合成!U28*(属性价值参考!C$9+属性价值参考!C$10)</f>
        <v>38190</v>
      </c>
      <c r="W28" s="158">
        <f>AC28*属性价值参考!C$26+附件合成!AF28*属性价值参考!C$24+附件合成!AG28*属性价值参考!C$26+附件合成!AI28*(属性价值参考!C$28+属性价值参考!C$29)+附件合成!AL28*属性价值参考!C$26+附件合成!AM28*属性价值参考!C$27+AN28*(属性价值参考!C$37+属性价值参考!C$38)</f>
        <v>6225.6</v>
      </c>
      <c r="X28" s="158">
        <f t="shared" si="4"/>
        <v>2775.9749999999999</v>
      </c>
      <c r="Y28" s="158">
        <f t="shared" si="5"/>
        <v>2775975</v>
      </c>
      <c r="Z28" s="158">
        <f>ROUND(1/4*SUM(材料产出!$AB$10:$AB$12),0)</f>
        <v>26</v>
      </c>
      <c r="AA28" s="158">
        <f t="shared" si="16"/>
        <v>26000</v>
      </c>
      <c r="AB28" s="8">
        <f t="shared" si="7"/>
        <v>62</v>
      </c>
      <c r="AC28" s="97">
        <v>15</v>
      </c>
      <c r="AD28" s="8">
        <f t="shared" si="8"/>
        <v>62</v>
      </c>
      <c r="AE28" s="8">
        <f t="shared" si="9"/>
        <v>62</v>
      </c>
      <c r="AF28" s="97">
        <v>3</v>
      </c>
      <c r="AG28" s="97">
        <v>3</v>
      </c>
      <c r="AH28" s="8">
        <f t="shared" si="10"/>
        <v>62</v>
      </c>
      <c r="AI28" s="97">
        <v>6</v>
      </c>
      <c r="AJ28" s="8">
        <f t="shared" si="11"/>
        <v>2500</v>
      </c>
      <c r="AK28" s="8">
        <f t="shared" si="12"/>
        <v>10000</v>
      </c>
      <c r="AL28" s="97">
        <v>3</v>
      </c>
      <c r="AM28" s="97">
        <v>3</v>
      </c>
      <c r="AN28" s="97">
        <v>80</v>
      </c>
    </row>
    <row r="29" spans="1:40" ht="16.5" x14ac:dyDescent="0.3">
      <c r="A29" s="22" t="s">
        <v>2399</v>
      </c>
      <c r="B29" s="23" t="s">
        <v>2429</v>
      </c>
      <c r="C29" s="22">
        <v>25</v>
      </c>
      <c r="D29" s="98">
        <v>8</v>
      </c>
      <c r="E29" s="101">
        <v>26</v>
      </c>
      <c r="F29" s="98">
        <v>8</v>
      </c>
      <c r="G29" s="101">
        <v>26</v>
      </c>
      <c r="H29" s="98">
        <v>8</v>
      </c>
      <c r="I29" s="101">
        <v>26</v>
      </c>
      <c r="J29" s="101"/>
      <c r="K29" s="101"/>
      <c r="L29" s="101"/>
      <c r="M29" s="101"/>
      <c r="N29" s="69" t="s">
        <v>2425</v>
      </c>
      <c r="O29" s="100" t="str">
        <f t="shared" si="14"/>
        <v>龙晶碎片26/元宝26000</v>
      </c>
      <c r="P29" s="97">
        <v>26</v>
      </c>
      <c r="Q29" s="158"/>
      <c r="R29" s="158">
        <f t="shared" si="0"/>
        <v>2600</v>
      </c>
      <c r="S29" s="158">
        <f t="shared" si="1"/>
        <v>10400</v>
      </c>
      <c r="T29" s="158">
        <f t="shared" si="2"/>
        <v>130</v>
      </c>
      <c r="U29" s="158">
        <f t="shared" si="3"/>
        <v>130</v>
      </c>
      <c r="V29" s="158">
        <f>R29*属性价值参考!C$5+附件合成!S29*属性价值参考!C$6+附件合成!T29*(属性价值参考!C$7+属性价值参考!C$8)+附件合成!U29*(属性价值参考!C$9+属性价值参考!C$10)</f>
        <v>39717.599999999999</v>
      </c>
      <c r="W29" s="158">
        <f>AC29*属性价值参考!C$26+附件合成!AF29*属性价值参考!C$24+附件合成!AG29*属性价值参考!C$26+附件合成!AI29*(属性价值参考!C$28+属性价值参考!C$29)+附件合成!AL29*属性价值参考!C$26+附件合成!AM29*属性价值参考!C$27+AN29*(属性价值参考!C$37+属性价值参考!C$38)</f>
        <v>6225.6</v>
      </c>
      <c r="X29" s="158">
        <f t="shared" si="4"/>
        <v>2871.45</v>
      </c>
      <c r="Y29" s="158">
        <f t="shared" si="5"/>
        <v>2871450</v>
      </c>
      <c r="Z29" s="158">
        <f>ROUND(1/4*SUM(材料产出!$AB$10:$AB$12),0)</f>
        <v>26</v>
      </c>
      <c r="AA29" s="158">
        <f t="shared" si="16"/>
        <v>26000</v>
      </c>
      <c r="AB29" s="8">
        <f t="shared" si="7"/>
        <v>65</v>
      </c>
      <c r="AC29" s="97">
        <v>15</v>
      </c>
      <c r="AD29" s="8">
        <f t="shared" si="8"/>
        <v>65</v>
      </c>
      <c r="AE29" s="8">
        <f t="shared" si="9"/>
        <v>65</v>
      </c>
      <c r="AF29" s="97">
        <v>3</v>
      </c>
      <c r="AG29" s="97">
        <v>3</v>
      </c>
      <c r="AH29" s="8">
        <f t="shared" si="10"/>
        <v>65</v>
      </c>
      <c r="AI29" s="97">
        <v>6</v>
      </c>
      <c r="AJ29" s="8">
        <f t="shared" si="11"/>
        <v>2600</v>
      </c>
      <c r="AK29" s="8">
        <f t="shared" si="12"/>
        <v>10400</v>
      </c>
      <c r="AL29" s="97">
        <v>3</v>
      </c>
      <c r="AM29" s="97">
        <v>3</v>
      </c>
      <c r="AN29" s="97">
        <v>80</v>
      </c>
    </row>
    <row r="30" spans="1:40" ht="16.5" x14ac:dyDescent="0.3">
      <c r="A30" s="22" t="s">
        <v>2399</v>
      </c>
      <c r="B30" s="23" t="s">
        <v>2430</v>
      </c>
      <c r="C30" s="22">
        <v>26</v>
      </c>
      <c r="D30" s="98">
        <v>8</v>
      </c>
      <c r="E30" s="101">
        <v>27</v>
      </c>
      <c r="F30" s="98">
        <v>8</v>
      </c>
      <c r="G30" s="101">
        <v>27</v>
      </c>
      <c r="H30" s="98">
        <v>8</v>
      </c>
      <c r="I30" s="101">
        <v>27</v>
      </c>
      <c r="J30" s="101"/>
      <c r="K30" s="101"/>
      <c r="L30" s="101"/>
      <c r="M30" s="101"/>
      <c r="N30" s="69" t="s">
        <v>2425</v>
      </c>
      <c r="O30" s="100" t="str">
        <f t="shared" si="14"/>
        <v>龙晶碎片26/元宝26000</v>
      </c>
      <c r="P30" s="97">
        <v>27</v>
      </c>
      <c r="Q30" s="158"/>
      <c r="R30" s="158">
        <f t="shared" si="0"/>
        <v>2700</v>
      </c>
      <c r="S30" s="158">
        <f t="shared" si="1"/>
        <v>10800</v>
      </c>
      <c r="T30" s="158">
        <f t="shared" si="2"/>
        <v>135</v>
      </c>
      <c r="U30" s="158">
        <f t="shared" si="3"/>
        <v>135</v>
      </c>
      <c r="V30" s="158">
        <f>R30*属性价值参考!C$5+附件合成!S30*属性价值参考!C$6+附件合成!T30*(属性价值参考!C$7+属性价值参考!C$8)+附件合成!U30*(属性价值参考!C$9+属性价值参考!C$10)</f>
        <v>41245.199999999997</v>
      </c>
      <c r="W30" s="158">
        <f>AC30*属性价值参考!C$26+附件合成!AF30*属性价值参考!C$24+附件合成!AG30*属性价值参考!C$26+附件合成!AI30*(属性价值参考!C$28+属性价值参考!C$29)+附件合成!AL30*属性价值参考!C$26+附件合成!AM30*属性价值参考!C$27+AN30*(属性价值参考!C$37+属性价值参考!C$38)</f>
        <v>6225.6</v>
      </c>
      <c r="X30" s="158">
        <f t="shared" si="4"/>
        <v>2966.9249999999997</v>
      </c>
      <c r="Y30" s="158">
        <f t="shared" si="5"/>
        <v>2966924.9999999995</v>
      </c>
      <c r="Z30" s="158">
        <f>ROUND(1/4*SUM(材料产出!$AB$10:$AB$12),0)</f>
        <v>26</v>
      </c>
      <c r="AA30" s="158">
        <f t="shared" si="16"/>
        <v>26000</v>
      </c>
      <c r="AB30" s="8">
        <f t="shared" si="7"/>
        <v>67</v>
      </c>
      <c r="AC30" s="97">
        <v>15</v>
      </c>
      <c r="AD30" s="8">
        <f t="shared" si="8"/>
        <v>67</v>
      </c>
      <c r="AE30" s="8">
        <f t="shared" si="9"/>
        <v>67</v>
      </c>
      <c r="AF30" s="97">
        <v>3</v>
      </c>
      <c r="AG30" s="97">
        <v>3</v>
      </c>
      <c r="AH30" s="8">
        <f t="shared" si="10"/>
        <v>67</v>
      </c>
      <c r="AI30" s="97">
        <v>6</v>
      </c>
      <c r="AJ30" s="8">
        <f t="shared" si="11"/>
        <v>2700</v>
      </c>
      <c r="AK30" s="8">
        <f t="shared" si="12"/>
        <v>10800</v>
      </c>
      <c r="AL30" s="97">
        <v>3</v>
      </c>
      <c r="AM30" s="97">
        <v>3</v>
      </c>
      <c r="AN30" s="97">
        <v>80</v>
      </c>
    </row>
    <row r="31" spans="1:40" ht="16.5" x14ac:dyDescent="0.3">
      <c r="A31" s="22" t="s">
        <v>2399</v>
      </c>
      <c r="B31" s="23" t="s">
        <v>2431</v>
      </c>
      <c r="C31" s="22">
        <v>27</v>
      </c>
      <c r="D31" s="98">
        <v>8</v>
      </c>
      <c r="E31" s="101">
        <v>28</v>
      </c>
      <c r="F31" s="98">
        <v>8</v>
      </c>
      <c r="G31" s="101">
        <v>28</v>
      </c>
      <c r="H31" s="98">
        <v>8</v>
      </c>
      <c r="I31" s="101">
        <v>28</v>
      </c>
      <c r="J31" s="101"/>
      <c r="K31" s="101"/>
      <c r="L31" s="101"/>
      <c r="M31" s="101"/>
      <c r="N31" s="69" t="s">
        <v>2425</v>
      </c>
      <c r="O31" s="100" t="str">
        <f t="shared" si="14"/>
        <v>龙晶碎片26/元宝26000</v>
      </c>
      <c r="P31" s="97">
        <v>28</v>
      </c>
      <c r="Q31" s="158"/>
      <c r="R31" s="158">
        <f t="shared" si="0"/>
        <v>2800</v>
      </c>
      <c r="S31" s="158">
        <f t="shared" si="1"/>
        <v>11200</v>
      </c>
      <c r="T31" s="158">
        <f t="shared" si="2"/>
        <v>140</v>
      </c>
      <c r="U31" s="158">
        <f t="shared" si="3"/>
        <v>140</v>
      </c>
      <c r="V31" s="158">
        <f>R31*属性价值参考!C$5+附件合成!S31*属性价值参考!C$6+附件合成!T31*(属性价值参考!C$7+属性价值参考!C$8)+附件合成!U31*(属性价值参考!C$9+属性价值参考!C$10)</f>
        <v>42772.800000000003</v>
      </c>
      <c r="W31" s="158">
        <f>AC31*属性价值参考!C$26+附件合成!AF31*属性价值参考!C$24+附件合成!AG31*属性价值参考!C$26+附件合成!AI31*(属性价值参考!C$28+属性价值参考!C$29)+附件合成!AL31*属性价值参考!C$26+附件合成!AM31*属性价值参考!C$27+AN31*(属性价值参考!C$37+属性价值参考!C$38)</f>
        <v>6225.6</v>
      </c>
      <c r="X31" s="158">
        <f t="shared" si="4"/>
        <v>3062.4</v>
      </c>
      <c r="Y31" s="158">
        <f t="shared" si="5"/>
        <v>3062400</v>
      </c>
      <c r="Z31" s="158">
        <f>ROUND(1/4*SUM(材料产出!$AB$10:$AB$12),0)</f>
        <v>26</v>
      </c>
      <c r="AA31" s="158">
        <f t="shared" si="16"/>
        <v>26000</v>
      </c>
      <c r="AB31" s="8">
        <f t="shared" si="7"/>
        <v>70</v>
      </c>
      <c r="AC31" s="97">
        <v>15</v>
      </c>
      <c r="AD31" s="8">
        <f t="shared" si="8"/>
        <v>70</v>
      </c>
      <c r="AE31" s="8">
        <f t="shared" si="9"/>
        <v>70</v>
      </c>
      <c r="AF31" s="97">
        <v>3</v>
      </c>
      <c r="AG31" s="97">
        <v>3</v>
      </c>
      <c r="AH31" s="8">
        <f t="shared" si="10"/>
        <v>70</v>
      </c>
      <c r="AI31" s="97">
        <v>6</v>
      </c>
      <c r="AJ31" s="8">
        <f t="shared" si="11"/>
        <v>2800</v>
      </c>
      <c r="AK31" s="8">
        <f t="shared" si="12"/>
        <v>11200</v>
      </c>
      <c r="AL31" s="97">
        <v>3</v>
      </c>
      <c r="AM31" s="97">
        <v>3</v>
      </c>
      <c r="AN31" s="97">
        <v>80</v>
      </c>
    </row>
    <row r="32" spans="1:40" ht="16.5" x14ac:dyDescent="0.3">
      <c r="A32" s="22" t="s">
        <v>2399</v>
      </c>
      <c r="B32" s="23" t="s">
        <v>2432</v>
      </c>
      <c r="C32" s="22">
        <v>28</v>
      </c>
      <c r="D32" s="98">
        <v>9</v>
      </c>
      <c r="E32" s="101">
        <v>29</v>
      </c>
      <c r="F32" s="98">
        <v>9</v>
      </c>
      <c r="G32" s="101">
        <v>29</v>
      </c>
      <c r="H32" s="98">
        <v>9</v>
      </c>
      <c r="I32" s="101">
        <v>29</v>
      </c>
      <c r="J32" s="101"/>
      <c r="K32" s="101"/>
      <c r="L32" s="101"/>
      <c r="M32" s="101"/>
      <c r="N32" s="69" t="s">
        <v>2425</v>
      </c>
      <c r="O32" s="100" t="str">
        <f t="shared" si="14"/>
        <v>龙晶碎片26/元宝26000</v>
      </c>
      <c r="P32" s="97">
        <v>29</v>
      </c>
      <c r="Q32" s="158"/>
      <c r="R32" s="158">
        <f t="shared" si="0"/>
        <v>2900</v>
      </c>
      <c r="S32" s="158">
        <f t="shared" si="1"/>
        <v>11600</v>
      </c>
      <c r="T32" s="158">
        <f t="shared" si="2"/>
        <v>145</v>
      </c>
      <c r="U32" s="158">
        <f t="shared" si="3"/>
        <v>145</v>
      </c>
      <c r="V32" s="158">
        <f>R32*属性价值参考!C$5+附件合成!S32*属性价值参考!C$6+附件合成!T32*(属性价值参考!C$7+属性价值参考!C$8)+附件合成!U32*(属性价值参考!C$9+属性价值参考!C$10)</f>
        <v>44300.4</v>
      </c>
      <c r="W32" s="158">
        <f>AC32*属性价值参考!C$26+附件合成!AF32*属性价值参考!C$24+附件合成!AG32*属性价值参考!C$26+附件合成!AI32*(属性价值参考!C$28+属性价值参考!C$29)+附件合成!AL32*属性价值参考!C$26+附件合成!AM32*属性价值参考!C$27+AN32*(属性价值参考!C$37+属性价值参考!C$38)</f>
        <v>6225.6</v>
      </c>
      <c r="X32" s="158">
        <f t="shared" si="4"/>
        <v>3157.875</v>
      </c>
      <c r="Y32" s="158">
        <f t="shared" si="5"/>
        <v>3157875</v>
      </c>
      <c r="Z32" s="158">
        <f>ROUND(1/4*SUM(材料产出!$AB$10:$AB$12),0)</f>
        <v>26</v>
      </c>
      <c r="AA32" s="158">
        <f t="shared" si="16"/>
        <v>26000</v>
      </c>
      <c r="AB32" s="8">
        <f t="shared" si="7"/>
        <v>72</v>
      </c>
      <c r="AC32" s="97">
        <v>15</v>
      </c>
      <c r="AD32" s="8">
        <f t="shared" si="8"/>
        <v>72</v>
      </c>
      <c r="AE32" s="8">
        <f t="shared" si="9"/>
        <v>72</v>
      </c>
      <c r="AF32" s="97">
        <v>3</v>
      </c>
      <c r="AG32" s="97">
        <v>3</v>
      </c>
      <c r="AH32" s="8">
        <f t="shared" si="10"/>
        <v>72</v>
      </c>
      <c r="AI32" s="97">
        <v>6</v>
      </c>
      <c r="AJ32" s="8">
        <f t="shared" si="11"/>
        <v>2900</v>
      </c>
      <c r="AK32" s="8">
        <f t="shared" si="12"/>
        <v>11600</v>
      </c>
      <c r="AL32" s="97">
        <v>3</v>
      </c>
      <c r="AM32" s="97">
        <v>3</v>
      </c>
      <c r="AN32" s="97">
        <v>80</v>
      </c>
    </row>
    <row r="33" spans="1:40" ht="16.5" x14ac:dyDescent="0.3">
      <c r="A33" s="22" t="s">
        <v>2399</v>
      </c>
      <c r="B33" s="23" t="s">
        <v>2433</v>
      </c>
      <c r="C33" s="22">
        <v>29</v>
      </c>
      <c r="D33" s="98">
        <v>9</v>
      </c>
      <c r="E33" s="101">
        <v>30</v>
      </c>
      <c r="F33" s="98">
        <v>9</v>
      </c>
      <c r="G33" s="101">
        <v>30</v>
      </c>
      <c r="H33" s="98">
        <v>9</v>
      </c>
      <c r="I33" s="101">
        <v>30</v>
      </c>
      <c r="J33" s="101"/>
      <c r="K33" s="101"/>
      <c r="L33" s="101"/>
      <c r="M33" s="101"/>
      <c r="N33" s="69" t="s">
        <v>2425</v>
      </c>
      <c r="O33" s="100" t="str">
        <f t="shared" si="14"/>
        <v>龙晶碎片26/元宝26000</v>
      </c>
      <c r="P33" s="97">
        <v>30</v>
      </c>
      <c r="Q33" s="206">
        <f>材料产出!C10</f>
        <v>1.1000000000000001</v>
      </c>
      <c r="R33" s="158">
        <f t="shared" si="0"/>
        <v>3000</v>
      </c>
      <c r="S33" s="158">
        <f t="shared" si="1"/>
        <v>12000</v>
      </c>
      <c r="T33" s="158">
        <f t="shared" si="2"/>
        <v>150</v>
      </c>
      <c r="U33" s="158">
        <f t="shared" si="3"/>
        <v>150</v>
      </c>
      <c r="V33" s="158">
        <f>R33*属性价值参考!C$5+附件合成!S33*属性价值参考!C$6+附件合成!T33*(属性价值参考!C$7+属性价值参考!C$8)+附件合成!U33*(属性价值参考!C$9+属性价值参考!C$10)</f>
        <v>45828</v>
      </c>
      <c r="W33" s="158">
        <f>AC33*属性价值参考!C$26+附件合成!AF33*属性价值参考!C$24+附件合成!AG33*属性价值参考!C$26+附件合成!AI33*(属性价值参考!C$28+属性价值参考!C$29)+附件合成!AL33*属性价值参考!C$26+附件合成!AM33*属性价值参考!C$27+AN33*(属性价值参考!C$37+属性价值参考!C$38)</f>
        <v>6225.6</v>
      </c>
      <c r="X33" s="158">
        <f t="shared" si="4"/>
        <v>3253.35</v>
      </c>
      <c r="Y33" s="158">
        <f t="shared" si="5"/>
        <v>3253350</v>
      </c>
      <c r="Z33" s="158">
        <f>ROUND(1/4*SUM(材料产出!$AB$10:$AB$12),0)</f>
        <v>26</v>
      </c>
      <c r="AA33" s="158">
        <f>Z33*1000</f>
        <v>26000</v>
      </c>
      <c r="AB33" s="8">
        <f t="shared" si="7"/>
        <v>75</v>
      </c>
      <c r="AC33" s="97">
        <v>15</v>
      </c>
      <c r="AD33" s="8">
        <f t="shared" si="8"/>
        <v>75</v>
      </c>
      <c r="AE33" s="8">
        <f t="shared" si="9"/>
        <v>75</v>
      </c>
      <c r="AF33" s="97">
        <v>3</v>
      </c>
      <c r="AG33" s="97">
        <v>3</v>
      </c>
      <c r="AH33" s="8">
        <f t="shared" si="10"/>
        <v>75</v>
      </c>
      <c r="AI33" s="97">
        <v>6</v>
      </c>
      <c r="AJ33" s="8">
        <f t="shared" si="11"/>
        <v>3000</v>
      </c>
      <c r="AK33" s="8">
        <f t="shared" si="12"/>
        <v>12000</v>
      </c>
      <c r="AL33" s="97">
        <v>3</v>
      </c>
      <c r="AM33" s="97">
        <v>3</v>
      </c>
      <c r="AN33" s="97">
        <v>80</v>
      </c>
    </row>
    <row r="34" spans="1:40" ht="16.5" x14ac:dyDescent="0.3">
      <c r="A34" s="22" t="s">
        <v>2399</v>
      </c>
      <c r="B34" s="23" t="s">
        <v>2434</v>
      </c>
      <c r="C34" s="22">
        <v>30</v>
      </c>
      <c r="D34" s="98">
        <v>9</v>
      </c>
      <c r="E34" s="101">
        <v>31</v>
      </c>
      <c r="F34" s="98">
        <v>9</v>
      </c>
      <c r="G34" s="101">
        <v>31</v>
      </c>
      <c r="H34" s="98">
        <v>9</v>
      </c>
      <c r="I34" s="101">
        <v>31</v>
      </c>
      <c r="J34" s="101"/>
      <c r="K34" s="101"/>
      <c r="L34" s="101"/>
      <c r="M34" s="101"/>
      <c r="N34" s="69" t="s">
        <v>2425</v>
      </c>
      <c r="O34" s="100" t="str">
        <f t="shared" si="14"/>
        <v>龙晶碎片129/元宝129000</v>
      </c>
      <c r="P34" s="191">
        <v>31</v>
      </c>
      <c r="Q34" s="207"/>
      <c r="R34" s="158">
        <f t="shared" si="0"/>
        <v>3100</v>
      </c>
      <c r="S34" s="158">
        <f t="shared" si="1"/>
        <v>12400</v>
      </c>
      <c r="T34" s="158">
        <f t="shared" si="2"/>
        <v>155</v>
      </c>
      <c r="U34" s="158">
        <f t="shared" si="3"/>
        <v>155</v>
      </c>
      <c r="V34" s="158">
        <f>R34*属性价值参考!C$5+附件合成!S34*属性价值参考!C$6+附件合成!T34*(属性价值参考!C$7+属性价值参考!C$8)+附件合成!U34*(属性价值参考!C$9+属性价值参考!C$10)</f>
        <v>47355.6</v>
      </c>
      <c r="W34" s="158">
        <f>AC34*属性价值参考!C$26+附件合成!AF34*属性价值参考!C$24+附件合成!AG34*属性价值参考!C$26+附件合成!AI34*(属性价值参考!C$28+属性价值参考!C$29)+附件合成!AL34*属性价值参考!C$26+附件合成!AM34*属性价值参考!C$27+AN34*(属性价值参考!C$37+属性价值参考!C$38)</f>
        <v>9535.2000000000007</v>
      </c>
      <c r="X34" s="158">
        <f t="shared" si="4"/>
        <v>3555.6750000000002</v>
      </c>
      <c r="Y34" s="158">
        <f t="shared" si="5"/>
        <v>3555675</v>
      </c>
      <c r="Z34" s="158">
        <f>ROUND(1/4*SUM(材料产出!$AB$13:$AB$15),0)</f>
        <v>129</v>
      </c>
      <c r="AA34" s="158">
        <f t="shared" si="16"/>
        <v>129000</v>
      </c>
      <c r="AB34" s="104">
        <f t="shared" si="7"/>
        <v>77</v>
      </c>
      <c r="AC34" s="105">
        <v>15</v>
      </c>
      <c r="AD34" s="104">
        <f t="shared" si="8"/>
        <v>77</v>
      </c>
      <c r="AE34" s="104">
        <f t="shared" si="9"/>
        <v>77</v>
      </c>
      <c r="AF34" s="105">
        <v>4</v>
      </c>
      <c r="AG34" s="105">
        <v>4</v>
      </c>
      <c r="AH34" s="104">
        <f t="shared" si="10"/>
        <v>77</v>
      </c>
      <c r="AI34" s="105">
        <v>8.0000000000000107</v>
      </c>
      <c r="AJ34" s="104">
        <f t="shared" si="11"/>
        <v>3100</v>
      </c>
      <c r="AK34" s="104">
        <f t="shared" si="12"/>
        <v>12400</v>
      </c>
      <c r="AL34" s="105">
        <v>4</v>
      </c>
      <c r="AM34" s="105">
        <v>4</v>
      </c>
      <c r="AN34" s="105">
        <v>160</v>
      </c>
    </row>
    <row r="35" spans="1:40" ht="16.5" x14ac:dyDescent="0.3">
      <c r="A35" s="22" t="s">
        <v>2399</v>
      </c>
      <c r="B35" s="23" t="s">
        <v>2435</v>
      </c>
      <c r="C35" s="22">
        <v>31</v>
      </c>
      <c r="D35" s="98">
        <v>10</v>
      </c>
      <c r="E35" s="101">
        <v>31</v>
      </c>
      <c r="F35" s="98">
        <v>10</v>
      </c>
      <c r="G35" s="101">
        <v>31</v>
      </c>
      <c r="H35" s="98">
        <v>10</v>
      </c>
      <c r="I35" s="101">
        <v>31</v>
      </c>
      <c r="J35" s="101"/>
      <c r="K35" s="101"/>
      <c r="L35" s="101"/>
      <c r="M35" s="101"/>
      <c r="N35" s="69" t="s">
        <v>2436</v>
      </c>
      <c r="O35" s="100" t="str">
        <f t="shared" si="14"/>
        <v>龙晶碎片129/元宝129000</v>
      </c>
      <c r="P35" s="97">
        <v>32</v>
      </c>
      <c r="Q35" s="158"/>
      <c r="R35" s="158">
        <f t="shared" si="0"/>
        <v>3200</v>
      </c>
      <c r="S35" s="158">
        <f t="shared" si="1"/>
        <v>12800</v>
      </c>
      <c r="T35" s="158">
        <f t="shared" si="2"/>
        <v>160</v>
      </c>
      <c r="U35" s="158">
        <f t="shared" si="3"/>
        <v>160</v>
      </c>
      <c r="V35" s="158">
        <f>R35*属性价值参考!C$5+附件合成!S35*属性价值参考!C$6+附件合成!T35*(属性价值参考!C$7+属性价值参考!C$8)+附件合成!U35*(属性价值参考!C$9+属性价值参考!C$10)</f>
        <v>48883.199999999997</v>
      </c>
      <c r="W35" s="158">
        <f>AC35*属性价值参考!C$26+附件合成!AF35*属性价值参考!C$24+附件合成!AG35*属性价值参考!C$26+附件合成!AI35*(属性价值参考!C$28+属性价值参考!C$29)+附件合成!AL35*属性价值参考!C$26+附件合成!AM35*属性价值参考!C$27+AN35*(属性价值参考!C$37+属性价值参考!C$38)</f>
        <v>9859.2000000000007</v>
      </c>
      <c r="X35" s="158">
        <f t="shared" si="4"/>
        <v>3671.3999999999996</v>
      </c>
      <c r="Y35" s="158">
        <f t="shared" si="5"/>
        <v>3671399.9999999995</v>
      </c>
      <c r="Z35" s="158">
        <f>ROUND(1/4*SUM(材料产出!$AB$13:$AB$15),0)</f>
        <v>129</v>
      </c>
      <c r="AA35" s="158">
        <f t="shared" si="16"/>
        <v>129000</v>
      </c>
      <c r="AB35" s="8">
        <f t="shared" si="7"/>
        <v>80</v>
      </c>
      <c r="AC35" s="97">
        <v>20</v>
      </c>
      <c r="AD35" s="8">
        <f t="shared" si="8"/>
        <v>80</v>
      </c>
      <c r="AE35" s="8">
        <f t="shared" si="9"/>
        <v>80</v>
      </c>
      <c r="AF35" s="97">
        <v>4</v>
      </c>
      <c r="AG35" s="97">
        <v>4</v>
      </c>
      <c r="AH35" s="8">
        <f t="shared" si="10"/>
        <v>80</v>
      </c>
      <c r="AI35" s="97">
        <v>8.0000000000000107</v>
      </c>
      <c r="AJ35" s="8">
        <f t="shared" si="11"/>
        <v>3200</v>
      </c>
      <c r="AK35" s="8">
        <f t="shared" si="12"/>
        <v>12800</v>
      </c>
      <c r="AL35" s="97">
        <v>4</v>
      </c>
      <c r="AM35" s="97">
        <v>4</v>
      </c>
      <c r="AN35" s="97">
        <v>160</v>
      </c>
    </row>
    <row r="36" spans="1:40" ht="16.5" x14ac:dyDescent="0.3">
      <c r="A36" s="22" t="s">
        <v>2399</v>
      </c>
      <c r="B36" s="23" t="s">
        <v>2437</v>
      </c>
      <c r="C36" s="22">
        <v>32</v>
      </c>
      <c r="D36" s="98">
        <v>10</v>
      </c>
      <c r="E36" s="101">
        <v>33</v>
      </c>
      <c r="F36" s="98">
        <v>10</v>
      </c>
      <c r="G36" s="101">
        <v>33</v>
      </c>
      <c r="H36" s="98">
        <v>10</v>
      </c>
      <c r="I36" s="101">
        <v>33</v>
      </c>
      <c r="J36" s="101"/>
      <c r="K36" s="101"/>
      <c r="L36" s="101"/>
      <c r="M36" s="101"/>
      <c r="N36" s="69" t="s">
        <v>2436</v>
      </c>
      <c r="O36" s="100" t="str">
        <f t="shared" si="14"/>
        <v>龙晶碎片129/元宝129000</v>
      </c>
      <c r="P36" s="97">
        <v>33</v>
      </c>
      <c r="Q36" s="158"/>
      <c r="R36" s="158">
        <f t="shared" si="0"/>
        <v>3300</v>
      </c>
      <c r="S36" s="158">
        <f t="shared" si="1"/>
        <v>13200</v>
      </c>
      <c r="T36" s="158">
        <f t="shared" si="2"/>
        <v>165</v>
      </c>
      <c r="U36" s="158">
        <f t="shared" si="3"/>
        <v>165</v>
      </c>
      <c r="V36" s="158">
        <f>R36*属性价值参考!C$5+附件合成!S36*属性价值参考!C$6+附件合成!T36*(属性价值参考!C$7+属性价值参考!C$8)+附件合成!U36*(属性价值参考!C$9+属性价值参考!C$10)</f>
        <v>50410.799999999996</v>
      </c>
      <c r="W36" s="158">
        <f>AC36*属性价值参考!C$26+附件合成!AF36*属性价值参考!C$24+附件合成!AG36*属性价值参考!C$26+附件合成!AI36*(属性价值参考!C$28+属性价值参考!C$29)+附件合成!AL36*属性价值参考!C$26+附件合成!AM36*属性价值参考!C$27+AN36*(属性价值参考!C$37+属性价值参考!C$38)</f>
        <v>9859.2000000000007</v>
      </c>
      <c r="X36" s="158">
        <f t="shared" si="4"/>
        <v>3766.875</v>
      </c>
      <c r="Y36" s="158">
        <f t="shared" si="5"/>
        <v>3766875</v>
      </c>
      <c r="Z36" s="158">
        <f>ROUND(1/4*SUM(材料产出!$AB$13:$AB$15),0)</f>
        <v>129</v>
      </c>
      <c r="AA36" s="158">
        <f t="shared" si="16"/>
        <v>129000</v>
      </c>
      <c r="AB36" s="8">
        <f t="shared" si="7"/>
        <v>82</v>
      </c>
      <c r="AC36" s="97">
        <v>20</v>
      </c>
      <c r="AD36" s="8">
        <f t="shared" si="8"/>
        <v>82</v>
      </c>
      <c r="AE36" s="8">
        <f t="shared" si="9"/>
        <v>82</v>
      </c>
      <c r="AF36" s="97">
        <v>4</v>
      </c>
      <c r="AG36" s="97">
        <v>4</v>
      </c>
      <c r="AH36" s="8">
        <f t="shared" si="10"/>
        <v>82</v>
      </c>
      <c r="AI36" s="97">
        <v>8.0000000000000107</v>
      </c>
      <c r="AJ36" s="8">
        <f t="shared" si="11"/>
        <v>3300</v>
      </c>
      <c r="AK36" s="8">
        <f t="shared" si="12"/>
        <v>13200</v>
      </c>
      <c r="AL36" s="97">
        <v>4</v>
      </c>
      <c r="AM36" s="97">
        <v>4</v>
      </c>
      <c r="AN36" s="97">
        <v>160</v>
      </c>
    </row>
    <row r="37" spans="1:40" ht="16.5" x14ac:dyDescent="0.3">
      <c r="A37" s="22" t="s">
        <v>2399</v>
      </c>
      <c r="B37" s="23" t="s">
        <v>2438</v>
      </c>
      <c r="C37" s="22">
        <v>33</v>
      </c>
      <c r="D37" s="98">
        <v>10</v>
      </c>
      <c r="E37" s="101">
        <v>34</v>
      </c>
      <c r="F37" s="98">
        <v>10</v>
      </c>
      <c r="G37" s="101">
        <v>34</v>
      </c>
      <c r="H37" s="98">
        <v>10</v>
      </c>
      <c r="I37" s="101">
        <v>34</v>
      </c>
      <c r="J37" s="101"/>
      <c r="K37" s="101"/>
      <c r="L37" s="101"/>
      <c r="M37" s="101"/>
      <c r="N37" s="69" t="s">
        <v>2436</v>
      </c>
      <c r="O37" s="100" t="str">
        <f t="shared" si="14"/>
        <v>龙晶碎片129/元宝129000</v>
      </c>
      <c r="P37" s="97">
        <v>34</v>
      </c>
      <c r="Q37" s="158"/>
      <c r="R37" s="158">
        <f t="shared" si="0"/>
        <v>3400</v>
      </c>
      <c r="S37" s="158">
        <f t="shared" si="1"/>
        <v>13600</v>
      </c>
      <c r="T37" s="158">
        <f t="shared" si="2"/>
        <v>170</v>
      </c>
      <c r="U37" s="158">
        <f t="shared" si="3"/>
        <v>170</v>
      </c>
      <c r="V37" s="158">
        <f>R37*属性价值参考!C$5+附件合成!S37*属性价值参考!C$6+附件合成!T37*(属性价值参考!C$7+属性价值参考!C$8)+附件合成!U37*(属性价值参考!C$9+属性价值参考!C$10)</f>
        <v>51938.400000000001</v>
      </c>
      <c r="W37" s="158">
        <f>AC37*属性价值参考!C$26+附件合成!AF37*属性价值参考!C$24+附件合成!AG37*属性价值参考!C$26+附件合成!AI37*(属性价值参考!C$28+属性价值参考!C$29)+附件合成!AL37*属性价值参考!C$26+附件合成!AM37*属性价值参考!C$27+AN37*(属性价值参考!C$37+属性价值参考!C$38)</f>
        <v>9859.2000000000007</v>
      </c>
      <c r="X37" s="158">
        <f t="shared" si="4"/>
        <v>3862.3500000000004</v>
      </c>
      <c r="Y37" s="158">
        <f t="shared" si="5"/>
        <v>3862350.0000000005</v>
      </c>
      <c r="Z37" s="158">
        <f>ROUND(1/4*SUM(材料产出!$AB$13:$AB$15),0)</f>
        <v>129</v>
      </c>
      <c r="AA37" s="158">
        <f t="shared" si="16"/>
        <v>129000</v>
      </c>
      <c r="AB37" s="8">
        <f t="shared" si="7"/>
        <v>85</v>
      </c>
      <c r="AC37" s="97">
        <v>20</v>
      </c>
      <c r="AD37" s="8">
        <f t="shared" si="8"/>
        <v>85</v>
      </c>
      <c r="AE37" s="8">
        <f t="shared" si="9"/>
        <v>85</v>
      </c>
      <c r="AF37" s="97">
        <v>4</v>
      </c>
      <c r="AG37" s="97">
        <v>4</v>
      </c>
      <c r="AH37" s="8">
        <f t="shared" si="10"/>
        <v>85</v>
      </c>
      <c r="AI37" s="97">
        <v>8.0000000000000107</v>
      </c>
      <c r="AJ37" s="8">
        <f t="shared" si="11"/>
        <v>3400</v>
      </c>
      <c r="AK37" s="8">
        <f t="shared" si="12"/>
        <v>13600</v>
      </c>
      <c r="AL37" s="97">
        <v>4</v>
      </c>
      <c r="AM37" s="97">
        <v>4</v>
      </c>
      <c r="AN37" s="97">
        <v>160</v>
      </c>
    </row>
    <row r="38" spans="1:40" ht="16.5" x14ac:dyDescent="0.3">
      <c r="A38" s="22" t="s">
        <v>2399</v>
      </c>
      <c r="B38" s="23" t="s">
        <v>2439</v>
      </c>
      <c r="C38" s="22">
        <v>34</v>
      </c>
      <c r="D38" s="98">
        <v>10</v>
      </c>
      <c r="E38" s="101">
        <v>35</v>
      </c>
      <c r="F38" s="98">
        <v>10</v>
      </c>
      <c r="G38" s="101">
        <v>35</v>
      </c>
      <c r="H38" s="98">
        <v>10</v>
      </c>
      <c r="I38" s="101">
        <v>35</v>
      </c>
      <c r="J38" s="101"/>
      <c r="K38" s="101"/>
      <c r="L38" s="101"/>
      <c r="M38" s="101"/>
      <c r="N38" s="69" t="s">
        <v>2436</v>
      </c>
      <c r="O38" s="100" t="str">
        <f t="shared" si="14"/>
        <v>龙晶碎片129/元宝129000</v>
      </c>
      <c r="P38" s="97">
        <v>35</v>
      </c>
      <c r="Q38" s="158"/>
      <c r="R38" s="158">
        <f t="shared" si="0"/>
        <v>3500</v>
      </c>
      <c r="S38" s="158">
        <f t="shared" si="1"/>
        <v>14000</v>
      </c>
      <c r="T38" s="158">
        <f t="shared" si="2"/>
        <v>175</v>
      </c>
      <c r="U38" s="158">
        <f t="shared" si="3"/>
        <v>175</v>
      </c>
      <c r="V38" s="158">
        <f>R38*属性价值参考!C$5+附件合成!S38*属性价值参考!C$6+附件合成!T38*(属性价值参考!C$7+属性价值参考!C$8)+附件合成!U38*(属性价值参考!C$9+属性价值参考!C$10)</f>
        <v>53466</v>
      </c>
      <c r="W38" s="158">
        <f>AC38*属性价值参考!C$26+附件合成!AF38*属性价值参考!C$24+附件合成!AG38*属性价值参考!C$26+附件合成!AI38*(属性价值参考!C$28+属性价值参考!C$29)+附件合成!AL38*属性价值参考!C$26+附件合成!AM38*属性价值参考!C$27+AN38*(属性价值参考!C$37+属性价值参考!C$38)</f>
        <v>9859.2000000000007</v>
      </c>
      <c r="X38" s="158">
        <f t="shared" si="4"/>
        <v>3957.8249999999998</v>
      </c>
      <c r="Y38" s="158">
        <f t="shared" si="5"/>
        <v>3957825</v>
      </c>
      <c r="Z38" s="158">
        <f>ROUND(1/4*SUM(材料产出!$AB$13:$AB$15),0)</f>
        <v>129</v>
      </c>
      <c r="AA38" s="158">
        <f t="shared" si="16"/>
        <v>129000</v>
      </c>
      <c r="AB38" s="8">
        <f t="shared" si="7"/>
        <v>87</v>
      </c>
      <c r="AC38" s="97">
        <v>20</v>
      </c>
      <c r="AD38" s="8">
        <f t="shared" si="8"/>
        <v>87</v>
      </c>
      <c r="AE38" s="8">
        <f t="shared" si="9"/>
        <v>87</v>
      </c>
      <c r="AF38" s="97">
        <v>4</v>
      </c>
      <c r="AG38" s="97">
        <v>4</v>
      </c>
      <c r="AH38" s="8">
        <f t="shared" si="10"/>
        <v>87</v>
      </c>
      <c r="AI38" s="97">
        <v>8.0000000000000107</v>
      </c>
      <c r="AJ38" s="8">
        <f t="shared" si="11"/>
        <v>3500</v>
      </c>
      <c r="AK38" s="8">
        <f t="shared" si="12"/>
        <v>14000</v>
      </c>
      <c r="AL38" s="97">
        <v>4</v>
      </c>
      <c r="AM38" s="97">
        <v>4</v>
      </c>
      <c r="AN38" s="97">
        <v>160</v>
      </c>
    </row>
    <row r="39" spans="1:40" ht="16.5" x14ac:dyDescent="0.3">
      <c r="A39" s="22" t="s">
        <v>2399</v>
      </c>
      <c r="B39" s="23" t="s">
        <v>2440</v>
      </c>
      <c r="C39" s="22">
        <v>35</v>
      </c>
      <c r="D39" s="98">
        <v>11</v>
      </c>
      <c r="E39" s="101">
        <v>36</v>
      </c>
      <c r="F39" s="98">
        <v>11</v>
      </c>
      <c r="G39" s="101">
        <v>36</v>
      </c>
      <c r="H39" s="98">
        <v>11</v>
      </c>
      <c r="I39" s="101">
        <v>36</v>
      </c>
      <c r="J39" s="101"/>
      <c r="K39" s="101"/>
      <c r="L39" s="101"/>
      <c r="M39" s="101"/>
      <c r="N39" s="69" t="s">
        <v>2436</v>
      </c>
      <c r="O39" s="100" t="str">
        <f t="shared" si="14"/>
        <v>龙晶碎片129/元宝129000</v>
      </c>
      <c r="P39" s="97">
        <v>36</v>
      </c>
      <c r="Q39" s="158"/>
      <c r="R39" s="158">
        <f t="shared" si="0"/>
        <v>3600</v>
      </c>
      <c r="S39" s="158">
        <f t="shared" si="1"/>
        <v>14400</v>
      </c>
      <c r="T39" s="158">
        <f t="shared" si="2"/>
        <v>180</v>
      </c>
      <c r="U39" s="158">
        <f t="shared" si="3"/>
        <v>180</v>
      </c>
      <c r="V39" s="158">
        <f>R39*属性价值参考!C$5+附件合成!S39*属性价值参考!C$6+附件合成!T39*(属性价值参考!C$7+属性价值参考!C$8)+附件合成!U39*(属性价值参考!C$9+属性价值参考!C$10)</f>
        <v>54993.599999999999</v>
      </c>
      <c r="W39" s="158">
        <f>AC39*属性价值参考!C$26+附件合成!AF39*属性价值参考!C$24+附件合成!AG39*属性价值参考!C$26+附件合成!AI39*(属性价值参考!C$28+属性价值参考!C$29)+附件合成!AL39*属性价值参考!C$26+附件合成!AM39*属性价值参考!C$27+AN39*(属性价值参考!C$37+属性价值参考!C$38)</f>
        <v>9859.2000000000007</v>
      </c>
      <c r="X39" s="158">
        <f t="shared" si="4"/>
        <v>4053.3</v>
      </c>
      <c r="Y39" s="158">
        <f t="shared" si="5"/>
        <v>4053300</v>
      </c>
      <c r="Z39" s="158">
        <f>ROUND(1/4*SUM(材料产出!$AB$13:$AB$15),0)</f>
        <v>129</v>
      </c>
      <c r="AA39" s="158">
        <f t="shared" si="16"/>
        <v>129000</v>
      </c>
      <c r="AB39" s="8">
        <f t="shared" si="7"/>
        <v>90</v>
      </c>
      <c r="AC39" s="97">
        <v>20</v>
      </c>
      <c r="AD39" s="8">
        <f t="shared" si="8"/>
        <v>90</v>
      </c>
      <c r="AE39" s="8">
        <f t="shared" si="9"/>
        <v>90</v>
      </c>
      <c r="AF39" s="97">
        <v>4</v>
      </c>
      <c r="AG39" s="97">
        <v>4</v>
      </c>
      <c r="AH39" s="8">
        <f t="shared" si="10"/>
        <v>90</v>
      </c>
      <c r="AI39" s="97">
        <v>8.0000000000000107</v>
      </c>
      <c r="AJ39" s="8">
        <f t="shared" si="11"/>
        <v>3600</v>
      </c>
      <c r="AK39" s="8">
        <f t="shared" si="12"/>
        <v>14400</v>
      </c>
      <c r="AL39" s="97">
        <v>4</v>
      </c>
      <c r="AM39" s="97">
        <v>4</v>
      </c>
      <c r="AN39" s="97">
        <v>160</v>
      </c>
    </row>
    <row r="40" spans="1:40" ht="16.5" x14ac:dyDescent="0.3">
      <c r="A40" s="22" t="s">
        <v>2399</v>
      </c>
      <c r="B40" s="23" t="s">
        <v>2441</v>
      </c>
      <c r="C40" s="22">
        <v>36</v>
      </c>
      <c r="D40" s="98">
        <v>11</v>
      </c>
      <c r="E40" s="101">
        <v>37</v>
      </c>
      <c r="F40" s="98">
        <v>11</v>
      </c>
      <c r="G40" s="101">
        <v>37</v>
      </c>
      <c r="H40" s="98">
        <v>11</v>
      </c>
      <c r="I40" s="101">
        <v>37</v>
      </c>
      <c r="J40" s="101"/>
      <c r="K40" s="101"/>
      <c r="L40" s="101"/>
      <c r="M40" s="101"/>
      <c r="N40" s="69" t="s">
        <v>2436</v>
      </c>
      <c r="O40" s="100" t="str">
        <f t="shared" si="14"/>
        <v>龙晶碎片129/元宝129000</v>
      </c>
      <c r="P40" s="97">
        <v>37</v>
      </c>
      <c r="Q40" s="158"/>
      <c r="R40" s="158">
        <f t="shared" si="0"/>
        <v>3700</v>
      </c>
      <c r="S40" s="158">
        <f t="shared" si="1"/>
        <v>14800</v>
      </c>
      <c r="T40" s="158">
        <f t="shared" si="2"/>
        <v>185</v>
      </c>
      <c r="U40" s="158">
        <f t="shared" si="3"/>
        <v>185</v>
      </c>
      <c r="V40" s="158">
        <f>R40*属性价值参考!C$5+附件合成!S40*属性价值参考!C$6+附件合成!T40*(属性价值参考!C$7+属性价值参考!C$8)+附件合成!U40*(属性价值参考!C$9+属性价值参考!C$10)</f>
        <v>56521.2</v>
      </c>
      <c r="W40" s="158">
        <f>AC40*属性价值参考!C$26+附件合成!AF40*属性价值参考!C$24+附件合成!AG40*属性价值参考!C$26+附件合成!AI40*(属性价值参考!C$28+属性价值参考!C$29)+附件合成!AL40*属性价值参考!C$26+附件合成!AM40*属性价值参考!C$27+AN40*(属性价值参考!C$37+属性价值参考!C$38)</f>
        <v>9859.2000000000007</v>
      </c>
      <c r="X40" s="158">
        <f t="shared" si="4"/>
        <v>4148.7749999999996</v>
      </c>
      <c r="Y40" s="158">
        <f t="shared" si="5"/>
        <v>4148774.9999999995</v>
      </c>
      <c r="Z40" s="158">
        <f>ROUND(1/4*SUM(材料产出!$AB$13:$AB$15),0)</f>
        <v>129</v>
      </c>
      <c r="AA40" s="158">
        <f t="shared" si="16"/>
        <v>129000</v>
      </c>
      <c r="AB40" s="8">
        <f t="shared" si="7"/>
        <v>92</v>
      </c>
      <c r="AC40" s="97">
        <v>20</v>
      </c>
      <c r="AD40" s="8">
        <f t="shared" si="8"/>
        <v>92</v>
      </c>
      <c r="AE40" s="8">
        <f t="shared" si="9"/>
        <v>92</v>
      </c>
      <c r="AF40" s="97">
        <v>4</v>
      </c>
      <c r="AG40" s="97">
        <v>4</v>
      </c>
      <c r="AH40" s="8">
        <f t="shared" si="10"/>
        <v>92</v>
      </c>
      <c r="AI40" s="97">
        <v>8.0000000000000107</v>
      </c>
      <c r="AJ40" s="8">
        <f t="shared" si="11"/>
        <v>3700</v>
      </c>
      <c r="AK40" s="8">
        <f t="shared" si="12"/>
        <v>14800</v>
      </c>
      <c r="AL40" s="97">
        <v>4</v>
      </c>
      <c r="AM40" s="97">
        <v>4</v>
      </c>
      <c r="AN40" s="97">
        <v>160</v>
      </c>
    </row>
    <row r="41" spans="1:40" ht="16.5" x14ac:dyDescent="0.3">
      <c r="A41" s="22" t="s">
        <v>2399</v>
      </c>
      <c r="B41" s="23" t="s">
        <v>2442</v>
      </c>
      <c r="C41" s="22">
        <v>37</v>
      </c>
      <c r="D41" s="98">
        <v>11</v>
      </c>
      <c r="E41" s="101">
        <v>38</v>
      </c>
      <c r="F41" s="98">
        <v>11</v>
      </c>
      <c r="G41" s="101">
        <v>38</v>
      </c>
      <c r="H41" s="98">
        <v>11</v>
      </c>
      <c r="I41" s="101">
        <v>38</v>
      </c>
      <c r="J41" s="101"/>
      <c r="K41" s="101"/>
      <c r="L41" s="101"/>
      <c r="M41" s="101"/>
      <c r="N41" s="69" t="s">
        <v>2436</v>
      </c>
      <c r="O41" s="100" t="str">
        <f t="shared" si="14"/>
        <v>龙晶碎片129/元宝129000</v>
      </c>
      <c r="P41" s="97">
        <v>38</v>
      </c>
      <c r="Q41" s="158"/>
      <c r="R41" s="158">
        <f t="shared" si="0"/>
        <v>3800</v>
      </c>
      <c r="S41" s="158">
        <f t="shared" si="1"/>
        <v>15200</v>
      </c>
      <c r="T41" s="158">
        <f t="shared" si="2"/>
        <v>190</v>
      </c>
      <c r="U41" s="158">
        <f t="shared" si="3"/>
        <v>190</v>
      </c>
      <c r="V41" s="158">
        <f>R41*属性价值参考!C$5+附件合成!S41*属性价值参考!C$6+附件合成!T41*(属性价值参考!C$7+属性价值参考!C$8)+附件合成!U41*(属性价值参考!C$9+属性价值参考!C$10)</f>
        <v>58048.800000000003</v>
      </c>
      <c r="W41" s="158">
        <f>AC41*属性价值参考!C$26+附件合成!AF41*属性价值参考!C$24+附件合成!AG41*属性价值参考!C$26+附件合成!AI41*(属性价值参考!C$28+属性价值参考!C$29)+附件合成!AL41*属性价值参考!C$26+附件合成!AM41*属性价值参考!C$27+AN41*(属性价值参考!C$37+属性价值参考!C$38)</f>
        <v>9859.2000000000007</v>
      </c>
      <c r="X41" s="158">
        <f t="shared" si="4"/>
        <v>4244.25</v>
      </c>
      <c r="Y41" s="158">
        <f t="shared" si="5"/>
        <v>4244250</v>
      </c>
      <c r="Z41" s="158">
        <f>ROUND(1/4*SUM(材料产出!$AB$13:$AB$15),0)</f>
        <v>129</v>
      </c>
      <c r="AA41" s="158">
        <f t="shared" si="16"/>
        <v>129000</v>
      </c>
      <c r="AB41" s="8">
        <f t="shared" si="7"/>
        <v>95</v>
      </c>
      <c r="AC41" s="97">
        <v>20</v>
      </c>
      <c r="AD41" s="8">
        <f t="shared" si="8"/>
        <v>95</v>
      </c>
      <c r="AE41" s="8">
        <f t="shared" si="9"/>
        <v>95</v>
      </c>
      <c r="AF41" s="97">
        <v>4</v>
      </c>
      <c r="AG41" s="97">
        <v>4</v>
      </c>
      <c r="AH41" s="8">
        <f t="shared" si="10"/>
        <v>95</v>
      </c>
      <c r="AI41" s="97">
        <v>8.0000000000000107</v>
      </c>
      <c r="AJ41" s="8">
        <f t="shared" si="11"/>
        <v>3800</v>
      </c>
      <c r="AK41" s="8">
        <f t="shared" si="12"/>
        <v>15200</v>
      </c>
      <c r="AL41" s="97">
        <v>4</v>
      </c>
      <c r="AM41" s="97">
        <v>4</v>
      </c>
      <c r="AN41" s="97">
        <v>160</v>
      </c>
    </row>
    <row r="42" spans="1:40" ht="16.5" x14ac:dyDescent="0.3">
      <c r="A42" s="22" t="s">
        <v>2399</v>
      </c>
      <c r="B42" s="23" t="s">
        <v>2443</v>
      </c>
      <c r="C42" s="22">
        <v>38</v>
      </c>
      <c r="D42" s="98">
        <v>12</v>
      </c>
      <c r="E42" s="101">
        <v>39</v>
      </c>
      <c r="F42" s="98">
        <v>12</v>
      </c>
      <c r="G42" s="101">
        <v>39</v>
      </c>
      <c r="H42" s="98">
        <v>12</v>
      </c>
      <c r="I42" s="101">
        <v>39</v>
      </c>
      <c r="J42" s="101"/>
      <c r="K42" s="101"/>
      <c r="L42" s="101"/>
      <c r="M42" s="101"/>
      <c r="N42" s="69" t="s">
        <v>2436</v>
      </c>
      <c r="O42" s="100" t="str">
        <f t="shared" si="14"/>
        <v>龙晶碎片129/元宝129000</v>
      </c>
      <c r="P42" s="97">
        <v>39</v>
      </c>
      <c r="Q42" s="158"/>
      <c r="R42" s="158">
        <f t="shared" si="0"/>
        <v>3900</v>
      </c>
      <c r="S42" s="158">
        <f t="shared" si="1"/>
        <v>15600</v>
      </c>
      <c r="T42" s="158">
        <f t="shared" si="2"/>
        <v>195</v>
      </c>
      <c r="U42" s="158">
        <f t="shared" si="3"/>
        <v>195</v>
      </c>
      <c r="V42" s="158">
        <f>R42*属性价值参考!C$5+附件合成!S42*属性价值参考!C$6+附件合成!T42*(属性价值参考!C$7+属性价值参考!C$8)+附件合成!U42*(属性价值参考!C$9+属性价值参考!C$10)</f>
        <v>59576.399999999994</v>
      </c>
      <c r="W42" s="158">
        <f>AC42*属性价值参考!C$26+附件合成!AF42*属性价值参考!C$24+附件合成!AG42*属性价值参考!C$26+附件合成!AI42*(属性价值参考!C$28+属性价值参考!C$29)+附件合成!AL42*属性价值参考!C$26+附件合成!AM42*属性价值参考!C$27+AN42*(属性价值参考!C$37+属性价值参考!C$38)</f>
        <v>9859.2000000000007</v>
      </c>
      <c r="X42" s="158">
        <f t="shared" si="4"/>
        <v>4339.7249999999995</v>
      </c>
      <c r="Y42" s="158">
        <f t="shared" si="5"/>
        <v>4339724.9999999991</v>
      </c>
      <c r="Z42" s="158">
        <f>ROUND(1/4*SUM(材料产出!$AB$13:$AB$15),0)</f>
        <v>129</v>
      </c>
      <c r="AA42" s="158">
        <f t="shared" si="16"/>
        <v>129000</v>
      </c>
      <c r="AB42" s="8">
        <f t="shared" si="7"/>
        <v>97</v>
      </c>
      <c r="AC42" s="97">
        <v>20</v>
      </c>
      <c r="AD42" s="8">
        <f t="shared" si="8"/>
        <v>97</v>
      </c>
      <c r="AE42" s="8">
        <f t="shared" si="9"/>
        <v>97</v>
      </c>
      <c r="AF42" s="97">
        <v>4</v>
      </c>
      <c r="AG42" s="97">
        <v>4</v>
      </c>
      <c r="AH42" s="8">
        <f t="shared" si="10"/>
        <v>97</v>
      </c>
      <c r="AI42" s="97">
        <v>8.0000000000000107</v>
      </c>
      <c r="AJ42" s="8">
        <f t="shared" si="11"/>
        <v>3900</v>
      </c>
      <c r="AK42" s="8">
        <f t="shared" si="12"/>
        <v>15600</v>
      </c>
      <c r="AL42" s="97">
        <v>4</v>
      </c>
      <c r="AM42" s="97">
        <v>4</v>
      </c>
      <c r="AN42" s="97">
        <v>160</v>
      </c>
    </row>
    <row r="43" spans="1:40" ht="16.5" x14ac:dyDescent="0.3">
      <c r="A43" s="22" t="s">
        <v>2399</v>
      </c>
      <c r="B43" s="23" t="s">
        <v>2444</v>
      </c>
      <c r="C43" s="22">
        <v>39</v>
      </c>
      <c r="D43" s="98">
        <v>12</v>
      </c>
      <c r="E43" s="101">
        <v>40</v>
      </c>
      <c r="F43" s="98">
        <v>12</v>
      </c>
      <c r="G43" s="101">
        <v>40</v>
      </c>
      <c r="H43" s="98">
        <v>12</v>
      </c>
      <c r="I43" s="101">
        <v>40</v>
      </c>
      <c r="J43" s="101"/>
      <c r="K43" s="101"/>
      <c r="L43" s="101"/>
      <c r="M43" s="101"/>
      <c r="N43" s="69" t="s">
        <v>2436</v>
      </c>
      <c r="O43" s="100" t="str">
        <f t="shared" si="14"/>
        <v>龙晶碎片129/元宝129000</v>
      </c>
      <c r="P43" s="97">
        <v>40</v>
      </c>
      <c r="Q43" s="206">
        <f>材料产出!C13</f>
        <v>1.5</v>
      </c>
      <c r="R43" s="158">
        <f t="shared" si="0"/>
        <v>4000</v>
      </c>
      <c r="S43" s="158">
        <f t="shared" si="1"/>
        <v>16000</v>
      </c>
      <c r="T43" s="158">
        <f t="shared" si="2"/>
        <v>200</v>
      </c>
      <c r="U43" s="158">
        <f t="shared" si="3"/>
        <v>200</v>
      </c>
      <c r="V43" s="158">
        <f>R43*属性价值参考!C$5+附件合成!S43*属性价值参考!C$6+附件合成!T43*(属性价值参考!C$7+属性价值参考!C$8)+附件合成!U43*(属性价值参考!C$9+属性价值参考!C$10)</f>
        <v>61104</v>
      </c>
      <c r="W43" s="158">
        <f>AC43*属性价值参考!C$26+附件合成!AF43*属性价值参考!C$24+附件合成!AG43*属性价值参考!C$26+附件合成!AI43*(属性价值参考!C$28+属性价值参考!C$29)+附件合成!AL43*属性价值参考!C$26+附件合成!AM43*属性价值参考!C$27+AN43*(属性价值参考!C$37+属性价值参考!C$38)</f>
        <v>9859.2000000000007</v>
      </c>
      <c r="X43" s="158">
        <f t="shared" si="4"/>
        <v>4435.2</v>
      </c>
      <c r="Y43" s="158">
        <f t="shared" si="5"/>
        <v>4435200</v>
      </c>
      <c r="Z43" s="158">
        <f>ROUND(1/4*SUM(材料产出!$AB$13:$AB$15),0)</f>
        <v>129</v>
      </c>
      <c r="AA43" s="158">
        <f t="shared" si="16"/>
        <v>129000</v>
      </c>
      <c r="AB43" s="8">
        <f t="shared" si="7"/>
        <v>100</v>
      </c>
      <c r="AC43" s="97">
        <v>20</v>
      </c>
      <c r="AD43" s="8">
        <f t="shared" si="8"/>
        <v>100</v>
      </c>
      <c r="AE43" s="8">
        <f t="shared" si="9"/>
        <v>100</v>
      </c>
      <c r="AF43" s="97">
        <v>4</v>
      </c>
      <c r="AG43" s="97">
        <v>4</v>
      </c>
      <c r="AH43" s="8">
        <f t="shared" si="10"/>
        <v>100</v>
      </c>
      <c r="AI43" s="97">
        <v>8.0000000000000107</v>
      </c>
      <c r="AJ43" s="8">
        <f t="shared" si="11"/>
        <v>4000</v>
      </c>
      <c r="AK43" s="8">
        <f t="shared" si="12"/>
        <v>16000</v>
      </c>
      <c r="AL43" s="97">
        <v>4</v>
      </c>
      <c r="AM43" s="97">
        <v>4</v>
      </c>
      <c r="AN43" s="97">
        <v>160</v>
      </c>
    </row>
    <row r="44" spans="1:40" ht="16.5" x14ac:dyDescent="0.3">
      <c r="A44" s="22" t="s">
        <v>2399</v>
      </c>
      <c r="B44" s="23" t="s">
        <v>2445</v>
      </c>
      <c r="C44" s="22">
        <v>40</v>
      </c>
      <c r="D44" s="98">
        <v>12</v>
      </c>
      <c r="E44" s="101">
        <v>41</v>
      </c>
      <c r="F44" s="98">
        <v>12</v>
      </c>
      <c r="G44" s="101">
        <v>41</v>
      </c>
      <c r="H44" s="98">
        <v>12</v>
      </c>
      <c r="I44" s="101">
        <v>41</v>
      </c>
      <c r="J44" s="101"/>
      <c r="K44" s="101"/>
      <c r="L44" s="101"/>
      <c r="M44" s="101"/>
      <c r="N44" s="69" t="s">
        <v>2436</v>
      </c>
      <c r="O44" s="100" t="str">
        <f t="shared" si="14"/>
        <v>龙晶碎片384/元宝384000</v>
      </c>
      <c r="P44" s="191">
        <v>41</v>
      </c>
      <c r="Q44" s="207"/>
      <c r="R44" s="158">
        <f t="shared" si="0"/>
        <v>4100</v>
      </c>
      <c r="S44" s="158">
        <f t="shared" si="1"/>
        <v>16400</v>
      </c>
      <c r="T44" s="158">
        <f t="shared" si="2"/>
        <v>205</v>
      </c>
      <c r="U44" s="158">
        <f t="shared" si="3"/>
        <v>205</v>
      </c>
      <c r="V44" s="158">
        <f>R44*属性价值参考!C$5+附件合成!S44*属性价值参考!C$6+附件合成!T44*(属性价值参考!C$7+属性价值参考!C$8)+附件合成!U44*(属性价值参考!C$9+属性价值参考!C$10)</f>
        <v>62631.6</v>
      </c>
      <c r="W44" s="158">
        <f>AC44*属性价值参考!C$26+附件合成!AF44*属性价值参考!C$24+附件合成!AG44*属性价值参考!C$26+附件合成!AI44*(属性价值参考!C$28+属性价值参考!C$29)+附件合成!AL44*属性价值参考!C$26+附件合成!AM44*属性价值参考!C$27+AN44*(属性价值参考!C$37+属性价值参考!C$38)</f>
        <v>14922</v>
      </c>
      <c r="X44" s="158">
        <f t="shared" si="4"/>
        <v>4847.1000000000004</v>
      </c>
      <c r="Y44" s="158">
        <f t="shared" si="5"/>
        <v>4847100</v>
      </c>
      <c r="Z44" s="158">
        <f>ROUND(1/4*SUM(材料产出!$AB$16:$AB$18),0)</f>
        <v>384</v>
      </c>
      <c r="AA44" s="158">
        <f t="shared" si="16"/>
        <v>384000</v>
      </c>
      <c r="AB44" s="104">
        <f t="shared" si="7"/>
        <v>102</v>
      </c>
      <c r="AC44" s="105">
        <v>20</v>
      </c>
      <c r="AD44" s="104">
        <f t="shared" si="8"/>
        <v>102</v>
      </c>
      <c r="AE44" s="104">
        <f t="shared" si="9"/>
        <v>102</v>
      </c>
      <c r="AF44" s="105">
        <v>5</v>
      </c>
      <c r="AG44" s="105">
        <v>5</v>
      </c>
      <c r="AH44" s="104">
        <f t="shared" si="10"/>
        <v>102</v>
      </c>
      <c r="AI44" s="105">
        <v>10</v>
      </c>
      <c r="AJ44" s="104">
        <f t="shared" si="11"/>
        <v>4100</v>
      </c>
      <c r="AK44" s="104">
        <f t="shared" si="12"/>
        <v>16400</v>
      </c>
      <c r="AL44" s="105">
        <v>5</v>
      </c>
      <c r="AM44" s="105">
        <v>5</v>
      </c>
      <c r="AN44" s="105">
        <v>300</v>
      </c>
    </row>
    <row r="45" spans="1:40" ht="16.5" x14ac:dyDescent="0.3">
      <c r="A45" s="22" t="s">
        <v>2399</v>
      </c>
      <c r="B45" s="23" t="s">
        <v>2446</v>
      </c>
      <c r="C45" s="22">
        <v>41</v>
      </c>
      <c r="D45" s="98">
        <v>13</v>
      </c>
      <c r="E45" s="101">
        <v>41</v>
      </c>
      <c r="F45" s="98">
        <v>13</v>
      </c>
      <c r="G45" s="101">
        <v>41</v>
      </c>
      <c r="H45" s="98">
        <v>13</v>
      </c>
      <c r="I45" s="101">
        <v>41</v>
      </c>
      <c r="J45" s="101"/>
      <c r="K45" s="101"/>
      <c r="L45" s="101"/>
      <c r="M45" s="101"/>
      <c r="N45" s="69" t="s">
        <v>2447</v>
      </c>
      <c r="O45" s="100" t="str">
        <f t="shared" si="14"/>
        <v>龙晶碎片384/元宝384000</v>
      </c>
      <c r="P45" s="97">
        <v>42</v>
      </c>
      <c r="Q45" s="158"/>
      <c r="R45" s="158">
        <f t="shared" si="0"/>
        <v>4200</v>
      </c>
      <c r="S45" s="158">
        <f t="shared" si="1"/>
        <v>16800</v>
      </c>
      <c r="T45" s="158">
        <f t="shared" si="2"/>
        <v>210</v>
      </c>
      <c r="U45" s="158">
        <f t="shared" si="3"/>
        <v>210</v>
      </c>
      <c r="V45" s="158">
        <f>R45*属性价值参考!C$5+附件合成!S45*属性价值参考!C$6+附件合成!T45*(属性价值参考!C$7+属性价值参考!C$8)+附件合成!U45*(属性价值参考!C$9+属性价值参考!C$10)</f>
        <v>64159.199999999997</v>
      </c>
      <c r="W45" s="158">
        <f>AC45*属性价值参考!C$26+附件合成!AF45*属性价值参考!C$24+附件合成!AG45*属性价值参考!C$26+附件合成!AI45*(属性价值参考!C$28+属性价值参考!C$29)+附件合成!AL45*属性价值参考!C$26+附件合成!AM45*属性价值参考!C$27+AN45*(属性价值参考!C$37+属性价值参考!C$38)</f>
        <v>15246</v>
      </c>
      <c r="X45" s="158">
        <f t="shared" si="4"/>
        <v>4962.8249999999998</v>
      </c>
      <c r="Y45" s="158">
        <f t="shared" si="5"/>
        <v>4962825</v>
      </c>
      <c r="Z45" s="158">
        <f>ROUND(1/4*SUM(材料产出!$AB$16:$AB$18),0)</f>
        <v>384</v>
      </c>
      <c r="AA45" s="158">
        <f t="shared" si="16"/>
        <v>384000</v>
      </c>
      <c r="AB45" s="8">
        <f t="shared" si="7"/>
        <v>105</v>
      </c>
      <c r="AC45" s="97">
        <v>25</v>
      </c>
      <c r="AD45" s="8">
        <f t="shared" si="8"/>
        <v>105</v>
      </c>
      <c r="AE45" s="8">
        <f t="shared" si="9"/>
        <v>105</v>
      </c>
      <c r="AF45" s="97">
        <v>5</v>
      </c>
      <c r="AG45" s="97">
        <v>5</v>
      </c>
      <c r="AH45" s="8">
        <f t="shared" si="10"/>
        <v>105</v>
      </c>
      <c r="AI45" s="97">
        <v>10</v>
      </c>
      <c r="AJ45" s="8">
        <f t="shared" si="11"/>
        <v>4200</v>
      </c>
      <c r="AK45" s="8">
        <f t="shared" si="12"/>
        <v>16800</v>
      </c>
      <c r="AL45" s="97">
        <v>5</v>
      </c>
      <c r="AM45" s="97">
        <v>5</v>
      </c>
      <c r="AN45" s="97">
        <v>300</v>
      </c>
    </row>
    <row r="46" spans="1:40" ht="16.5" x14ac:dyDescent="0.3">
      <c r="A46" s="22" t="s">
        <v>2399</v>
      </c>
      <c r="B46" s="23" t="s">
        <v>2448</v>
      </c>
      <c r="C46" s="22">
        <v>42</v>
      </c>
      <c r="D46" s="98">
        <v>13</v>
      </c>
      <c r="E46" s="101">
        <v>43</v>
      </c>
      <c r="F46" s="98">
        <v>13</v>
      </c>
      <c r="G46" s="101">
        <v>43</v>
      </c>
      <c r="H46" s="98">
        <v>13</v>
      </c>
      <c r="I46" s="101">
        <v>43</v>
      </c>
      <c r="J46" s="101"/>
      <c r="K46" s="101"/>
      <c r="L46" s="101"/>
      <c r="M46" s="101"/>
      <c r="N46" s="69" t="s">
        <v>2447</v>
      </c>
      <c r="O46" s="100" t="str">
        <f t="shared" si="14"/>
        <v>龙晶碎片384/元宝384000</v>
      </c>
      <c r="P46" s="97">
        <v>43</v>
      </c>
      <c r="Q46" s="158"/>
      <c r="R46" s="158">
        <f t="shared" si="0"/>
        <v>4300</v>
      </c>
      <c r="S46" s="158">
        <f t="shared" si="1"/>
        <v>17200</v>
      </c>
      <c r="T46" s="158">
        <f t="shared" si="2"/>
        <v>215</v>
      </c>
      <c r="U46" s="158">
        <f t="shared" si="3"/>
        <v>215</v>
      </c>
      <c r="V46" s="158">
        <f>R46*属性价值参考!C$5+附件合成!S46*属性价值参考!C$6+附件合成!T46*(属性价值参考!C$7+属性价值参考!C$8)+附件合成!U46*(属性价值参考!C$9+属性价值参考!C$10)</f>
        <v>65686.8</v>
      </c>
      <c r="W46" s="158">
        <f>AC46*属性价值参考!C$26+附件合成!AF46*属性价值参考!C$24+附件合成!AG46*属性价值参考!C$26+附件合成!AI46*(属性价值参考!C$28+属性价值参考!C$29)+附件合成!AL46*属性价值参考!C$26+附件合成!AM46*属性价值参考!C$27+AN46*(属性价值参考!C$37+属性价值参考!C$38)</f>
        <v>15246</v>
      </c>
      <c r="X46" s="158">
        <f t="shared" si="4"/>
        <v>5058.3</v>
      </c>
      <c r="Y46" s="158">
        <f t="shared" si="5"/>
        <v>5058300</v>
      </c>
      <c r="Z46" s="158">
        <f>ROUND(1/4*SUM(材料产出!$AB$16:$AB$18),0)</f>
        <v>384</v>
      </c>
      <c r="AA46" s="158">
        <f t="shared" si="16"/>
        <v>384000</v>
      </c>
      <c r="AB46" s="8">
        <f t="shared" si="7"/>
        <v>107</v>
      </c>
      <c r="AC46" s="97">
        <v>25</v>
      </c>
      <c r="AD46" s="8">
        <f t="shared" si="8"/>
        <v>107</v>
      </c>
      <c r="AE46" s="8">
        <f t="shared" si="9"/>
        <v>107</v>
      </c>
      <c r="AF46" s="97">
        <v>5</v>
      </c>
      <c r="AG46" s="97">
        <v>5</v>
      </c>
      <c r="AH46" s="8">
        <f t="shared" si="10"/>
        <v>107</v>
      </c>
      <c r="AI46" s="97">
        <v>10</v>
      </c>
      <c r="AJ46" s="8">
        <f t="shared" si="11"/>
        <v>4300</v>
      </c>
      <c r="AK46" s="8">
        <f t="shared" si="12"/>
        <v>17200</v>
      </c>
      <c r="AL46" s="97">
        <v>5</v>
      </c>
      <c r="AM46" s="97">
        <v>5</v>
      </c>
      <c r="AN46" s="97">
        <v>300</v>
      </c>
    </row>
    <row r="47" spans="1:40" ht="16.5" x14ac:dyDescent="0.3">
      <c r="A47" s="22" t="s">
        <v>2399</v>
      </c>
      <c r="B47" s="23" t="s">
        <v>2449</v>
      </c>
      <c r="C47" s="22">
        <v>43</v>
      </c>
      <c r="D47" s="98">
        <v>13</v>
      </c>
      <c r="E47" s="101">
        <v>44</v>
      </c>
      <c r="F47" s="98">
        <v>13</v>
      </c>
      <c r="G47" s="101">
        <v>44</v>
      </c>
      <c r="H47" s="98">
        <v>13</v>
      </c>
      <c r="I47" s="101">
        <v>44</v>
      </c>
      <c r="J47" s="101"/>
      <c r="K47" s="101"/>
      <c r="L47" s="101"/>
      <c r="M47" s="101"/>
      <c r="N47" s="69" t="s">
        <v>2447</v>
      </c>
      <c r="O47" s="100" t="str">
        <f t="shared" si="14"/>
        <v>龙晶碎片384/元宝384000</v>
      </c>
      <c r="P47" s="97">
        <v>44</v>
      </c>
      <c r="Q47" s="158"/>
      <c r="R47" s="158">
        <f t="shared" si="0"/>
        <v>4400</v>
      </c>
      <c r="S47" s="158">
        <f t="shared" si="1"/>
        <v>17600</v>
      </c>
      <c r="T47" s="158">
        <f t="shared" si="2"/>
        <v>220</v>
      </c>
      <c r="U47" s="158">
        <f t="shared" si="3"/>
        <v>220</v>
      </c>
      <c r="V47" s="158">
        <f>R47*属性价值参考!C$5+附件合成!S47*属性价值参考!C$6+附件合成!T47*(属性价值参考!C$7+属性价值参考!C$8)+附件合成!U47*(属性价值参考!C$9+属性价值参考!C$10)</f>
        <v>67214.399999999994</v>
      </c>
      <c r="W47" s="158">
        <f>AC47*属性价值参考!C$26+附件合成!AF47*属性价值参考!C$24+附件合成!AG47*属性价值参考!C$26+附件合成!AI47*(属性价值参考!C$28+属性价值参考!C$29)+附件合成!AL47*属性价值参考!C$26+附件合成!AM47*属性价值参考!C$27+AN47*(属性价值参考!C$37+属性价值参考!C$38)</f>
        <v>15246</v>
      </c>
      <c r="X47" s="158">
        <f t="shared" si="4"/>
        <v>5153.7749999999996</v>
      </c>
      <c r="Y47" s="158">
        <f t="shared" si="5"/>
        <v>5153775</v>
      </c>
      <c r="Z47" s="158">
        <f>ROUND(1/4*SUM(材料产出!$AB$16:$AB$18),0)</f>
        <v>384</v>
      </c>
      <c r="AA47" s="158">
        <f t="shared" si="16"/>
        <v>384000</v>
      </c>
      <c r="AB47" s="8">
        <f t="shared" si="7"/>
        <v>110</v>
      </c>
      <c r="AC47" s="97">
        <v>25</v>
      </c>
      <c r="AD47" s="8">
        <f t="shared" si="8"/>
        <v>110</v>
      </c>
      <c r="AE47" s="8">
        <f t="shared" si="9"/>
        <v>110</v>
      </c>
      <c r="AF47" s="97">
        <v>5</v>
      </c>
      <c r="AG47" s="97">
        <v>5</v>
      </c>
      <c r="AH47" s="8">
        <f t="shared" si="10"/>
        <v>110</v>
      </c>
      <c r="AI47" s="97">
        <v>10</v>
      </c>
      <c r="AJ47" s="8">
        <f t="shared" si="11"/>
        <v>4400</v>
      </c>
      <c r="AK47" s="8">
        <f t="shared" si="12"/>
        <v>17600</v>
      </c>
      <c r="AL47" s="97">
        <v>5</v>
      </c>
      <c r="AM47" s="97">
        <v>5</v>
      </c>
      <c r="AN47" s="97">
        <v>300</v>
      </c>
    </row>
    <row r="48" spans="1:40" ht="16.5" x14ac:dyDescent="0.3">
      <c r="A48" s="22" t="s">
        <v>2399</v>
      </c>
      <c r="B48" s="23" t="s">
        <v>2450</v>
      </c>
      <c r="C48" s="22">
        <v>44</v>
      </c>
      <c r="D48" s="98">
        <v>13</v>
      </c>
      <c r="E48" s="101">
        <v>45</v>
      </c>
      <c r="F48" s="98">
        <v>13</v>
      </c>
      <c r="G48" s="101">
        <v>45</v>
      </c>
      <c r="H48" s="98">
        <v>13</v>
      </c>
      <c r="I48" s="101">
        <v>45</v>
      </c>
      <c r="J48" s="101"/>
      <c r="K48" s="101"/>
      <c r="L48" s="101"/>
      <c r="M48" s="101"/>
      <c r="N48" s="69" t="s">
        <v>2447</v>
      </c>
      <c r="O48" s="100" t="str">
        <f t="shared" si="14"/>
        <v>龙晶碎片384/元宝384000</v>
      </c>
      <c r="P48" s="97">
        <v>45</v>
      </c>
      <c r="Q48" s="158"/>
      <c r="R48" s="158">
        <f t="shared" si="0"/>
        <v>4500</v>
      </c>
      <c r="S48" s="158">
        <f t="shared" si="1"/>
        <v>18000</v>
      </c>
      <c r="T48" s="158">
        <f t="shared" si="2"/>
        <v>225</v>
      </c>
      <c r="U48" s="158">
        <f t="shared" si="3"/>
        <v>225</v>
      </c>
      <c r="V48" s="158">
        <f>R48*属性价值参考!C$5+附件合成!S48*属性价值参考!C$6+附件合成!T48*(属性价值参考!C$7+属性价值参考!C$8)+附件合成!U48*(属性价值参考!C$9+属性价值参考!C$10)</f>
        <v>68742</v>
      </c>
      <c r="W48" s="158">
        <f>AC48*属性价值参考!C$26+附件合成!AF48*属性价值参考!C$24+附件合成!AG48*属性价值参考!C$26+附件合成!AI48*(属性价值参考!C$28+属性价值参考!C$29)+附件合成!AL48*属性价值参考!C$26+附件合成!AM48*属性价值参考!C$27+AN48*(属性价值参考!C$37+属性价值参考!C$38)</f>
        <v>15246</v>
      </c>
      <c r="X48" s="158">
        <f t="shared" si="4"/>
        <v>5249.25</v>
      </c>
      <c r="Y48" s="158">
        <f t="shared" si="5"/>
        <v>5249250</v>
      </c>
      <c r="Z48" s="158">
        <f>ROUND(1/4*SUM(材料产出!$AB$16:$AB$18),0)</f>
        <v>384</v>
      </c>
      <c r="AA48" s="158">
        <f t="shared" si="16"/>
        <v>384000</v>
      </c>
      <c r="AB48" s="8">
        <f t="shared" si="7"/>
        <v>112</v>
      </c>
      <c r="AC48" s="97">
        <v>25</v>
      </c>
      <c r="AD48" s="8">
        <f t="shared" si="8"/>
        <v>112</v>
      </c>
      <c r="AE48" s="8">
        <f t="shared" si="9"/>
        <v>112</v>
      </c>
      <c r="AF48" s="97">
        <v>5</v>
      </c>
      <c r="AG48" s="97">
        <v>5</v>
      </c>
      <c r="AH48" s="8">
        <f t="shared" si="10"/>
        <v>112</v>
      </c>
      <c r="AI48" s="97">
        <v>10</v>
      </c>
      <c r="AJ48" s="8">
        <f t="shared" si="11"/>
        <v>4500</v>
      </c>
      <c r="AK48" s="8">
        <f t="shared" si="12"/>
        <v>18000</v>
      </c>
      <c r="AL48" s="97">
        <v>5</v>
      </c>
      <c r="AM48" s="97">
        <v>5</v>
      </c>
      <c r="AN48" s="97">
        <v>300</v>
      </c>
    </row>
    <row r="49" spans="1:40" ht="16.5" x14ac:dyDescent="0.3">
      <c r="A49" s="22" t="s">
        <v>2399</v>
      </c>
      <c r="B49" s="23" t="s">
        <v>2451</v>
      </c>
      <c r="C49" s="22">
        <v>45</v>
      </c>
      <c r="D49" s="98">
        <v>14</v>
      </c>
      <c r="E49" s="101">
        <v>46</v>
      </c>
      <c r="F49" s="98">
        <v>14</v>
      </c>
      <c r="G49" s="101">
        <v>46</v>
      </c>
      <c r="H49" s="98">
        <v>14</v>
      </c>
      <c r="I49" s="101">
        <v>46</v>
      </c>
      <c r="J49" s="101"/>
      <c r="K49" s="101"/>
      <c r="L49" s="101"/>
      <c r="M49" s="101"/>
      <c r="N49" s="69" t="s">
        <v>2447</v>
      </c>
      <c r="O49" s="100" t="str">
        <f t="shared" si="14"/>
        <v>龙晶碎片384/元宝384000</v>
      </c>
      <c r="P49" s="97">
        <v>46</v>
      </c>
      <c r="Q49" s="158"/>
      <c r="R49" s="158">
        <f t="shared" si="0"/>
        <v>4600</v>
      </c>
      <c r="S49" s="158">
        <f t="shared" si="1"/>
        <v>18400</v>
      </c>
      <c r="T49" s="158">
        <f t="shared" si="2"/>
        <v>230</v>
      </c>
      <c r="U49" s="158">
        <f t="shared" si="3"/>
        <v>230</v>
      </c>
      <c r="V49" s="158">
        <f>R49*属性价值参考!C$5+附件合成!S49*属性价值参考!C$6+附件合成!T49*(属性价值参考!C$7+属性价值参考!C$8)+附件合成!U49*(属性价值参考!C$9+属性价值参考!C$10)</f>
        <v>70269.600000000006</v>
      </c>
      <c r="W49" s="158">
        <f>AC49*属性价值参考!C$26+附件合成!AF49*属性价值参考!C$24+附件合成!AG49*属性价值参考!C$26+附件合成!AI49*(属性价值参考!C$28+属性价值参考!C$29)+附件合成!AL49*属性价值参考!C$26+附件合成!AM49*属性价值参考!C$27+AN49*(属性价值参考!C$37+属性价值参考!C$38)</f>
        <v>15246</v>
      </c>
      <c r="X49" s="158">
        <f t="shared" si="4"/>
        <v>5344.7250000000004</v>
      </c>
      <c r="Y49" s="158">
        <f t="shared" si="5"/>
        <v>5344725</v>
      </c>
      <c r="Z49" s="158">
        <f>ROUND(1/4*SUM(材料产出!$AB$16:$AB$18),0)</f>
        <v>384</v>
      </c>
      <c r="AA49" s="158">
        <f t="shared" si="16"/>
        <v>384000</v>
      </c>
      <c r="AB49" s="8">
        <f t="shared" si="7"/>
        <v>115</v>
      </c>
      <c r="AC49" s="97">
        <v>25</v>
      </c>
      <c r="AD49" s="8">
        <f t="shared" si="8"/>
        <v>115</v>
      </c>
      <c r="AE49" s="8">
        <f t="shared" si="9"/>
        <v>115</v>
      </c>
      <c r="AF49" s="97">
        <v>5</v>
      </c>
      <c r="AG49" s="97">
        <v>5</v>
      </c>
      <c r="AH49" s="8">
        <f t="shared" si="10"/>
        <v>115</v>
      </c>
      <c r="AI49" s="97">
        <v>10</v>
      </c>
      <c r="AJ49" s="8">
        <f t="shared" si="11"/>
        <v>4600</v>
      </c>
      <c r="AK49" s="8">
        <f t="shared" si="12"/>
        <v>18400</v>
      </c>
      <c r="AL49" s="97">
        <v>5</v>
      </c>
      <c r="AM49" s="97">
        <v>5</v>
      </c>
      <c r="AN49" s="97">
        <v>300</v>
      </c>
    </row>
    <row r="50" spans="1:40" ht="16.5" x14ac:dyDescent="0.3">
      <c r="A50" s="22" t="s">
        <v>2399</v>
      </c>
      <c r="B50" s="23" t="s">
        <v>2452</v>
      </c>
      <c r="C50" s="22">
        <v>46</v>
      </c>
      <c r="D50" s="98">
        <v>14</v>
      </c>
      <c r="E50" s="101">
        <v>47</v>
      </c>
      <c r="F50" s="98">
        <v>14</v>
      </c>
      <c r="G50" s="101">
        <v>47</v>
      </c>
      <c r="H50" s="98">
        <v>14</v>
      </c>
      <c r="I50" s="101">
        <v>47</v>
      </c>
      <c r="J50" s="101"/>
      <c r="K50" s="101"/>
      <c r="L50" s="101"/>
      <c r="M50" s="101"/>
      <c r="N50" s="69" t="s">
        <v>2447</v>
      </c>
      <c r="O50" s="100" t="str">
        <f t="shared" si="14"/>
        <v>龙晶碎片384/元宝384000</v>
      </c>
      <c r="P50" s="97">
        <v>47</v>
      </c>
      <c r="Q50" s="158"/>
      <c r="R50" s="158">
        <f t="shared" si="0"/>
        <v>4700</v>
      </c>
      <c r="S50" s="158">
        <f t="shared" si="1"/>
        <v>18800</v>
      </c>
      <c r="T50" s="158">
        <f t="shared" si="2"/>
        <v>235</v>
      </c>
      <c r="U50" s="158">
        <f t="shared" si="3"/>
        <v>235</v>
      </c>
      <c r="V50" s="158">
        <f>R50*属性价值参考!C$5+附件合成!S50*属性价值参考!C$6+附件合成!T50*(属性价值参考!C$7+属性价值参考!C$8)+附件合成!U50*(属性价值参考!C$9+属性价值参考!C$10)</f>
        <v>71797.2</v>
      </c>
      <c r="W50" s="158">
        <f>AC50*属性价值参考!C$26+附件合成!AF50*属性价值参考!C$24+附件合成!AG50*属性价值参考!C$26+附件合成!AI50*(属性价值参考!C$28+属性价值参考!C$29)+附件合成!AL50*属性价值参考!C$26+附件合成!AM50*属性价值参考!C$27+AN50*(属性价值参考!C$37+属性价值参考!C$38)</f>
        <v>15246</v>
      </c>
      <c r="X50" s="158">
        <f t="shared" si="4"/>
        <v>5440.2</v>
      </c>
      <c r="Y50" s="158">
        <f t="shared" si="5"/>
        <v>5440200</v>
      </c>
      <c r="Z50" s="158">
        <f>ROUND(1/4*SUM(材料产出!$AB$16:$AB$18),0)</f>
        <v>384</v>
      </c>
      <c r="AA50" s="158">
        <f t="shared" si="16"/>
        <v>384000</v>
      </c>
      <c r="AB50" s="8">
        <f t="shared" si="7"/>
        <v>117</v>
      </c>
      <c r="AC50" s="97">
        <v>25</v>
      </c>
      <c r="AD50" s="8">
        <f t="shared" si="8"/>
        <v>117</v>
      </c>
      <c r="AE50" s="8">
        <f t="shared" si="9"/>
        <v>117</v>
      </c>
      <c r="AF50" s="97">
        <v>5</v>
      </c>
      <c r="AG50" s="97">
        <v>5</v>
      </c>
      <c r="AH50" s="8">
        <f t="shared" si="10"/>
        <v>117</v>
      </c>
      <c r="AI50" s="97">
        <v>10</v>
      </c>
      <c r="AJ50" s="8">
        <f t="shared" si="11"/>
        <v>4700</v>
      </c>
      <c r="AK50" s="8">
        <f t="shared" si="12"/>
        <v>18800</v>
      </c>
      <c r="AL50" s="97">
        <v>5</v>
      </c>
      <c r="AM50" s="97">
        <v>5</v>
      </c>
      <c r="AN50" s="97">
        <v>300</v>
      </c>
    </row>
    <row r="51" spans="1:40" ht="16.5" x14ac:dyDescent="0.3">
      <c r="A51" s="22" t="s">
        <v>2399</v>
      </c>
      <c r="B51" s="23" t="s">
        <v>2453</v>
      </c>
      <c r="C51" s="22">
        <v>47</v>
      </c>
      <c r="D51" s="98">
        <v>14</v>
      </c>
      <c r="E51" s="101">
        <v>48</v>
      </c>
      <c r="F51" s="98">
        <v>14</v>
      </c>
      <c r="G51" s="101">
        <v>48</v>
      </c>
      <c r="H51" s="98">
        <v>14</v>
      </c>
      <c r="I51" s="101">
        <v>48</v>
      </c>
      <c r="J51" s="101"/>
      <c r="K51" s="101"/>
      <c r="L51" s="101"/>
      <c r="M51" s="101"/>
      <c r="N51" s="69" t="s">
        <v>2447</v>
      </c>
      <c r="O51" s="100" t="str">
        <f t="shared" si="14"/>
        <v>龙晶碎片384/元宝384000</v>
      </c>
      <c r="P51" s="97">
        <v>48</v>
      </c>
      <c r="Q51" s="158"/>
      <c r="R51" s="158">
        <f t="shared" si="0"/>
        <v>4800</v>
      </c>
      <c r="S51" s="158">
        <f t="shared" si="1"/>
        <v>19200</v>
      </c>
      <c r="T51" s="158">
        <f t="shared" si="2"/>
        <v>240</v>
      </c>
      <c r="U51" s="158">
        <f t="shared" si="3"/>
        <v>240</v>
      </c>
      <c r="V51" s="158">
        <f>R51*属性价值参考!C$5+附件合成!S51*属性价值参考!C$6+附件合成!T51*(属性价值参考!C$7+属性价值参考!C$8)+附件合成!U51*(属性价值参考!C$9+属性价值参考!C$10)</f>
        <v>73324.800000000003</v>
      </c>
      <c r="W51" s="158">
        <f>AC51*属性价值参考!C$26+附件合成!AF51*属性价值参考!C$24+附件合成!AG51*属性价值参考!C$26+附件合成!AI51*(属性价值参考!C$28+属性价值参考!C$29)+附件合成!AL51*属性价值参考!C$26+附件合成!AM51*属性价值参考!C$27+AN51*(属性价值参考!C$37+属性价值参考!C$38)</f>
        <v>15246</v>
      </c>
      <c r="X51" s="158">
        <f t="shared" si="4"/>
        <v>5535.6750000000002</v>
      </c>
      <c r="Y51" s="158">
        <f t="shared" si="5"/>
        <v>5535675</v>
      </c>
      <c r="Z51" s="158">
        <f>ROUND(1/4*SUM(材料产出!$AB$16:$AB$18),0)</f>
        <v>384</v>
      </c>
      <c r="AA51" s="158">
        <f t="shared" si="16"/>
        <v>384000</v>
      </c>
      <c r="AB51" s="8">
        <f t="shared" si="7"/>
        <v>120</v>
      </c>
      <c r="AC51" s="97">
        <v>25</v>
      </c>
      <c r="AD51" s="8">
        <f t="shared" si="8"/>
        <v>120</v>
      </c>
      <c r="AE51" s="8">
        <f t="shared" si="9"/>
        <v>120</v>
      </c>
      <c r="AF51" s="97">
        <v>5</v>
      </c>
      <c r="AG51" s="97">
        <v>5</v>
      </c>
      <c r="AH51" s="8">
        <f t="shared" si="10"/>
        <v>120</v>
      </c>
      <c r="AI51" s="97">
        <v>10</v>
      </c>
      <c r="AJ51" s="8">
        <f t="shared" si="11"/>
        <v>4800</v>
      </c>
      <c r="AK51" s="8">
        <f t="shared" si="12"/>
        <v>19200</v>
      </c>
      <c r="AL51" s="97">
        <v>5</v>
      </c>
      <c r="AM51" s="97">
        <v>5</v>
      </c>
      <c r="AN51" s="97">
        <v>300</v>
      </c>
    </row>
    <row r="52" spans="1:40" ht="16.5" x14ac:dyDescent="0.3">
      <c r="A52" s="22" t="s">
        <v>2399</v>
      </c>
      <c r="B52" s="23" t="s">
        <v>2454</v>
      </c>
      <c r="C52" s="22">
        <v>48</v>
      </c>
      <c r="D52" s="98">
        <v>15</v>
      </c>
      <c r="E52" s="101">
        <v>49</v>
      </c>
      <c r="F52" s="98">
        <v>15</v>
      </c>
      <c r="G52" s="101">
        <v>49</v>
      </c>
      <c r="H52" s="98">
        <v>15</v>
      </c>
      <c r="I52" s="101">
        <v>49</v>
      </c>
      <c r="J52" s="101"/>
      <c r="K52" s="101"/>
      <c r="L52" s="101"/>
      <c r="M52" s="101"/>
      <c r="N52" s="69" t="s">
        <v>2447</v>
      </c>
      <c r="O52" s="100" t="str">
        <f t="shared" si="14"/>
        <v>龙晶碎片384/元宝384000</v>
      </c>
      <c r="P52" s="97">
        <v>49</v>
      </c>
      <c r="Q52" s="158"/>
      <c r="R52" s="158">
        <f t="shared" si="0"/>
        <v>4900</v>
      </c>
      <c r="S52" s="158">
        <f t="shared" si="1"/>
        <v>19600</v>
      </c>
      <c r="T52" s="158">
        <f t="shared" si="2"/>
        <v>245</v>
      </c>
      <c r="U52" s="158">
        <f t="shared" si="3"/>
        <v>245</v>
      </c>
      <c r="V52" s="158">
        <f>R52*属性价值参考!C$5+附件合成!S52*属性价值参考!C$6+附件合成!T52*(属性价值参考!C$7+属性价值参考!C$8)+附件合成!U52*(属性价值参考!C$9+属性价值参考!C$10)</f>
        <v>74852.399999999994</v>
      </c>
      <c r="W52" s="158">
        <f>AC52*属性价值参考!C$26+附件合成!AF52*属性价值参考!C$24+附件合成!AG52*属性价值参考!C$26+附件合成!AI52*(属性价值参考!C$28+属性价值参考!C$29)+附件合成!AL52*属性价值参考!C$26+附件合成!AM52*属性价值参考!C$27+AN52*(属性价值参考!C$37+属性价值参考!C$38)</f>
        <v>15246</v>
      </c>
      <c r="X52" s="158">
        <f t="shared" si="4"/>
        <v>5631.15</v>
      </c>
      <c r="Y52" s="158">
        <f t="shared" si="5"/>
        <v>5631150</v>
      </c>
      <c r="Z52" s="158">
        <f>ROUND(1/4*SUM(材料产出!$AB$16:$AB$18),0)</f>
        <v>384</v>
      </c>
      <c r="AA52" s="158">
        <f t="shared" si="16"/>
        <v>384000</v>
      </c>
      <c r="AB52" s="8">
        <f t="shared" si="7"/>
        <v>122</v>
      </c>
      <c r="AC52" s="97">
        <v>25</v>
      </c>
      <c r="AD52" s="8">
        <f t="shared" si="8"/>
        <v>122</v>
      </c>
      <c r="AE52" s="8">
        <f t="shared" si="9"/>
        <v>122</v>
      </c>
      <c r="AF52" s="97">
        <v>5</v>
      </c>
      <c r="AG52" s="97">
        <v>5</v>
      </c>
      <c r="AH52" s="8">
        <f t="shared" si="10"/>
        <v>122</v>
      </c>
      <c r="AI52" s="97">
        <v>10</v>
      </c>
      <c r="AJ52" s="8">
        <f t="shared" si="11"/>
        <v>4900</v>
      </c>
      <c r="AK52" s="8">
        <f t="shared" si="12"/>
        <v>19600</v>
      </c>
      <c r="AL52" s="97">
        <v>5</v>
      </c>
      <c r="AM52" s="97">
        <v>5</v>
      </c>
      <c r="AN52" s="97">
        <v>300</v>
      </c>
    </row>
    <row r="53" spans="1:40" ht="16.5" x14ac:dyDescent="0.3">
      <c r="A53" s="22" t="s">
        <v>2399</v>
      </c>
      <c r="B53" s="23" t="s">
        <v>2455</v>
      </c>
      <c r="C53" s="22">
        <v>49</v>
      </c>
      <c r="D53" s="98">
        <v>15</v>
      </c>
      <c r="E53" s="101">
        <v>50</v>
      </c>
      <c r="F53" s="98">
        <v>15</v>
      </c>
      <c r="G53" s="101">
        <v>50</v>
      </c>
      <c r="H53" s="98">
        <v>15</v>
      </c>
      <c r="I53" s="101">
        <v>50</v>
      </c>
      <c r="J53" s="101"/>
      <c r="K53" s="101"/>
      <c r="L53" s="101"/>
      <c r="M53" s="101"/>
      <c r="N53" s="69" t="s">
        <v>2447</v>
      </c>
      <c r="O53" s="100" t="str">
        <f t="shared" si="14"/>
        <v>龙晶碎片384/元宝384000</v>
      </c>
      <c r="P53" s="97">
        <v>50</v>
      </c>
      <c r="Q53" s="206">
        <f>材料产出!C16</f>
        <v>2.5</v>
      </c>
      <c r="R53" s="158">
        <f t="shared" si="0"/>
        <v>5000</v>
      </c>
      <c r="S53" s="158">
        <f t="shared" si="1"/>
        <v>20000</v>
      </c>
      <c r="T53" s="158">
        <f t="shared" si="2"/>
        <v>250</v>
      </c>
      <c r="U53" s="158">
        <f t="shared" si="3"/>
        <v>250</v>
      </c>
      <c r="V53" s="158">
        <f>R53*属性价值参考!C$5+附件合成!S53*属性价值参考!C$6+附件合成!T53*(属性价值参考!C$7+属性价值参考!C$8)+附件合成!U53*(属性价值参考!C$9+属性价值参考!C$10)</f>
        <v>76380</v>
      </c>
      <c r="W53" s="158">
        <f>AC53*属性价值参考!C$26+附件合成!AF53*属性价值参考!C$24+附件合成!AG53*属性价值参考!C$26+附件合成!AI53*(属性价值参考!C$28+属性价值参考!C$29)+附件合成!AL53*属性价值参考!C$26+附件合成!AM53*属性价值参考!C$27+AN53*(属性价值参考!C$37+属性价值参考!C$38)</f>
        <v>15246</v>
      </c>
      <c r="X53" s="158">
        <f t="shared" si="4"/>
        <v>5726.625</v>
      </c>
      <c r="Y53" s="158">
        <f t="shared" si="5"/>
        <v>5726625</v>
      </c>
      <c r="Z53" s="158">
        <f>ROUND(1/4*SUM(材料产出!$AB$16:$AB$18),0)</f>
        <v>384</v>
      </c>
      <c r="AA53" s="158">
        <f t="shared" si="16"/>
        <v>384000</v>
      </c>
      <c r="AB53" s="8">
        <f t="shared" si="7"/>
        <v>125</v>
      </c>
      <c r="AC53" s="97">
        <v>25</v>
      </c>
      <c r="AD53" s="8">
        <f t="shared" si="8"/>
        <v>125</v>
      </c>
      <c r="AE53" s="8">
        <f t="shared" si="9"/>
        <v>125</v>
      </c>
      <c r="AF53" s="97">
        <v>5</v>
      </c>
      <c r="AG53" s="97">
        <v>5</v>
      </c>
      <c r="AH53" s="8">
        <f t="shared" si="10"/>
        <v>125</v>
      </c>
      <c r="AI53" s="97">
        <v>10</v>
      </c>
      <c r="AJ53" s="8">
        <f t="shared" si="11"/>
        <v>5000</v>
      </c>
      <c r="AK53" s="8">
        <f t="shared" si="12"/>
        <v>20000</v>
      </c>
      <c r="AL53" s="97">
        <v>5</v>
      </c>
      <c r="AM53" s="97">
        <v>5</v>
      </c>
      <c r="AN53" s="97">
        <v>300</v>
      </c>
    </row>
    <row r="54" spans="1:40" ht="16.5" x14ac:dyDescent="0.3">
      <c r="A54" s="22" t="s">
        <v>2399</v>
      </c>
      <c r="B54" s="23" t="s">
        <v>2456</v>
      </c>
      <c r="C54" s="22">
        <v>50</v>
      </c>
      <c r="D54" s="98">
        <v>15</v>
      </c>
      <c r="E54" s="101">
        <v>51</v>
      </c>
      <c r="F54" s="98">
        <v>15</v>
      </c>
      <c r="G54" s="101">
        <v>51</v>
      </c>
      <c r="H54" s="98">
        <v>15</v>
      </c>
      <c r="I54" s="101">
        <v>51</v>
      </c>
      <c r="J54" s="101"/>
      <c r="K54" s="101"/>
      <c r="L54" s="101"/>
      <c r="M54" s="101"/>
      <c r="N54" s="69" t="s">
        <v>2447</v>
      </c>
      <c r="O54" s="100" t="str">
        <f t="shared" si="14"/>
        <v>龙晶碎片1245/元宝1245000</v>
      </c>
      <c r="P54" s="191">
        <v>51</v>
      </c>
      <c r="Q54" s="207"/>
      <c r="R54" s="158">
        <f t="shared" si="0"/>
        <v>5100</v>
      </c>
      <c r="S54" s="158">
        <f t="shared" si="1"/>
        <v>20400</v>
      </c>
      <c r="T54" s="158">
        <f t="shared" si="2"/>
        <v>255</v>
      </c>
      <c r="U54" s="158">
        <f t="shared" si="3"/>
        <v>255</v>
      </c>
      <c r="V54" s="158">
        <f>R54*属性价值参考!C$5+附件合成!S54*属性价值参考!C$6+附件合成!T54*(属性价值参考!C$7+属性价值参考!C$8)+附件合成!U54*(属性价值参考!C$9+属性价值参考!C$10)</f>
        <v>77907.600000000006</v>
      </c>
      <c r="W54" s="158">
        <f>AC54*属性价值参考!C$26+附件合成!AF54*属性价值参考!C$24+附件合成!AG54*属性价值参考!C$26+附件合成!AI54*(属性价值参考!C$28+属性价值参考!C$29)+附件合成!AL54*属性价值参考!C$26+附件合成!AM54*属性价值参考!C$27+AN54*(属性价值参考!C$37+属性价值参考!C$38)</f>
        <v>22062</v>
      </c>
      <c r="X54" s="158">
        <f t="shared" si="4"/>
        <v>6248.1</v>
      </c>
      <c r="Y54" s="158">
        <f t="shared" si="5"/>
        <v>6248100</v>
      </c>
      <c r="Z54" s="158">
        <f>ROUND(1/4*SUM(材料产出!$AB$19:$AB$21),0)</f>
        <v>1245</v>
      </c>
      <c r="AA54" s="158">
        <f t="shared" si="16"/>
        <v>1245000</v>
      </c>
      <c r="AB54" s="104">
        <f t="shared" si="7"/>
        <v>127</v>
      </c>
      <c r="AC54" s="105">
        <v>25</v>
      </c>
      <c r="AD54" s="104">
        <f t="shared" si="8"/>
        <v>127</v>
      </c>
      <c r="AE54" s="104">
        <f t="shared" si="9"/>
        <v>127</v>
      </c>
      <c r="AF54" s="105">
        <v>6</v>
      </c>
      <c r="AG54" s="105">
        <v>6</v>
      </c>
      <c r="AH54" s="104">
        <f t="shared" si="10"/>
        <v>127</v>
      </c>
      <c r="AI54" s="105">
        <v>12</v>
      </c>
      <c r="AJ54" s="104">
        <f t="shared" si="11"/>
        <v>5100</v>
      </c>
      <c r="AK54" s="104">
        <f t="shared" si="12"/>
        <v>20400</v>
      </c>
      <c r="AL54" s="105">
        <v>6</v>
      </c>
      <c r="AM54" s="105">
        <v>6</v>
      </c>
      <c r="AN54" s="105">
        <v>500</v>
      </c>
    </row>
    <row r="55" spans="1:40" ht="16.5" x14ac:dyDescent="0.3">
      <c r="A55" s="22" t="s">
        <v>2399</v>
      </c>
      <c r="B55" s="23" t="s">
        <v>2457</v>
      </c>
      <c r="C55" s="22">
        <v>51</v>
      </c>
      <c r="D55" s="98">
        <v>17</v>
      </c>
      <c r="E55" s="101">
        <v>52</v>
      </c>
      <c r="F55" s="98">
        <v>17</v>
      </c>
      <c r="G55" s="101">
        <v>52</v>
      </c>
      <c r="H55" s="98">
        <v>17</v>
      </c>
      <c r="I55" s="101">
        <v>52</v>
      </c>
      <c r="J55" s="101"/>
      <c r="K55" s="101"/>
      <c r="L55" s="101"/>
      <c r="M55" s="101"/>
      <c r="N55" s="69" t="s">
        <v>2458</v>
      </c>
      <c r="O55" s="100" t="str">
        <f t="shared" si="14"/>
        <v>龙晶碎片1245/元宝1245000</v>
      </c>
      <c r="P55" s="97">
        <v>52</v>
      </c>
      <c r="Q55" s="158"/>
      <c r="R55" s="158">
        <f t="shared" si="0"/>
        <v>5200</v>
      </c>
      <c r="S55" s="158">
        <f t="shared" si="1"/>
        <v>20800</v>
      </c>
      <c r="T55" s="158">
        <f t="shared" si="2"/>
        <v>260</v>
      </c>
      <c r="U55" s="158">
        <f t="shared" si="3"/>
        <v>260</v>
      </c>
      <c r="V55" s="158">
        <f>R55*属性价值参考!C$5+附件合成!S55*属性价值参考!C$6+附件合成!T55*(属性价值参考!C$7+属性价值参考!C$8)+附件合成!U55*(属性价值参考!C$9+属性价值参考!C$10)</f>
        <v>79435.199999999997</v>
      </c>
      <c r="W55" s="158">
        <f>AC55*属性价值参考!C$26+附件合成!AF55*属性价值参考!C$24+附件合成!AG55*属性价值参考!C$26+附件合成!AI55*(属性价值参考!C$28+属性价值参考!C$29)+附件合成!AL55*属性价值参考!C$26+附件合成!AM55*属性价值参考!C$27+AN55*(属性价值参考!C$37+属性价值参考!C$38)</f>
        <v>22386</v>
      </c>
      <c r="X55" s="158">
        <f t="shared" si="4"/>
        <v>6363.8249999999998</v>
      </c>
      <c r="Y55" s="158">
        <f t="shared" si="5"/>
        <v>6363825</v>
      </c>
      <c r="Z55" s="158">
        <f>ROUND(1/4*SUM(材料产出!$AB$19:$AB$21),0)</f>
        <v>1245</v>
      </c>
      <c r="AA55" s="158">
        <f t="shared" si="16"/>
        <v>1245000</v>
      </c>
      <c r="AB55" s="8">
        <f t="shared" si="7"/>
        <v>130</v>
      </c>
      <c r="AC55" s="97">
        <v>30</v>
      </c>
      <c r="AD55" s="8">
        <f t="shared" si="8"/>
        <v>130</v>
      </c>
      <c r="AE55" s="8">
        <f t="shared" si="9"/>
        <v>130</v>
      </c>
      <c r="AF55" s="97">
        <v>6</v>
      </c>
      <c r="AG55" s="97">
        <v>6</v>
      </c>
      <c r="AH55" s="8">
        <f t="shared" si="10"/>
        <v>130</v>
      </c>
      <c r="AI55" s="97">
        <v>12</v>
      </c>
      <c r="AJ55" s="8">
        <f t="shared" si="11"/>
        <v>5200</v>
      </c>
      <c r="AK55" s="8">
        <f t="shared" si="12"/>
        <v>20800</v>
      </c>
      <c r="AL55" s="97">
        <v>6</v>
      </c>
      <c r="AM55" s="97">
        <v>6</v>
      </c>
      <c r="AN55" s="97">
        <v>500</v>
      </c>
    </row>
    <row r="56" spans="1:40" ht="16.5" x14ac:dyDescent="0.3">
      <c r="A56" s="22" t="s">
        <v>2399</v>
      </c>
      <c r="B56" s="23" t="s">
        <v>2459</v>
      </c>
      <c r="C56" s="22">
        <v>52</v>
      </c>
      <c r="D56" s="98">
        <v>17</v>
      </c>
      <c r="E56" s="101">
        <v>55</v>
      </c>
      <c r="F56" s="98">
        <v>17</v>
      </c>
      <c r="G56" s="101">
        <v>55</v>
      </c>
      <c r="H56" s="98">
        <v>17</v>
      </c>
      <c r="I56" s="101">
        <v>55</v>
      </c>
      <c r="J56" s="101"/>
      <c r="K56" s="101"/>
      <c r="L56" s="101"/>
      <c r="M56" s="101"/>
      <c r="N56" s="69" t="s">
        <v>2458</v>
      </c>
      <c r="O56" s="100" t="str">
        <f t="shared" si="14"/>
        <v>龙晶碎片1245/元宝1245000</v>
      </c>
      <c r="P56" s="97">
        <v>53</v>
      </c>
      <c r="Q56" s="158"/>
      <c r="R56" s="158">
        <f t="shared" si="0"/>
        <v>5300</v>
      </c>
      <c r="S56" s="158">
        <f t="shared" si="1"/>
        <v>21200</v>
      </c>
      <c r="T56" s="158">
        <f t="shared" si="2"/>
        <v>265</v>
      </c>
      <c r="U56" s="158">
        <f t="shared" si="3"/>
        <v>265</v>
      </c>
      <c r="V56" s="158">
        <f>R56*属性价值参考!C$5+附件合成!S56*属性价值参考!C$6+附件合成!T56*(属性价值参考!C$7+属性价值参考!C$8)+附件合成!U56*(属性价值参考!C$9+属性价值参考!C$10)</f>
        <v>80962.8</v>
      </c>
      <c r="W56" s="158">
        <f>AC56*属性价值参考!C$26+附件合成!AF56*属性价值参考!C$24+附件合成!AG56*属性价值参考!C$26+附件合成!AI56*(属性价值参考!C$28+属性价值参考!C$29)+附件合成!AL56*属性价值参考!C$26+附件合成!AM56*属性价值参考!C$27+AN56*(属性价值参考!C$37+属性价值参考!C$38)</f>
        <v>22386</v>
      </c>
      <c r="X56" s="158">
        <f t="shared" si="4"/>
        <v>6459.3</v>
      </c>
      <c r="Y56" s="158">
        <f t="shared" si="5"/>
        <v>6459300</v>
      </c>
      <c r="Z56" s="158">
        <f>ROUND(1/4*SUM(材料产出!$AB$19:$AB$21),0)</f>
        <v>1245</v>
      </c>
      <c r="AA56" s="158">
        <f t="shared" si="16"/>
        <v>1245000</v>
      </c>
      <c r="AB56" s="8">
        <f t="shared" si="7"/>
        <v>132</v>
      </c>
      <c r="AC56" s="97">
        <v>30</v>
      </c>
      <c r="AD56" s="8">
        <f t="shared" si="8"/>
        <v>132</v>
      </c>
      <c r="AE56" s="8">
        <f t="shared" si="9"/>
        <v>132</v>
      </c>
      <c r="AF56" s="97">
        <v>6</v>
      </c>
      <c r="AG56" s="97">
        <v>6</v>
      </c>
      <c r="AH56" s="8">
        <f t="shared" si="10"/>
        <v>132</v>
      </c>
      <c r="AI56" s="97">
        <v>12</v>
      </c>
      <c r="AJ56" s="8">
        <f t="shared" si="11"/>
        <v>5300</v>
      </c>
      <c r="AK56" s="8">
        <f t="shared" si="12"/>
        <v>21200</v>
      </c>
      <c r="AL56" s="97">
        <v>6</v>
      </c>
      <c r="AM56" s="97">
        <v>6</v>
      </c>
      <c r="AN56" s="97">
        <v>500</v>
      </c>
    </row>
    <row r="57" spans="1:40" ht="16.5" x14ac:dyDescent="0.3">
      <c r="A57" s="22" t="s">
        <v>2399</v>
      </c>
      <c r="B57" s="23" t="s">
        <v>2460</v>
      </c>
      <c r="C57" s="22">
        <v>53</v>
      </c>
      <c r="D57" s="98">
        <v>17</v>
      </c>
      <c r="E57" s="101">
        <v>57</v>
      </c>
      <c r="F57" s="98">
        <v>17</v>
      </c>
      <c r="G57" s="101">
        <v>57</v>
      </c>
      <c r="H57" s="98">
        <v>17</v>
      </c>
      <c r="I57" s="101">
        <v>57</v>
      </c>
      <c r="J57" s="101"/>
      <c r="K57" s="101"/>
      <c r="L57" s="101"/>
      <c r="M57" s="101"/>
      <c r="N57" s="69" t="s">
        <v>2458</v>
      </c>
      <c r="O57" s="100" t="str">
        <f t="shared" si="14"/>
        <v>龙晶碎片1245/元宝1245000</v>
      </c>
      <c r="P57" s="97">
        <v>54</v>
      </c>
      <c r="Q57" s="158"/>
      <c r="R57" s="158">
        <f t="shared" si="0"/>
        <v>5400</v>
      </c>
      <c r="S57" s="158">
        <f t="shared" si="1"/>
        <v>21600</v>
      </c>
      <c r="T57" s="158">
        <f t="shared" si="2"/>
        <v>270</v>
      </c>
      <c r="U57" s="158">
        <f t="shared" si="3"/>
        <v>270</v>
      </c>
      <c r="V57" s="158">
        <f>R57*属性价值参考!C$5+附件合成!S57*属性价值参考!C$6+附件合成!T57*(属性价值参考!C$7+属性价值参考!C$8)+附件合成!U57*(属性价值参考!C$9+属性价值参考!C$10)</f>
        <v>82490.399999999994</v>
      </c>
      <c r="W57" s="158">
        <f>AC57*属性价值参考!C$26+附件合成!AF57*属性价值参考!C$24+附件合成!AG57*属性价值参考!C$26+附件合成!AI57*(属性价值参考!C$28+属性价值参考!C$29)+附件合成!AL57*属性价值参考!C$26+附件合成!AM57*属性价值参考!C$27+AN57*(属性价值参考!C$37+属性价值参考!C$38)</f>
        <v>22386</v>
      </c>
      <c r="X57" s="158">
        <f t="shared" si="4"/>
        <v>6554.7749999999996</v>
      </c>
      <c r="Y57" s="158">
        <f t="shared" si="5"/>
        <v>6554775</v>
      </c>
      <c r="Z57" s="158">
        <f>ROUND(1/4*SUM(材料产出!$AB$19:$AB$21),0)</f>
        <v>1245</v>
      </c>
      <c r="AA57" s="158">
        <f t="shared" si="16"/>
        <v>1245000</v>
      </c>
      <c r="AB57" s="8">
        <f t="shared" si="7"/>
        <v>135</v>
      </c>
      <c r="AC57" s="97">
        <v>30</v>
      </c>
      <c r="AD57" s="8">
        <f t="shared" si="8"/>
        <v>135</v>
      </c>
      <c r="AE57" s="8">
        <f t="shared" si="9"/>
        <v>135</v>
      </c>
      <c r="AF57" s="97">
        <v>6</v>
      </c>
      <c r="AG57" s="97">
        <v>6</v>
      </c>
      <c r="AH57" s="8">
        <f t="shared" si="10"/>
        <v>135</v>
      </c>
      <c r="AI57" s="97">
        <v>12</v>
      </c>
      <c r="AJ57" s="8">
        <f t="shared" si="11"/>
        <v>5400</v>
      </c>
      <c r="AK57" s="8">
        <f t="shared" si="12"/>
        <v>21600</v>
      </c>
      <c r="AL57" s="97">
        <v>6</v>
      </c>
      <c r="AM57" s="97">
        <v>6</v>
      </c>
      <c r="AN57" s="97">
        <v>500</v>
      </c>
    </row>
    <row r="58" spans="1:40" ht="16.5" x14ac:dyDescent="0.3">
      <c r="A58" s="22" t="s">
        <v>2399</v>
      </c>
      <c r="B58" s="23" t="s">
        <v>2461</v>
      </c>
      <c r="C58" s="22">
        <v>54</v>
      </c>
      <c r="D58" s="98">
        <v>17</v>
      </c>
      <c r="E58" s="101">
        <v>59</v>
      </c>
      <c r="F58" s="98">
        <v>17</v>
      </c>
      <c r="G58" s="101">
        <v>59</v>
      </c>
      <c r="H58" s="98">
        <v>17</v>
      </c>
      <c r="I58" s="101">
        <v>59</v>
      </c>
      <c r="J58" s="101"/>
      <c r="K58" s="101"/>
      <c r="L58" s="101"/>
      <c r="M58" s="101"/>
      <c r="N58" s="69" t="s">
        <v>2458</v>
      </c>
      <c r="O58" s="100" t="str">
        <f t="shared" si="14"/>
        <v>龙晶碎片1245/元宝1245000</v>
      </c>
      <c r="P58" s="97">
        <v>55</v>
      </c>
      <c r="Q58" s="158"/>
      <c r="R58" s="158">
        <f t="shared" si="0"/>
        <v>5500</v>
      </c>
      <c r="S58" s="158">
        <f t="shared" si="1"/>
        <v>22000</v>
      </c>
      <c r="T58" s="158">
        <f t="shared" si="2"/>
        <v>275</v>
      </c>
      <c r="U58" s="158">
        <f t="shared" si="3"/>
        <v>275</v>
      </c>
      <c r="V58" s="158">
        <f>R58*属性价值参考!C$5+附件合成!S58*属性价值参考!C$6+附件合成!T58*(属性价值参考!C$7+属性价值参考!C$8)+附件合成!U58*(属性价值参考!C$9+属性价值参考!C$10)</f>
        <v>84018</v>
      </c>
      <c r="W58" s="158">
        <f>AC58*属性价值参考!C$26+附件合成!AF58*属性价值参考!C$24+附件合成!AG58*属性价值参考!C$26+附件合成!AI58*(属性价值参考!C$28+属性价值参考!C$29)+附件合成!AL58*属性价值参考!C$26+附件合成!AM58*属性价值参考!C$27+AN58*(属性价值参考!C$37+属性价值参考!C$38)</f>
        <v>22386</v>
      </c>
      <c r="X58" s="158">
        <f t="shared" si="4"/>
        <v>6650.25</v>
      </c>
      <c r="Y58" s="158">
        <f t="shared" si="5"/>
        <v>6650250</v>
      </c>
      <c r="Z58" s="158">
        <f>ROUND(1/4*SUM(材料产出!$AB$19:$AB$21),0)</f>
        <v>1245</v>
      </c>
      <c r="AA58" s="158">
        <f t="shared" si="16"/>
        <v>1245000</v>
      </c>
      <c r="AB58" s="8">
        <f t="shared" si="7"/>
        <v>137</v>
      </c>
      <c r="AC58" s="97">
        <v>30</v>
      </c>
      <c r="AD58" s="8">
        <f t="shared" si="8"/>
        <v>137</v>
      </c>
      <c r="AE58" s="8">
        <f t="shared" si="9"/>
        <v>137</v>
      </c>
      <c r="AF58" s="97">
        <v>6</v>
      </c>
      <c r="AG58" s="97">
        <v>6</v>
      </c>
      <c r="AH58" s="8">
        <f t="shared" si="10"/>
        <v>137</v>
      </c>
      <c r="AI58" s="97">
        <v>12</v>
      </c>
      <c r="AJ58" s="8">
        <f t="shared" si="11"/>
        <v>5500</v>
      </c>
      <c r="AK58" s="8">
        <f t="shared" si="12"/>
        <v>22000</v>
      </c>
      <c r="AL58" s="97">
        <v>6</v>
      </c>
      <c r="AM58" s="97">
        <v>6</v>
      </c>
      <c r="AN58" s="97">
        <v>500</v>
      </c>
    </row>
    <row r="59" spans="1:40" ht="16.5" x14ac:dyDescent="0.3">
      <c r="A59" s="22" t="s">
        <v>2399</v>
      </c>
      <c r="B59" s="23" t="s">
        <v>2462</v>
      </c>
      <c r="C59" s="22">
        <v>55</v>
      </c>
      <c r="D59" s="98">
        <v>18</v>
      </c>
      <c r="E59" s="101">
        <v>61</v>
      </c>
      <c r="F59" s="98">
        <v>18</v>
      </c>
      <c r="G59" s="101">
        <v>61</v>
      </c>
      <c r="H59" s="98">
        <v>18</v>
      </c>
      <c r="I59" s="101">
        <v>61</v>
      </c>
      <c r="J59" s="101"/>
      <c r="K59" s="101"/>
      <c r="L59" s="101"/>
      <c r="M59" s="101"/>
      <c r="N59" s="69" t="s">
        <v>2458</v>
      </c>
      <c r="O59" s="100" t="str">
        <f t="shared" si="14"/>
        <v>龙晶碎片1245/元宝1245000</v>
      </c>
      <c r="P59" s="97">
        <v>56</v>
      </c>
      <c r="Q59" s="158"/>
      <c r="R59" s="158">
        <f t="shared" si="0"/>
        <v>5600</v>
      </c>
      <c r="S59" s="158">
        <f t="shared" si="1"/>
        <v>22400</v>
      </c>
      <c r="T59" s="158">
        <f t="shared" si="2"/>
        <v>280</v>
      </c>
      <c r="U59" s="158">
        <f t="shared" si="3"/>
        <v>280</v>
      </c>
      <c r="V59" s="158">
        <f>R59*属性价值参考!C$5+附件合成!S59*属性价值参考!C$6+附件合成!T59*(属性价值参考!C$7+属性价值参考!C$8)+附件合成!U59*(属性价值参考!C$9+属性价值参考!C$10)</f>
        <v>85545.600000000006</v>
      </c>
      <c r="W59" s="158">
        <f>AC59*属性价值参考!C$26+附件合成!AF59*属性价值参考!C$24+附件合成!AG59*属性价值参考!C$26+附件合成!AI59*(属性价值参考!C$28+属性价值参考!C$29)+附件合成!AL59*属性价值参考!C$26+附件合成!AM59*属性价值参考!C$27+AN59*(属性价值参考!C$37+属性价值参考!C$38)</f>
        <v>22386</v>
      </c>
      <c r="X59" s="158">
        <f t="shared" si="4"/>
        <v>6745.7250000000004</v>
      </c>
      <c r="Y59" s="158">
        <f t="shared" si="5"/>
        <v>6745725</v>
      </c>
      <c r="Z59" s="158">
        <f>ROUND(1/4*SUM(材料产出!$AB$19:$AB$21),0)</f>
        <v>1245</v>
      </c>
      <c r="AA59" s="158">
        <f t="shared" si="16"/>
        <v>1245000</v>
      </c>
      <c r="AB59" s="8">
        <f t="shared" si="7"/>
        <v>140</v>
      </c>
      <c r="AC59" s="97">
        <v>30</v>
      </c>
      <c r="AD59" s="8">
        <f t="shared" si="8"/>
        <v>140</v>
      </c>
      <c r="AE59" s="8">
        <f t="shared" si="9"/>
        <v>140</v>
      </c>
      <c r="AF59" s="97">
        <v>6</v>
      </c>
      <c r="AG59" s="97">
        <v>6</v>
      </c>
      <c r="AH59" s="8">
        <f t="shared" si="10"/>
        <v>140</v>
      </c>
      <c r="AI59" s="97">
        <v>12</v>
      </c>
      <c r="AJ59" s="8">
        <f t="shared" si="11"/>
        <v>5600</v>
      </c>
      <c r="AK59" s="8">
        <f t="shared" si="12"/>
        <v>22400</v>
      </c>
      <c r="AL59" s="97">
        <v>6</v>
      </c>
      <c r="AM59" s="97">
        <v>6</v>
      </c>
      <c r="AN59" s="97">
        <v>500</v>
      </c>
    </row>
    <row r="60" spans="1:40" ht="16.5" x14ac:dyDescent="0.3">
      <c r="A60" s="22" t="s">
        <v>2399</v>
      </c>
      <c r="B60" s="23" t="s">
        <v>2463</v>
      </c>
      <c r="C60" s="22">
        <v>56</v>
      </c>
      <c r="D60" s="98">
        <v>18</v>
      </c>
      <c r="E60" s="101">
        <v>63</v>
      </c>
      <c r="F60" s="98">
        <v>18</v>
      </c>
      <c r="G60" s="101">
        <v>63</v>
      </c>
      <c r="H60" s="98">
        <v>18</v>
      </c>
      <c r="I60" s="101">
        <v>63</v>
      </c>
      <c r="J60" s="101"/>
      <c r="K60" s="101"/>
      <c r="L60" s="101"/>
      <c r="M60" s="101"/>
      <c r="N60" s="69" t="s">
        <v>2458</v>
      </c>
      <c r="O60" s="100" t="str">
        <f t="shared" si="14"/>
        <v>龙晶碎片1245/元宝1245000</v>
      </c>
      <c r="P60" s="97">
        <v>57</v>
      </c>
      <c r="Q60" s="158"/>
      <c r="R60" s="158">
        <f t="shared" si="0"/>
        <v>5700</v>
      </c>
      <c r="S60" s="158">
        <f t="shared" si="1"/>
        <v>22800</v>
      </c>
      <c r="T60" s="158">
        <f t="shared" si="2"/>
        <v>285</v>
      </c>
      <c r="U60" s="158">
        <f t="shared" si="3"/>
        <v>285</v>
      </c>
      <c r="V60" s="158">
        <f>R60*属性价值参考!C$5+附件合成!S60*属性价值参考!C$6+附件合成!T60*(属性价值参考!C$7+属性价值参考!C$8)+附件合成!U60*(属性价值参考!C$9+属性价值参考!C$10)</f>
        <v>87073.2</v>
      </c>
      <c r="W60" s="158">
        <f>AC60*属性价值参考!C$26+附件合成!AF60*属性价值参考!C$24+附件合成!AG60*属性价值参考!C$26+附件合成!AI60*(属性价值参考!C$28+属性价值参考!C$29)+附件合成!AL60*属性价值参考!C$26+附件合成!AM60*属性价值参考!C$27+AN60*(属性价值参考!C$37+属性价值参考!C$38)</f>
        <v>22386</v>
      </c>
      <c r="X60" s="158">
        <f t="shared" si="4"/>
        <v>6841.2</v>
      </c>
      <c r="Y60" s="158">
        <f t="shared" si="5"/>
        <v>6841200</v>
      </c>
      <c r="Z60" s="158">
        <f>ROUND(1/4*SUM(材料产出!$AB$19:$AB$21),0)</f>
        <v>1245</v>
      </c>
      <c r="AA60" s="158">
        <f t="shared" si="16"/>
        <v>1245000</v>
      </c>
      <c r="AB60" s="8">
        <f t="shared" si="7"/>
        <v>142</v>
      </c>
      <c r="AC60" s="97">
        <v>30</v>
      </c>
      <c r="AD60" s="8">
        <f t="shared" si="8"/>
        <v>142</v>
      </c>
      <c r="AE60" s="8">
        <f t="shared" si="9"/>
        <v>142</v>
      </c>
      <c r="AF60" s="97">
        <v>6</v>
      </c>
      <c r="AG60" s="97">
        <v>6</v>
      </c>
      <c r="AH60" s="8">
        <f t="shared" si="10"/>
        <v>142</v>
      </c>
      <c r="AI60" s="97">
        <v>12</v>
      </c>
      <c r="AJ60" s="8">
        <f t="shared" si="11"/>
        <v>5700</v>
      </c>
      <c r="AK60" s="8">
        <f t="shared" si="12"/>
        <v>22800</v>
      </c>
      <c r="AL60" s="97">
        <v>6</v>
      </c>
      <c r="AM60" s="97">
        <v>6</v>
      </c>
      <c r="AN60" s="97">
        <v>500</v>
      </c>
    </row>
    <row r="61" spans="1:40" ht="16.5" x14ac:dyDescent="0.3">
      <c r="A61" s="22" t="s">
        <v>2399</v>
      </c>
      <c r="B61" s="23" t="s">
        <v>2464</v>
      </c>
      <c r="C61" s="22">
        <v>57</v>
      </c>
      <c r="D61" s="98">
        <v>18</v>
      </c>
      <c r="E61" s="101">
        <v>65</v>
      </c>
      <c r="F61" s="98">
        <v>18</v>
      </c>
      <c r="G61" s="101">
        <v>65</v>
      </c>
      <c r="H61" s="98">
        <v>18</v>
      </c>
      <c r="I61" s="101">
        <v>65</v>
      </c>
      <c r="J61" s="101"/>
      <c r="K61" s="101"/>
      <c r="L61" s="101"/>
      <c r="M61" s="101"/>
      <c r="N61" s="69" t="s">
        <v>2458</v>
      </c>
      <c r="O61" s="100" t="str">
        <f t="shared" si="14"/>
        <v>龙晶碎片1245/元宝1245000</v>
      </c>
      <c r="P61" s="97">
        <v>58</v>
      </c>
      <c r="Q61" s="158"/>
      <c r="R61" s="158">
        <f t="shared" si="0"/>
        <v>5800</v>
      </c>
      <c r="S61" s="158">
        <f t="shared" si="1"/>
        <v>23200</v>
      </c>
      <c r="T61" s="158">
        <f t="shared" si="2"/>
        <v>290</v>
      </c>
      <c r="U61" s="158">
        <f t="shared" si="3"/>
        <v>290</v>
      </c>
      <c r="V61" s="158">
        <f>R61*属性价值参考!C$5+附件合成!S61*属性价值参考!C$6+附件合成!T61*(属性价值参考!C$7+属性价值参考!C$8)+附件合成!U61*(属性价值参考!C$9+属性价值参考!C$10)</f>
        <v>88600.8</v>
      </c>
      <c r="W61" s="158">
        <f>AC61*属性价值参考!C$26+附件合成!AF61*属性价值参考!C$24+附件合成!AG61*属性价值参考!C$26+附件合成!AI61*(属性价值参考!C$28+属性价值参考!C$29)+附件合成!AL61*属性价值参考!C$26+附件合成!AM61*属性价值参考!C$27+AN61*(属性价值参考!C$37+属性价值参考!C$38)</f>
        <v>22386</v>
      </c>
      <c r="X61" s="158">
        <f t="shared" si="4"/>
        <v>6936.6750000000002</v>
      </c>
      <c r="Y61" s="158">
        <f t="shared" si="5"/>
        <v>6936675</v>
      </c>
      <c r="Z61" s="158">
        <f>ROUND(1/4*SUM(材料产出!$AB$19:$AB$21),0)</f>
        <v>1245</v>
      </c>
      <c r="AA61" s="158">
        <f t="shared" si="16"/>
        <v>1245000</v>
      </c>
      <c r="AB61" s="8">
        <f t="shared" si="7"/>
        <v>145</v>
      </c>
      <c r="AC61" s="97">
        <v>30</v>
      </c>
      <c r="AD61" s="8">
        <f t="shared" si="8"/>
        <v>145</v>
      </c>
      <c r="AE61" s="8">
        <f t="shared" si="9"/>
        <v>145</v>
      </c>
      <c r="AF61" s="97">
        <v>6</v>
      </c>
      <c r="AG61" s="97">
        <v>6</v>
      </c>
      <c r="AH61" s="8">
        <f t="shared" si="10"/>
        <v>145</v>
      </c>
      <c r="AI61" s="97">
        <v>12</v>
      </c>
      <c r="AJ61" s="8">
        <f t="shared" si="11"/>
        <v>5800</v>
      </c>
      <c r="AK61" s="8">
        <f t="shared" si="12"/>
        <v>23200</v>
      </c>
      <c r="AL61" s="97">
        <v>6</v>
      </c>
      <c r="AM61" s="97">
        <v>6</v>
      </c>
      <c r="AN61" s="97">
        <v>500</v>
      </c>
    </row>
    <row r="62" spans="1:40" ht="16.5" x14ac:dyDescent="0.3">
      <c r="A62" s="22" t="s">
        <v>2399</v>
      </c>
      <c r="B62" s="23" t="s">
        <v>2465</v>
      </c>
      <c r="C62" s="22">
        <v>58</v>
      </c>
      <c r="D62" s="98">
        <v>19</v>
      </c>
      <c r="E62" s="101">
        <v>67</v>
      </c>
      <c r="F62" s="98">
        <v>19</v>
      </c>
      <c r="G62" s="101">
        <v>67</v>
      </c>
      <c r="H62" s="98">
        <v>19</v>
      </c>
      <c r="I62" s="101">
        <v>67</v>
      </c>
      <c r="J62" s="101"/>
      <c r="K62" s="101"/>
      <c r="L62" s="101"/>
      <c r="M62" s="101"/>
      <c r="N62" s="69" t="s">
        <v>2458</v>
      </c>
      <c r="O62" s="100" t="str">
        <f t="shared" si="14"/>
        <v>龙晶碎片1245/元宝1245000</v>
      </c>
      <c r="P62" s="97">
        <v>59</v>
      </c>
      <c r="Q62" s="158"/>
      <c r="R62" s="158">
        <f t="shared" si="0"/>
        <v>5900</v>
      </c>
      <c r="S62" s="158">
        <f t="shared" si="1"/>
        <v>23600</v>
      </c>
      <c r="T62" s="158">
        <f t="shared" si="2"/>
        <v>295</v>
      </c>
      <c r="U62" s="158">
        <f t="shared" si="3"/>
        <v>295</v>
      </c>
      <c r="V62" s="158">
        <f>R62*属性价值参考!C$5+附件合成!S62*属性价值参考!C$6+附件合成!T62*(属性价值参考!C$7+属性价值参考!C$8)+附件合成!U62*(属性价值参考!C$9+属性价值参考!C$10)</f>
        <v>90128.4</v>
      </c>
      <c r="W62" s="158">
        <f>AC62*属性价值参考!C$26+附件合成!AF62*属性价值参考!C$24+附件合成!AG62*属性价值参考!C$26+附件合成!AI62*(属性价值参考!C$28+属性价值参考!C$29)+附件合成!AL62*属性价值参考!C$26+附件合成!AM62*属性价值参考!C$27+AN62*(属性价值参考!C$37+属性价值参考!C$38)</f>
        <v>22386</v>
      </c>
      <c r="X62" s="158">
        <f t="shared" si="4"/>
        <v>7032.15</v>
      </c>
      <c r="Y62" s="158">
        <f t="shared" si="5"/>
        <v>7032150</v>
      </c>
      <c r="Z62" s="158">
        <f>ROUND(1/4*SUM(材料产出!$AB$19:$AB$21),0)</f>
        <v>1245</v>
      </c>
      <c r="AA62" s="158">
        <f t="shared" si="16"/>
        <v>1245000</v>
      </c>
      <c r="AB62" s="8">
        <f t="shared" si="7"/>
        <v>147</v>
      </c>
      <c r="AC62" s="97">
        <v>30</v>
      </c>
      <c r="AD62" s="8">
        <f t="shared" si="8"/>
        <v>147</v>
      </c>
      <c r="AE62" s="8">
        <f t="shared" si="9"/>
        <v>147</v>
      </c>
      <c r="AF62" s="97">
        <v>6</v>
      </c>
      <c r="AG62" s="97">
        <v>6</v>
      </c>
      <c r="AH62" s="8">
        <f t="shared" si="10"/>
        <v>147</v>
      </c>
      <c r="AI62" s="97">
        <v>12</v>
      </c>
      <c r="AJ62" s="8">
        <f t="shared" si="11"/>
        <v>5900</v>
      </c>
      <c r="AK62" s="8">
        <f t="shared" si="12"/>
        <v>23600</v>
      </c>
      <c r="AL62" s="97">
        <v>6</v>
      </c>
      <c r="AM62" s="97">
        <v>6</v>
      </c>
      <c r="AN62" s="97">
        <v>500</v>
      </c>
    </row>
    <row r="63" spans="1:40" ht="16.5" x14ac:dyDescent="0.3">
      <c r="A63" s="22" t="s">
        <v>2399</v>
      </c>
      <c r="B63" s="23" t="s">
        <v>2466</v>
      </c>
      <c r="C63" s="22">
        <v>59</v>
      </c>
      <c r="D63" s="98">
        <v>19</v>
      </c>
      <c r="E63" s="101">
        <v>69</v>
      </c>
      <c r="F63" s="98">
        <v>19</v>
      </c>
      <c r="G63" s="101">
        <v>69</v>
      </c>
      <c r="H63" s="98">
        <v>19</v>
      </c>
      <c r="I63" s="101">
        <v>69</v>
      </c>
      <c r="J63" s="101"/>
      <c r="K63" s="101"/>
      <c r="L63" s="101"/>
      <c r="M63" s="101"/>
      <c r="N63" s="69" t="s">
        <v>2458</v>
      </c>
      <c r="O63" s="100" t="str">
        <f t="shared" si="14"/>
        <v>龙晶碎片1245/元宝1245000</v>
      </c>
      <c r="P63" s="97">
        <v>60</v>
      </c>
      <c r="Q63" s="206">
        <f>材料产出!C19</f>
        <v>3.7</v>
      </c>
      <c r="R63" s="158">
        <f t="shared" si="0"/>
        <v>6000</v>
      </c>
      <c r="S63" s="158">
        <f t="shared" si="1"/>
        <v>24000</v>
      </c>
      <c r="T63" s="158">
        <f t="shared" si="2"/>
        <v>300</v>
      </c>
      <c r="U63" s="158">
        <f t="shared" si="3"/>
        <v>300</v>
      </c>
      <c r="V63" s="158">
        <f>R63*属性价值参考!C$5+附件合成!S63*属性价值参考!C$6+附件合成!T63*(属性价值参考!C$7+属性价值参考!C$8)+附件合成!U63*(属性价值参考!C$9+属性价值参考!C$10)</f>
        <v>91656</v>
      </c>
      <c r="W63" s="158">
        <f>AC63*属性价值参考!C$26+附件合成!AF63*属性价值参考!C$24+附件合成!AG63*属性价值参考!C$26+附件合成!AI63*(属性价值参考!C$28+属性价值参考!C$29)+附件合成!AL63*属性价值参考!C$26+附件合成!AM63*属性价值参考!C$27+AN63*(属性价值参考!C$37+属性价值参考!C$38)</f>
        <v>22386</v>
      </c>
      <c r="X63" s="158">
        <f t="shared" si="4"/>
        <v>7127.625</v>
      </c>
      <c r="Y63" s="158">
        <f t="shared" si="5"/>
        <v>7127625</v>
      </c>
      <c r="Z63" s="158">
        <f>ROUND(1/4*SUM(材料产出!$AB$19:$AB$21),0)</f>
        <v>1245</v>
      </c>
      <c r="AA63" s="158">
        <f t="shared" si="16"/>
        <v>1245000</v>
      </c>
      <c r="AB63" s="8">
        <f t="shared" si="7"/>
        <v>150</v>
      </c>
      <c r="AC63" s="97">
        <v>30</v>
      </c>
      <c r="AD63" s="8">
        <f t="shared" si="8"/>
        <v>150</v>
      </c>
      <c r="AE63" s="8">
        <f t="shared" si="9"/>
        <v>150</v>
      </c>
      <c r="AF63" s="97">
        <v>6</v>
      </c>
      <c r="AG63" s="97">
        <v>6</v>
      </c>
      <c r="AH63" s="8">
        <f t="shared" si="10"/>
        <v>150</v>
      </c>
      <c r="AI63" s="97">
        <v>12</v>
      </c>
      <c r="AJ63" s="8">
        <f t="shared" si="11"/>
        <v>6000</v>
      </c>
      <c r="AK63" s="8">
        <f t="shared" si="12"/>
        <v>24000</v>
      </c>
      <c r="AL63" s="97">
        <v>6</v>
      </c>
      <c r="AM63" s="97">
        <v>6</v>
      </c>
      <c r="AN63" s="97">
        <v>500</v>
      </c>
    </row>
    <row r="64" spans="1:40" ht="16.5" x14ac:dyDescent="0.3">
      <c r="A64" s="22" t="s">
        <v>2399</v>
      </c>
      <c r="B64" s="23" t="s">
        <v>2467</v>
      </c>
      <c r="C64" s="22">
        <v>60</v>
      </c>
      <c r="D64" s="98">
        <v>19</v>
      </c>
      <c r="E64" s="101">
        <v>71</v>
      </c>
      <c r="F64" s="98">
        <v>19</v>
      </c>
      <c r="G64" s="101">
        <v>71</v>
      </c>
      <c r="H64" s="98">
        <v>19</v>
      </c>
      <c r="I64" s="101">
        <v>71</v>
      </c>
      <c r="J64" s="101"/>
      <c r="K64" s="101"/>
      <c r="L64" s="101"/>
      <c r="M64" s="101"/>
      <c r="N64" s="69" t="s">
        <v>2458</v>
      </c>
      <c r="O64" s="100" t="str">
        <f t="shared" si="14"/>
        <v>龙晶碎片3133/元宝3133000</v>
      </c>
      <c r="P64" s="191">
        <v>61</v>
      </c>
      <c r="Q64" s="207"/>
      <c r="R64" s="158">
        <f t="shared" si="0"/>
        <v>6100</v>
      </c>
      <c r="S64" s="158">
        <f t="shared" si="1"/>
        <v>24400</v>
      </c>
      <c r="T64" s="158">
        <f t="shared" si="2"/>
        <v>305</v>
      </c>
      <c r="U64" s="158">
        <f t="shared" si="3"/>
        <v>305</v>
      </c>
      <c r="V64" s="158">
        <f>R64*属性价值参考!C$5+附件合成!S64*属性价值参考!C$6+附件合成!T64*(属性价值参考!C$7+属性价值参考!C$8)+附件合成!U64*(属性价值参考!C$9+属性价值参考!C$10)</f>
        <v>93183.6</v>
      </c>
      <c r="W64" s="158">
        <f>AC64*属性价值参考!C$26+附件合成!AF64*属性价值参考!C$24+附件合成!AG64*属性价值参考!C$26+附件合成!AI64*(属性价值参考!C$28+属性价值参考!C$29)+附件合成!AL64*属性价值参考!C$26+附件合成!AM64*属性价值参考!C$27+AN64*(属性价值参考!C$37+属性价值参考!C$38)</f>
        <v>32124.000000000007</v>
      </c>
      <c r="X64" s="158">
        <f t="shared" si="4"/>
        <v>7831.7250000000004</v>
      </c>
      <c r="Y64" s="158">
        <f t="shared" si="5"/>
        <v>7831725</v>
      </c>
      <c r="Z64" s="158">
        <f>ROUND(1/4*SUM(材料产出!$AB$22:$AB$24),0)</f>
        <v>3133</v>
      </c>
      <c r="AA64" s="158">
        <f t="shared" si="16"/>
        <v>3133000</v>
      </c>
      <c r="AB64" s="104">
        <f t="shared" si="7"/>
        <v>152</v>
      </c>
      <c r="AC64" s="105">
        <v>30</v>
      </c>
      <c r="AD64" s="104">
        <f t="shared" si="8"/>
        <v>152</v>
      </c>
      <c r="AE64" s="104">
        <f t="shared" si="9"/>
        <v>152</v>
      </c>
      <c r="AF64" s="105">
        <v>7.0000000000000098</v>
      </c>
      <c r="AG64" s="105">
        <v>7.0000000000000098</v>
      </c>
      <c r="AH64" s="104">
        <f t="shared" si="10"/>
        <v>152</v>
      </c>
      <c r="AI64" s="105">
        <v>14</v>
      </c>
      <c r="AJ64" s="104">
        <f t="shared" si="11"/>
        <v>6100</v>
      </c>
      <c r="AK64" s="104">
        <f t="shared" si="12"/>
        <v>24400</v>
      </c>
      <c r="AL64" s="105">
        <v>7.0000000000000098</v>
      </c>
      <c r="AM64" s="105">
        <v>7.0000000000000098</v>
      </c>
      <c r="AN64" s="105">
        <v>800</v>
      </c>
    </row>
    <row r="65" spans="1:40" ht="16.5" x14ac:dyDescent="0.3">
      <c r="A65" s="22" t="s">
        <v>2399</v>
      </c>
      <c r="B65" s="23" t="s">
        <v>2468</v>
      </c>
      <c r="C65" s="22">
        <v>61</v>
      </c>
      <c r="D65" s="98">
        <v>21</v>
      </c>
      <c r="E65" s="101">
        <v>72</v>
      </c>
      <c r="F65" s="98">
        <v>21</v>
      </c>
      <c r="G65" s="101">
        <v>72</v>
      </c>
      <c r="H65" s="98">
        <v>21</v>
      </c>
      <c r="I65" s="101">
        <v>72</v>
      </c>
      <c r="J65" s="101"/>
      <c r="K65" s="101"/>
      <c r="L65" s="101"/>
      <c r="M65" s="101"/>
      <c r="N65" s="69" t="s">
        <v>2469</v>
      </c>
      <c r="O65" s="100" t="str">
        <f t="shared" si="14"/>
        <v>龙晶碎片3133/元宝3133000</v>
      </c>
      <c r="P65" s="97">
        <v>62</v>
      </c>
      <c r="Q65" s="158"/>
      <c r="R65" s="158">
        <f t="shared" si="0"/>
        <v>6200</v>
      </c>
      <c r="S65" s="158">
        <f t="shared" si="1"/>
        <v>24800</v>
      </c>
      <c r="T65" s="158">
        <f t="shared" si="2"/>
        <v>310</v>
      </c>
      <c r="U65" s="158">
        <f t="shared" si="3"/>
        <v>310</v>
      </c>
      <c r="V65" s="158">
        <f>R65*属性价值参考!C$5+附件合成!S65*属性价值参考!C$6+附件合成!T65*(属性价值参考!C$7+属性价值参考!C$8)+附件合成!U65*(属性价值参考!C$9+属性价值参考!C$10)</f>
        <v>94711.2</v>
      </c>
      <c r="W65" s="158">
        <f>AC65*属性价值参考!C$26+附件合成!AF65*属性价值参考!C$24+附件合成!AG65*属性价值参考!C$26+附件合成!AI65*(属性价值参考!C$28+属性价值参考!C$29)+附件合成!AL65*属性价值参考!C$26+附件合成!AM65*属性价值参考!C$27+AN65*(属性价值参考!C$37+属性价值参考!C$38)</f>
        <v>32448.000000000007</v>
      </c>
      <c r="X65" s="158">
        <f t="shared" si="4"/>
        <v>7947.4500000000007</v>
      </c>
      <c r="Y65" s="158">
        <f t="shared" si="5"/>
        <v>7947450.0000000009</v>
      </c>
      <c r="Z65" s="158">
        <f>ROUND(1/4*SUM(材料产出!$AB$22:$AB$24),0)</f>
        <v>3133</v>
      </c>
      <c r="AA65" s="158">
        <f t="shared" si="16"/>
        <v>3133000</v>
      </c>
      <c r="AB65" s="8">
        <f t="shared" si="7"/>
        <v>155</v>
      </c>
      <c r="AC65" s="97">
        <v>35</v>
      </c>
      <c r="AD65" s="8">
        <f t="shared" si="8"/>
        <v>155</v>
      </c>
      <c r="AE65" s="8">
        <f t="shared" si="9"/>
        <v>155</v>
      </c>
      <c r="AF65" s="97">
        <v>7.0000000000000098</v>
      </c>
      <c r="AG65" s="97">
        <v>7.0000000000000098</v>
      </c>
      <c r="AH65" s="8">
        <f t="shared" si="10"/>
        <v>155</v>
      </c>
      <c r="AI65" s="97">
        <v>14</v>
      </c>
      <c r="AJ65" s="8">
        <f t="shared" si="11"/>
        <v>6200</v>
      </c>
      <c r="AK65" s="8">
        <f t="shared" si="12"/>
        <v>24800</v>
      </c>
      <c r="AL65" s="97">
        <v>7.0000000000000098</v>
      </c>
      <c r="AM65" s="97">
        <v>7.0000000000000098</v>
      </c>
      <c r="AN65" s="97">
        <v>800</v>
      </c>
    </row>
    <row r="66" spans="1:40" ht="16.5" x14ac:dyDescent="0.3">
      <c r="A66" s="22" t="s">
        <v>2399</v>
      </c>
      <c r="B66" s="23" t="s">
        <v>2470</v>
      </c>
      <c r="C66" s="22">
        <v>62</v>
      </c>
      <c r="D66" s="98">
        <v>21</v>
      </c>
      <c r="E66" s="101">
        <v>75</v>
      </c>
      <c r="F66" s="98">
        <v>21</v>
      </c>
      <c r="G66" s="101">
        <v>75</v>
      </c>
      <c r="H66" s="98">
        <v>21</v>
      </c>
      <c r="I66" s="101">
        <v>75</v>
      </c>
      <c r="J66" s="101"/>
      <c r="K66" s="101"/>
      <c r="L66" s="101"/>
      <c r="M66" s="101"/>
      <c r="N66" s="69" t="s">
        <v>2469</v>
      </c>
      <c r="O66" s="100" t="str">
        <f t="shared" si="14"/>
        <v>龙晶碎片3133/元宝3133000</v>
      </c>
      <c r="P66" s="97">
        <v>63</v>
      </c>
      <c r="Q66" s="158"/>
      <c r="R66" s="158">
        <f t="shared" si="0"/>
        <v>6300</v>
      </c>
      <c r="S66" s="158">
        <f t="shared" si="1"/>
        <v>25200</v>
      </c>
      <c r="T66" s="158">
        <f t="shared" si="2"/>
        <v>315</v>
      </c>
      <c r="U66" s="158">
        <f t="shared" si="3"/>
        <v>315</v>
      </c>
      <c r="V66" s="158">
        <f>R66*属性价值参考!C$5+附件合成!S66*属性价值参考!C$6+附件合成!T66*(属性价值参考!C$7+属性价值参考!C$8)+附件合成!U66*(属性价值参考!C$9+属性价值参考!C$10)</f>
        <v>96238.8</v>
      </c>
      <c r="W66" s="158">
        <f>AC66*属性价值参考!C$26+附件合成!AF66*属性价值参考!C$24+附件合成!AG66*属性价值参考!C$26+附件合成!AI66*(属性价值参考!C$28+属性价值参考!C$29)+附件合成!AL66*属性价值参考!C$26+附件合成!AM66*属性价值参考!C$27+AN66*(属性价值参考!C$37+属性价值参考!C$38)</f>
        <v>32448.000000000007</v>
      </c>
      <c r="X66" s="158">
        <f t="shared" si="4"/>
        <v>8042.9250000000011</v>
      </c>
      <c r="Y66" s="158">
        <f t="shared" si="5"/>
        <v>8042925.0000000009</v>
      </c>
      <c r="Z66" s="158">
        <f>ROUND(1/4*SUM(材料产出!$AB$22:$AB$24),0)</f>
        <v>3133</v>
      </c>
      <c r="AA66" s="158">
        <f t="shared" si="16"/>
        <v>3133000</v>
      </c>
      <c r="AB66" s="8">
        <f t="shared" si="7"/>
        <v>157</v>
      </c>
      <c r="AC66" s="97">
        <v>35</v>
      </c>
      <c r="AD66" s="8">
        <f t="shared" si="8"/>
        <v>157</v>
      </c>
      <c r="AE66" s="8">
        <f t="shared" si="9"/>
        <v>157</v>
      </c>
      <c r="AF66" s="97">
        <v>7.0000000000000098</v>
      </c>
      <c r="AG66" s="97">
        <v>7.0000000000000098</v>
      </c>
      <c r="AH66" s="8">
        <f t="shared" si="10"/>
        <v>157</v>
      </c>
      <c r="AI66" s="97">
        <v>14</v>
      </c>
      <c r="AJ66" s="8">
        <f t="shared" si="11"/>
        <v>6300</v>
      </c>
      <c r="AK66" s="8">
        <f t="shared" si="12"/>
        <v>25200</v>
      </c>
      <c r="AL66" s="97">
        <v>7.0000000000000098</v>
      </c>
      <c r="AM66" s="97">
        <v>7.0000000000000098</v>
      </c>
      <c r="AN66" s="97">
        <v>800</v>
      </c>
    </row>
    <row r="67" spans="1:40" ht="16.5" x14ac:dyDescent="0.3">
      <c r="A67" s="22" t="s">
        <v>2399</v>
      </c>
      <c r="B67" s="23" t="s">
        <v>2471</v>
      </c>
      <c r="C67" s="22">
        <v>63</v>
      </c>
      <c r="D67" s="98">
        <v>21</v>
      </c>
      <c r="E67" s="101">
        <v>77</v>
      </c>
      <c r="F67" s="98">
        <v>21</v>
      </c>
      <c r="G67" s="101">
        <v>77</v>
      </c>
      <c r="H67" s="98">
        <v>21</v>
      </c>
      <c r="I67" s="101">
        <v>77</v>
      </c>
      <c r="J67" s="101"/>
      <c r="K67" s="101"/>
      <c r="L67" s="101"/>
      <c r="M67" s="101"/>
      <c r="N67" s="69" t="s">
        <v>2469</v>
      </c>
      <c r="O67" s="100" t="str">
        <f t="shared" si="14"/>
        <v>龙晶碎片3133/元宝3133000</v>
      </c>
      <c r="P67" s="97">
        <v>64</v>
      </c>
      <c r="Q67" s="158"/>
      <c r="R67" s="158">
        <f t="shared" si="0"/>
        <v>6400</v>
      </c>
      <c r="S67" s="158">
        <f t="shared" si="1"/>
        <v>25600</v>
      </c>
      <c r="T67" s="158">
        <f t="shared" si="2"/>
        <v>320</v>
      </c>
      <c r="U67" s="158">
        <f t="shared" si="3"/>
        <v>320</v>
      </c>
      <c r="V67" s="158">
        <f>R67*属性价值参考!C$5+附件合成!S67*属性价值参考!C$6+附件合成!T67*(属性价值参考!C$7+属性价值参考!C$8)+附件合成!U67*(属性价值参考!C$9+属性价值参考!C$10)</f>
        <v>97766.399999999994</v>
      </c>
      <c r="W67" s="158">
        <f>AC67*属性价值参考!C$26+附件合成!AF67*属性价值参考!C$24+附件合成!AG67*属性价值参考!C$26+附件合成!AI67*(属性价值参考!C$28+属性价值参考!C$29)+附件合成!AL67*属性价值参考!C$26+附件合成!AM67*属性价值参考!C$27+AN67*(属性价值参考!C$37+属性价值参考!C$38)</f>
        <v>32448.000000000007</v>
      </c>
      <c r="X67" s="158">
        <f t="shared" si="4"/>
        <v>8138.4</v>
      </c>
      <c r="Y67" s="158">
        <f t="shared" si="5"/>
        <v>8138400</v>
      </c>
      <c r="Z67" s="158">
        <f>ROUND(1/4*SUM(材料产出!$AB$22:$AB$24),0)</f>
        <v>3133</v>
      </c>
      <c r="AA67" s="158">
        <f t="shared" si="16"/>
        <v>3133000</v>
      </c>
      <c r="AB67" s="8">
        <f t="shared" si="7"/>
        <v>160</v>
      </c>
      <c r="AC67" s="97">
        <v>35</v>
      </c>
      <c r="AD67" s="8">
        <f t="shared" si="8"/>
        <v>160</v>
      </c>
      <c r="AE67" s="8">
        <f t="shared" si="9"/>
        <v>160</v>
      </c>
      <c r="AF67" s="97">
        <v>7.0000000000000098</v>
      </c>
      <c r="AG67" s="97">
        <v>7.0000000000000098</v>
      </c>
      <c r="AH67" s="8">
        <f t="shared" si="10"/>
        <v>160</v>
      </c>
      <c r="AI67" s="97">
        <v>14</v>
      </c>
      <c r="AJ67" s="8">
        <f t="shared" si="11"/>
        <v>6400</v>
      </c>
      <c r="AK67" s="8">
        <f t="shared" si="12"/>
        <v>25600</v>
      </c>
      <c r="AL67" s="97">
        <v>7.0000000000000098</v>
      </c>
      <c r="AM67" s="97">
        <v>7.0000000000000098</v>
      </c>
      <c r="AN67" s="97">
        <v>800</v>
      </c>
    </row>
    <row r="68" spans="1:40" ht="16.5" x14ac:dyDescent="0.3">
      <c r="A68" s="22" t="s">
        <v>2399</v>
      </c>
      <c r="B68" s="23" t="s">
        <v>2472</v>
      </c>
      <c r="C68" s="22">
        <v>64</v>
      </c>
      <c r="D68" s="98">
        <v>21</v>
      </c>
      <c r="E68" s="101">
        <v>79</v>
      </c>
      <c r="F68" s="98">
        <v>21</v>
      </c>
      <c r="G68" s="101">
        <v>79</v>
      </c>
      <c r="H68" s="98">
        <v>21</v>
      </c>
      <c r="I68" s="101">
        <v>79</v>
      </c>
      <c r="J68" s="101"/>
      <c r="K68" s="101"/>
      <c r="L68" s="101"/>
      <c r="M68" s="101"/>
      <c r="N68" s="69" t="s">
        <v>2469</v>
      </c>
      <c r="O68" s="100" t="str">
        <f t="shared" si="14"/>
        <v>龙晶碎片3133/元宝3133000</v>
      </c>
      <c r="P68" s="97">
        <v>65</v>
      </c>
      <c r="Q68" s="158"/>
      <c r="R68" s="158">
        <f t="shared" ref="R68:R101" si="17">INT(P68/P$103*R$103)</f>
        <v>6500</v>
      </c>
      <c r="S68" s="158">
        <f t="shared" ref="S68:S101" si="18">INT(P68/P$103*S$103)</f>
        <v>26000</v>
      </c>
      <c r="T68" s="158">
        <f t="shared" ref="T68:T101" si="19">INT(P68/P$103*T$103)</f>
        <v>325</v>
      </c>
      <c r="U68" s="158">
        <f t="shared" ref="U68:U101" si="20">INT(P68/P$103*U$103)</f>
        <v>325</v>
      </c>
      <c r="V68" s="158">
        <f>R68*属性价值参考!C$5+附件合成!S68*属性价值参考!C$6+附件合成!T68*(属性价值参考!C$7+属性价值参考!C$8)+附件合成!U68*(属性价值参考!C$9+属性价值参考!C$10)</f>
        <v>99294</v>
      </c>
      <c r="W68" s="158">
        <f>AC68*属性价值参考!C$26+附件合成!AF68*属性价值参考!C$24+附件合成!AG68*属性价值参考!C$26+附件合成!AI68*(属性价值参考!C$28+属性价值参考!C$29)+附件合成!AL68*属性价值参考!C$26+附件合成!AM68*属性价值参考!C$27+AN68*(属性价值参考!C$37+属性价值参考!C$38)</f>
        <v>32448.000000000007</v>
      </c>
      <c r="X68" s="158">
        <f t="shared" ref="X68:X102" si="21">(V68+W68)/16</f>
        <v>8233.875</v>
      </c>
      <c r="Y68" s="158">
        <f t="shared" ref="Y68:Y102" si="22">(V68+W68)/16*1000</f>
        <v>8233875</v>
      </c>
      <c r="Z68" s="158">
        <f>ROUND(1/4*SUM(材料产出!$AB$22:$AB$24),0)</f>
        <v>3133</v>
      </c>
      <c r="AA68" s="158">
        <f t="shared" si="16"/>
        <v>3133000</v>
      </c>
      <c r="AB68" s="8">
        <f t="shared" ref="AB68:AB102" si="23">INT(0.5*T68)</f>
        <v>162</v>
      </c>
      <c r="AC68" s="97">
        <v>35</v>
      </c>
      <c r="AD68" s="8">
        <f t="shared" ref="AD68:AD102" si="24">INT(0.5*T68)</f>
        <v>162</v>
      </c>
      <c r="AE68" s="8">
        <f t="shared" ref="AE68:AE102" si="25">INT(0.5*U68)</f>
        <v>162</v>
      </c>
      <c r="AF68" s="97">
        <v>7.0000000000000098</v>
      </c>
      <c r="AG68" s="97">
        <v>7.0000000000000098</v>
      </c>
      <c r="AH68" s="8">
        <f t="shared" ref="AH68:AH102" si="26">INT(0.5*U68)</f>
        <v>162</v>
      </c>
      <c r="AI68" s="97">
        <v>14</v>
      </c>
      <c r="AJ68" s="8">
        <f t="shared" ref="AJ68:AJ102" si="27">INT(R68)</f>
        <v>6500</v>
      </c>
      <c r="AK68" s="8">
        <f t="shared" ref="AK68:AK102" si="28">INT(S68)</f>
        <v>26000</v>
      </c>
      <c r="AL68" s="97">
        <v>7.0000000000000098</v>
      </c>
      <c r="AM68" s="97">
        <v>7.0000000000000098</v>
      </c>
      <c r="AN68" s="97">
        <v>800</v>
      </c>
    </row>
    <row r="69" spans="1:40" ht="16.5" x14ac:dyDescent="0.3">
      <c r="A69" s="22" t="s">
        <v>2399</v>
      </c>
      <c r="B69" s="23" t="s">
        <v>2473</v>
      </c>
      <c r="C69" s="22">
        <v>65</v>
      </c>
      <c r="D69" s="98">
        <v>22</v>
      </c>
      <c r="E69" s="101">
        <v>81</v>
      </c>
      <c r="F69" s="98">
        <v>22</v>
      </c>
      <c r="G69" s="101">
        <v>81</v>
      </c>
      <c r="H69" s="98">
        <v>22</v>
      </c>
      <c r="I69" s="101">
        <v>81</v>
      </c>
      <c r="J69" s="101"/>
      <c r="K69" s="101"/>
      <c r="L69" s="101"/>
      <c r="M69" s="101"/>
      <c r="N69" s="69" t="s">
        <v>2469</v>
      </c>
      <c r="O69" s="100" t="str">
        <f t="shared" ref="O69:O103" si="29">"龙晶碎片"&amp;Z69&amp;"/元宝"&amp;AA69</f>
        <v>龙晶碎片3133/元宝3133000</v>
      </c>
      <c r="P69" s="97">
        <v>66</v>
      </c>
      <c r="Q69" s="158"/>
      <c r="R69" s="158">
        <f t="shared" si="17"/>
        <v>6600</v>
      </c>
      <c r="S69" s="158">
        <f t="shared" si="18"/>
        <v>26400</v>
      </c>
      <c r="T69" s="158">
        <f t="shared" si="19"/>
        <v>330</v>
      </c>
      <c r="U69" s="158">
        <f t="shared" si="20"/>
        <v>330</v>
      </c>
      <c r="V69" s="158">
        <f>R69*属性价值参考!C$5+附件合成!S69*属性价值参考!C$6+附件合成!T69*(属性价值参考!C$7+属性价值参考!C$8)+附件合成!U69*(属性价值参考!C$9+属性价值参考!C$10)</f>
        <v>100821.59999999999</v>
      </c>
      <c r="W69" s="158">
        <f>AC69*属性价值参考!C$26+附件合成!AF69*属性价值参考!C$24+附件合成!AG69*属性价值参考!C$26+附件合成!AI69*(属性价值参考!C$28+属性价值参考!C$29)+附件合成!AL69*属性价值参考!C$26+附件合成!AM69*属性价值参考!C$27+AN69*(属性价值参考!C$37+属性价值参考!C$38)</f>
        <v>32448.000000000007</v>
      </c>
      <c r="X69" s="158">
        <f t="shared" si="21"/>
        <v>8329.35</v>
      </c>
      <c r="Y69" s="158">
        <f t="shared" si="22"/>
        <v>8329350</v>
      </c>
      <c r="Z69" s="158">
        <f>ROUND(1/4*SUM(材料产出!$AB$22:$AB$24),0)</f>
        <v>3133</v>
      </c>
      <c r="AA69" s="158">
        <f t="shared" si="16"/>
        <v>3133000</v>
      </c>
      <c r="AB69" s="8">
        <f t="shared" si="23"/>
        <v>165</v>
      </c>
      <c r="AC69" s="97">
        <v>35</v>
      </c>
      <c r="AD69" s="8">
        <f t="shared" si="24"/>
        <v>165</v>
      </c>
      <c r="AE69" s="8">
        <f t="shared" si="25"/>
        <v>165</v>
      </c>
      <c r="AF69" s="97">
        <v>7.0000000000000098</v>
      </c>
      <c r="AG69" s="97">
        <v>7.0000000000000098</v>
      </c>
      <c r="AH69" s="8">
        <f t="shared" si="26"/>
        <v>165</v>
      </c>
      <c r="AI69" s="97">
        <v>14</v>
      </c>
      <c r="AJ69" s="8">
        <f t="shared" si="27"/>
        <v>6600</v>
      </c>
      <c r="AK69" s="8">
        <f t="shared" si="28"/>
        <v>26400</v>
      </c>
      <c r="AL69" s="97">
        <v>7.0000000000000098</v>
      </c>
      <c r="AM69" s="97">
        <v>7.0000000000000098</v>
      </c>
      <c r="AN69" s="97">
        <v>800</v>
      </c>
    </row>
    <row r="70" spans="1:40" ht="16.5" x14ac:dyDescent="0.3">
      <c r="A70" s="22" t="s">
        <v>2399</v>
      </c>
      <c r="B70" s="23" t="s">
        <v>2474</v>
      </c>
      <c r="C70" s="22">
        <v>66</v>
      </c>
      <c r="D70" s="98">
        <v>22</v>
      </c>
      <c r="E70" s="101">
        <v>83</v>
      </c>
      <c r="F70" s="98">
        <v>22</v>
      </c>
      <c r="G70" s="101">
        <v>83</v>
      </c>
      <c r="H70" s="98">
        <v>22</v>
      </c>
      <c r="I70" s="101">
        <v>83</v>
      </c>
      <c r="J70" s="101"/>
      <c r="K70" s="101"/>
      <c r="L70" s="101"/>
      <c r="M70" s="101"/>
      <c r="N70" s="69" t="s">
        <v>2469</v>
      </c>
      <c r="O70" s="100" t="str">
        <f t="shared" si="29"/>
        <v>龙晶碎片3133/元宝3133000</v>
      </c>
      <c r="P70" s="97">
        <v>67</v>
      </c>
      <c r="Q70" s="158"/>
      <c r="R70" s="158">
        <f t="shared" si="17"/>
        <v>6700</v>
      </c>
      <c r="S70" s="158">
        <f t="shared" si="18"/>
        <v>26800</v>
      </c>
      <c r="T70" s="158">
        <f t="shared" si="19"/>
        <v>335</v>
      </c>
      <c r="U70" s="158">
        <f t="shared" si="20"/>
        <v>335</v>
      </c>
      <c r="V70" s="158">
        <f>R70*属性价值参考!C$5+附件合成!S70*属性价值参考!C$6+附件合成!T70*(属性价值参考!C$7+属性价值参考!C$8)+附件合成!U70*(属性价值参考!C$9+属性价值参考!C$10)</f>
        <v>102349.2</v>
      </c>
      <c r="W70" s="158">
        <f>AC70*属性价值参考!C$26+附件合成!AF70*属性价值参考!C$24+附件合成!AG70*属性价值参考!C$26+附件合成!AI70*(属性价值参考!C$28+属性价值参考!C$29)+附件合成!AL70*属性价值参考!C$26+附件合成!AM70*属性价值参考!C$27+AN70*(属性价值参考!C$37+属性价值参考!C$38)</f>
        <v>32448.000000000007</v>
      </c>
      <c r="X70" s="158">
        <f t="shared" si="21"/>
        <v>8424.8250000000007</v>
      </c>
      <c r="Y70" s="158">
        <f t="shared" si="22"/>
        <v>8424825</v>
      </c>
      <c r="Z70" s="158">
        <f>ROUND(1/4*SUM(材料产出!$AB$22:$AB$24),0)</f>
        <v>3133</v>
      </c>
      <c r="AA70" s="158">
        <f t="shared" si="16"/>
        <v>3133000</v>
      </c>
      <c r="AB70" s="8">
        <f t="shared" si="23"/>
        <v>167</v>
      </c>
      <c r="AC70" s="97">
        <v>35</v>
      </c>
      <c r="AD70" s="8">
        <f t="shared" si="24"/>
        <v>167</v>
      </c>
      <c r="AE70" s="8">
        <f t="shared" si="25"/>
        <v>167</v>
      </c>
      <c r="AF70" s="97">
        <v>7.0000000000000098</v>
      </c>
      <c r="AG70" s="97">
        <v>7.0000000000000098</v>
      </c>
      <c r="AH70" s="8">
        <f t="shared" si="26"/>
        <v>167</v>
      </c>
      <c r="AI70" s="97">
        <v>14</v>
      </c>
      <c r="AJ70" s="8">
        <f t="shared" si="27"/>
        <v>6700</v>
      </c>
      <c r="AK70" s="8">
        <f t="shared" si="28"/>
        <v>26800</v>
      </c>
      <c r="AL70" s="97">
        <v>7.0000000000000098</v>
      </c>
      <c r="AM70" s="97">
        <v>7.0000000000000098</v>
      </c>
      <c r="AN70" s="97">
        <v>800</v>
      </c>
    </row>
    <row r="71" spans="1:40" ht="16.5" x14ac:dyDescent="0.3">
      <c r="A71" s="22" t="s">
        <v>2399</v>
      </c>
      <c r="B71" s="23" t="s">
        <v>2475</v>
      </c>
      <c r="C71" s="22">
        <v>67</v>
      </c>
      <c r="D71" s="98">
        <v>22</v>
      </c>
      <c r="E71" s="101">
        <v>85</v>
      </c>
      <c r="F71" s="98">
        <v>22</v>
      </c>
      <c r="G71" s="101">
        <v>85</v>
      </c>
      <c r="H71" s="98">
        <v>22</v>
      </c>
      <c r="I71" s="101">
        <v>85</v>
      </c>
      <c r="J71" s="101"/>
      <c r="K71" s="101"/>
      <c r="L71" s="101"/>
      <c r="M71" s="101"/>
      <c r="N71" s="69" t="s">
        <v>2469</v>
      </c>
      <c r="O71" s="100" t="str">
        <f t="shared" si="29"/>
        <v>龙晶碎片3133/元宝3133000</v>
      </c>
      <c r="P71" s="97">
        <v>68</v>
      </c>
      <c r="Q71" s="158"/>
      <c r="R71" s="158">
        <f t="shared" si="17"/>
        <v>6800</v>
      </c>
      <c r="S71" s="158">
        <f t="shared" si="18"/>
        <v>27200</v>
      </c>
      <c r="T71" s="158">
        <f t="shared" si="19"/>
        <v>340</v>
      </c>
      <c r="U71" s="158">
        <f t="shared" si="20"/>
        <v>340</v>
      </c>
      <c r="V71" s="158">
        <f>R71*属性价值参考!C$5+附件合成!S71*属性价值参考!C$6+附件合成!T71*(属性价值参考!C$7+属性价值参考!C$8)+附件合成!U71*(属性价值参考!C$9+属性价值参考!C$10)</f>
        <v>103876.8</v>
      </c>
      <c r="W71" s="158">
        <f>AC71*属性价值参考!C$26+附件合成!AF71*属性价值参考!C$24+附件合成!AG71*属性价值参考!C$26+附件合成!AI71*(属性价值参考!C$28+属性价值参考!C$29)+附件合成!AL71*属性价值参考!C$26+附件合成!AM71*属性价值参考!C$27+AN71*(属性价值参考!C$37+属性价值参考!C$38)</f>
        <v>32448.000000000007</v>
      </c>
      <c r="X71" s="158">
        <f t="shared" si="21"/>
        <v>8520.3000000000011</v>
      </c>
      <c r="Y71" s="158">
        <f t="shared" si="22"/>
        <v>8520300.0000000019</v>
      </c>
      <c r="Z71" s="158">
        <f>ROUND(1/4*SUM(材料产出!$AB$22:$AB$24),0)</f>
        <v>3133</v>
      </c>
      <c r="AA71" s="158">
        <f t="shared" si="16"/>
        <v>3133000</v>
      </c>
      <c r="AB71" s="8">
        <f t="shared" si="23"/>
        <v>170</v>
      </c>
      <c r="AC71" s="97">
        <v>35</v>
      </c>
      <c r="AD71" s="8">
        <f t="shared" si="24"/>
        <v>170</v>
      </c>
      <c r="AE71" s="8">
        <f t="shared" si="25"/>
        <v>170</v>
      </c>
      <c r="AF71" s="97">
        <v>7.0000000000000098</v>
      </c>
      <c r="AG71" s="97">
        <v>7.0000000000000098</v>
      </c>
      <c r="AH71" s="8">
        <f t="shared" si="26"/>
        <v>170</v>
      </c>
      <c r="AI71" s="97">
        <v>14</v>
      </c>
      <c r="AJ71" s="8">
        <f t="shared" si="27"/>
        <v>6800</v>
      </c>
      <c r="AK71" s="8">
        <f t="shared" si="28"/>
        <v>27200</v>
      </c>
      <c r="AL71" s="97">
        <v>7.0000000000000098</v>
      </c>
      <c r="AM71" s="97">
        <v>7.0000000000000098</v>
      </c>
      <c r="AN71" s="97">
        <v>800</v>
      </c>
    </row>
    <row r="72" spans="1:40" ht="16.5" x14ac:dyDescent="0.3">
      <c r="A72" s="22" t="s">
        <v>2399</v>
      </c>
      <c r="B72" s="23" t="s">
        <v>2476</v>
      </c>
      <c r="C72" s="22">
        <v>68</v>
      </c>
      <c r="D72" s="98">
        <v>23</v>
      </c>
      <c r="E72" s="101">
        <v>87</v>
      </c>
      <c r="F72" s="98">
        <v>23</v>
      </c>
      <c r="G72" s="101">
        <v>87</v>
      </c>
      <c r="H72" s="98">
        <v>23</v>
      </c>
      <c r="I72" s="101">
        <v>87</v>
      </c>
      <c r="J72" s="101"/>
      <c r="K72" s="101"/>
      <c r="L72" s="101"/>
      <c r="M72" s="101"/>
      <c r="N72" s="69" t="s">
        <v>2469</v>
      </c>
      <c r="O72" s="100" t="str">
        <f t="shared" si="29"/>
        <v>龙晶碎片3133/元宝3133000</v>
      </c>
      <c r="P72" s="97">
        <v>69</v>
      </c>
      <c r="Q72" s="158"/>
      <c r="R72" s="158">
        <f t="shared" si="17"/>
        <v>6900</v>
      </c>
      <c r="S72" s="158">
        <f t="shared" si="18"/>
        <v>27600</v>
      </c>
      <c r="T72" s="158">
        <f t="shared" si="19"/>
        <v>345</v>
      </c>
      <c r="U72" s="158">
        <f t="shared" si="20"/>
        <v>345</v>
      </c>
      <c r="V72" s="158">
        <f>R72*属性价值参考!C$5+附件合成!S72*属性价值参考!C$6+附件合成!T72*(属性价值参考!C$7+属性价值参考!C$8)+附件合成!U72*(属性价值参考!C$9+属性价值参考!C$10)</f>
        <v>105404.4</v>
      </c>
      <c r="W72" s="158">
        <f>AC72*属性价值参考!C$26+附件合成!AF72*属性价值参考!C$24+附件合成!AG72*属性价值参考!C$26+附件合成!AI72*(属性价值参考!C$28+属性价值参考!C$29)+附件合成!AL72*属性价值参考!C$26+附件合成!AM72*属性价值参考!C$27+AN72*(属性价值参考!C$37+属性价值参考!C$38)</f>
        <v>32448.000000000007</v>
      </c>
      <c r="X72" s="158">
        <f t="shared" si="21"/>
        <v>8615.7749999999996</v>
      </c>
      <c r="Y72" s="158">
        <f t="shared" si="22"/>
        <v>8615775</v>
      </c>
      <c r="Z72" s="158">
        <f>ROUND(1/4*SUM(材料产出!$AB$22:$AB$24),0)</f>
        <v>3133</v>
      </c>
      <c r="AA72" s="158">
        <f t="shared" si="16"/>
        <v>3133000</v>
      </c>
      <c r="AB72" s="8">
        <f t="shared" si="23"/>
        <v>172</v>
      </c>
      <c r="AC72" s="97">
        <v>35</v>
      </c>
      <c r="AD72" s="8">
        <f t="shared" si="24"/>
        <v>172</v>
      </c>
      <c r="AE72" s="8">
        <f t="shared" si="25"/>
        <v>172</v>
      </c>
      <c r="AF72" s="97">
        <v>7.0000000000000098</v>
      </c>
      <c r="AG72" s="97">
        <v>7.0000000000000098</v>
      </c>
      <c r="AH72" s="8">
        <f t="shared" si="26"/>
        <v>172</v>
      </c>
      <c r="AI72" s="97">
        <v>14</v>
      </c>
      <c r="AJ72" s="8">
        <f t="shared" si="27"/>
        <v>6900</v>
      </c>
      <c r="AK72" s="8">
        <f t="shared" si="28"/>
        <v>27600</v>
      </c>
      <c r="AL72" s="97">
        <v>7.0000000000000098</v>
      </c>
      <c r="AM72" s="97">
        <v>7.0000000000000098</v>
      </c>
      <c r="AN72" s="97">
        <v>800</v>
      </c>
    </row>
    <row r="73" spans="1:40" ht="16.5" x14ac:dyDescent="0.3">
      <c r="A73" s="22" t="s">
        <v>2399</v>
      </c>
      <c r="B73" s="23" t="s">
        <v>2477</v>
      </c>
      <c r="C73" s="22">
        <v>69</v>
      </c>
      <c r="D73" s="98">
        <v>23</v>
      </c>
      <c r="E73" s="101">
        <v>89</v>
      </c>
      <c r="F73" s="98">
        <v>23</v>
      </c>
      <c r="G73" s="101">
        <v>89</v>
      </c>
      <c r="H73" s="98">
        <v>23</v>
      </c>
      <c r="I73" s="101">
        <v>89</v>
      </c>
      <c r="J73" s="101"/>
      <c r="K73" s="101"/>
      <c r="L73" s="101"/>
      <c r="M73" s="101"/>
      <c r="N73" s="69" t="s">
        <v>2469</v>
      </c>
      <c r="O73" s="100" t="str">
        <f t="shared" si="29"/>
        <v>龙晶碎片3133/元宝3133000</v>
      </c>
      <c r="P73" s="97">
        <v>70</v>
      </c>
      <c r="Q73" s="206">
        <f>材料产出!C22</f>
        <v>4.5999999999999996</v>
      </c>
      <c r="R73" s="158">
        <f t="shared" si="17"/>
        <v>7000</v>
      </c>
      <c r="S73" s="158">
        <f t="shared" si="18"/>
        <v>28000</v>
      </c>
      <c r="T73" s="158">
        <f t="shared" si="19"/>
        <v>350</v>
      </c>
      <c r="U73" s="158">
        <f t="shared" si="20"/>
        <v>350</v>
      </c>
      <c r="V73" s="158">
        <f>R73*属性价值参考!C$5+附件合成!S73*属性价值参考!C$6+附件合成!T73*(属性价值参考!C$7+属性价值参考!C$8)+附件合成!U73*(属性价值参考!C$9+属性价值参考!C$10)</f>
        <v>106932</v>
      </c>
      <c r="W73" s="158">
        <f>AC73*属性价值参考!C$26+附件合成!AF73*属性价值参考!C$24+附件合成!AG73*属性价值参考!C$26+附件合成!AI73*(属性价值参考!C$28+属性价值参考!C$29)+附件合成!AL73*属性价值参考!C$26+附件合成!AM73*属性价值参考!C$27+AN73*(属性价值参考!C$37+属性价值参考!C$38)</f>
        <v>32448.000000000007</v>
      </c>
      <c r="X73" s="158">
        <f t="shared" si="21"/>
        <v>8711.25</v>
      </c>
      <c r="Y73" s="158">
        <f t="shared" si="22"/>
        <v>8711250</v>
      </c>
      <c r="Z73" s="158">
        <f>ROUND(1/4*SUM(材料产出!$AB$22:$AB$24),0)</f>
        <v>3133</v>
      </c>
      <c r="AA73" s="158">
        <f t="shared" si="16"/>
        <v>3133000</v>
      </c>
      <c r="AB73" s="8">
        <f t="shared" si="23"/>
        <v>175</v>
      </c>
      <c r="AC73" s="97">
        <v>35</v>
      </c>
      <c r="AD73" s="8">
        <f t="shared" si="24"/>
        <v>175</v>
      </c>
      <c r="AE73" s="8">
        <f t="shared" si="25"/>
        <v>175</v>
      </c>
      <c r="AF73" s="97">
        <v>7.0000000000000098</v>
      </c>
      <c r="AG73" s="97">
        <v>7.0000000000000098</v>
      </c>
      <c r="AH73" s="8">
        <f t="shared" si="26"/>
        <v>175</v>
      </c>
      <c r="AI73" s="97">
        <v>14</v>
      </c>
      <c r="AJ73" s="8">
        <f t="shared" si="27"/>
        <v>7000</v>
      </c>
      <c r="AK73" s="8">
        <f t="shared" si="28"/>
        <v>28000</v>
      </c>
      <c r="AL73" s="97">
        <v>7.0000000000000098</v>
      </c>
      <c r="AM73" s="97">
        <v>7.0000000000000098</v>
      </c>
      <c r="AN73" s="97">
        <v>800</v>
      </c>
    </row>
    <row r="74" spans="1:40" ht="16.5" x14ac:dyDescent="0.3">
      <c r="A74" s="22" t="s">
        <v>2399</v>
      </c>
      <c r="B74" s="23" t="s">
        <v>2478</v>
      </c>
      <c r="C74" s="22">
        <v>70</v>
      </c>
      <c r="D74" s="98">
        <v>23</v>
      </c>
      <c r="E74" s="101">
        <v>91</v>
      </c>
      <c r="F74" s="98">
        <v>23</v>
      </c>
      <c r="G74" s="101">
        <v>91</v>
      </c>
      <c r="H74" s="98">
        <v>23</v>
      </c>
      <c r="I74" s="101">
        <v>91</v>
      </c>
      <c r="J74" s="101"/>
      <c r="K74" s="101"/>
      <c r="L74" s="101"/>
      <c r="M74" s="101"/>
      <c r="N74" s="69" t="s">
        <v>2469</v>
      </c>
      <c r="O74" s="100" t="str">
        <f t="shared" si="29"/>
        <v>龙晶碎片3644/元宝3644000</v>
      </c>
      <c r="P74" s="191">
        <v>71</v>
      </c>
      <c r="Q74" s="207"/>
      <c r="R74" s="158">
        <f t="shared" si="17"/>
        <v>7100</v>
      </c>
      <c r="S74" s="158">
        <f t="shared" si="18"/>
        <v>28400</v>
      </c>
      <c r="T74" s="158">
        <f t="shared" si="19"/>
        <v>355</v>
      </c>
      <c r="U74" s="158">
        <f t="shared" si="20"/>
        <v>355</v>
      </c>
      <c r="V74" s="158">
        <f>R74*属性价值参考!C$5+附件合成!S74*属性价值参考!C$6+附件合成!T74*(属性价值参考!C$7+属性价值参考!C$8)+附件合成!U74*(属性价值参考!C$9+属性价值参考!C$10)</f>
        <v>108459.6</v>
      </c>
      <c r="W74" s="158">
        <f>AC74*属性价值参考!C$26+附件合成!AF74*属性价值参考!C$24+附件合成!AG74*属性价值参考!C$26+附件合成!AI74*(属性价值参考!C$28+属性价值参考!C$29)+附件合成!AL74*属性价值参考!C$26+附件合成!AM74*属性价值参考!C$27+AN74*(属性价值参考!C$37+属性价值参考!C$38)</f>
        <v>45108.000000000007</v>
      </c>
      <c r="X74" s="158">
        <f t="shared" si="21"/>
        <v>9597.9750000000004</v>
      </c>
      <c r="Y74" s="158">
        <f t="shared" si="22"/>
        <v>9597975</v>
      </c>
      <c r="Z74" s="158">
        <f>ROUND(1/4*SUM(材料产出!$AB$25:$AB$26),0)</f>
        <v>3644</v>
      </c>
      <c r="AA74" s="158">
        <f t="shared" si="16"/>
        <v>3644000</v>
      </c>
      <c r="AB74" s="104">
        <f t="shared" si="23"/>
        <v>177</v>
      </c>
      <c r="AC74" s="105">
        <v>35</v>
      </c>
      <c r="AD74" s="104">
        <f t="shared" si="24"/>
        <v>177</v>
      </c>
      <c r="AE74" s="104">
        <f t="shared" si="25"/>
        <v>177</v>
      </c>
      <c r="AF74" s="105">
        <v>8.0000000000000107</v>
      </c>
      <c r="AG74" s="105">
        <v>8.0000000000000107</v>
      </c>
      <c r="AH74" s="104">
        <f t="shared" si="26"/>
        <v>177</v>
      </c>
      <c r="AI74" s="105">
        <v>16</v>
      </c>
      <c r="AJ74" s="104">
        <f t="shared" si="27"/>
        <v>7100</v>
      </c>
      <c r="AK74" s="104">
        <f t="shared" si="28"/>
        <v>28400</v>
      </c>
      <c r="AL74" s="105">
        <v>8.0000000000000107</v>
      </c>
      <c r="AM74" s="105">
        <v>8.0000000000000107</v>
      </c>
      <c r="AN74" s="105">
        <v>1200</v>
      </c>
    </row>
    <row r="75" spans="1:40" ht="16.5" x14ac:dyDescent="0.3">
      <c r="A75" s="22" t="s">
        <v>2399</v>
      </c>
      <c r="B75" s="23" t="s">
        <v>2479</v>
      </c>
      <c r="C75" s="22">
        <v>71</v>
      </c>
      <c r="D75" s="98">
        <v>25</v>
      </c>
      <c r="E75" s="101">
        <v>92</v>
      </c>
      <c r="F75" s="98">
        <v>25</v>
      </c>
      <c r="G75" s="101">
        <v>92</v>
      </c>
      <c r="H75" s="98">
        <v>25</v>
      </c>
      <c r="I75" s="101">
        <v>92</v>
      </c>
      <c r="J75" s="101"/>
      <c r="K75" s="101"/>
      <c r="L75" s="101"/>
      <c r="M75" s="101"/>
      <c r="N75" s="69" t="s">
        <v>2480</v>
      </c>
      <c r="O75" s="100" t="str">
        <f t="shared" si="29"/>
        <v>龙晶碎片3644/元宝3644000</v>
      </c>
      <c r="P75" s="97">
        <v>72</v>
      </c>
      <c r="Q75" s="158"/>
      <c r="R75" s="158">
        <f t="shared" si="17"/>
        <v>7200</v>
      </c>
      <c r="S75" s="158">
        <f t="shared" si="18"/>
        <v>28800</v>
      </c>
      <c r="T75" s="158">
        <f t="shared" si="19"/>
        <v>360</v>
      </c>
      <c r="U75" s="158">
        <f t="shared" si="20"/>
        <v>360</v>
      </c>
      <c r="V75" s="158">
        <f>R75*属性价值参考!C$5+附件合成!S75*属性价值参考!C$6+附件合成!T75*(属性价值参考!C$7+属性价值参考!C$8)+附件合成!U75*(属性价值参考!C$9+属性价值参考!C$10)</f>
        <v>109987.2</v>
      </c>
      <c r="W75" s="158">
        <f>AC75*属性价值参考!C$26+附件合成!AF75*属性价值参考!C$24+附件合成!AG75*属性价值参考!C$26+附件合成!AI75*(属性价值参考!C$28+属性价值参考!C$29)+附件合成!AL75*属性价值参考!C$26+附件合成!AM75*属性价值参考!C$27+AN75*(属性价值参考!C$37+属性价值参考!C$38)</f>
        <v>45432.000000000007</v>
      </c>
      <c r="X75" s="158">
        <f t="shared" si="21"/>
        <v>9713.7000000000007</v>
      </c>
      <c r="Y75" s="158">
        <f t="shared" si="22"/>
        <v>9713700</v>
      </c>
      <c r="Z75" s="158">
        <f>ROUND(1/4*SUM(材料产出!$AB$25:$AB$26),0)</f>
        <v>3644</v>
      </c>
      <c r="AA75" s="158">
        <f t="shared" si="16"/>
        <v>3644000</v>
      </c>
      <c r="AB75" s="8">
        <f t="shared" si="23"/>
        <v>180</v>
      </c>
      <c r="AC75" s="97">
        <v>40</v>
      </c>
      <c r="AD75" s="8">
        <f t="shared" si="24"/>
        <v>180</v>
      </c>
      <c r="AE75" s="8">
        <f t="shared" si="25"/>
        <v>180</v>
      </c>
      <c r="AF75" s="97">
        <v>8.0000000000000107</v>
      </c>
      <c r="AG75" s="97">
        <v>8.0000000000000107</v>
      </c>
      <c r="AH75" s="8">
        <f t="shared" si="26"/>
        <v>180</v>
      </c>
      <c r="AI75" s="97">
        <v>16</v>
      </c>
      <c r="AJ75" s="8">
        <f t="shared" si="27"/>
        <v>7200</v>
      </c>
      <c r="AK75" s="8">
        <f t="shared" si="28"/>
        <v>28800</v>
      </c>
      <c r="AL75" s="97">
        <v>8.0000000000000107</v>
      </c>
      <c r="AM75" s="97">
        <v>8.0000000000000107</v>
      </c>
      <c r="AN75" s="97">
        <v>1200</v>
      </c>
    </row>
    <row r="76" spans="1:40" ht="16.5" x14ac:dyDescent="0.3">
      <c r="A76" s="22" t="s">
        <v>2399</v>
      </c>
      <c r="B76" s="23" t="s">
        <v>2481</v>
      </c>
      <c r="C76" s="22">
        <v>72</v>
      </c>
      <c r="D76" s="98">
        <v>25</v>
      </c>
      <c r="E76" s="101">
        <v>95</v>
      </c>
      <c r="F76" s="98">
        <v>25</v>
      </c>
      <c r="G76" s="101">
        <v>95</v>
      </c>
      <c r="H76" s="98">
        <v>25</v>
      </c>
      <c r="I76" s="101">
        <v>95</v>
      </c>
      <c r="J76" s="101"/>
      <c r="K76" s="101"/>
      <c r="L76" s="101"/>
      <c r="M76" s="101"/>
      <c r="N76" s="69" t="s">
        <v>2482</v>
      </c>
      <c r="O76" s="100" t="str">
        <f t="shared" si="29"/>
        <v>龙晶碎片3644/元宝3644000</v>
      </c>
      <c r="P76" s="97">
        <v>73</v>
      </c>
      <c r="Q76" s="158"/>
      <c r="R76" s="158">
        <f t="shared" si="17"/>
        <v>7300</v>
      </c>
      <c r="S76" s="158">
        <f t="shared" si="18"/>
        <v>29200</v>
      </c>
      <c r="T76" s="158">
        <f t="shared" si="19"/>
        <v>365</v>
      </c>
      <c r="U76" s="158">
        <f t="shared" si="20"/>
        <v>365</v>
      </c>
      <c r="V76" s="158">
        <f>R76*属性价值参考!C$5+附件合成!S76*属性价值参考!C$6+附件合成!T76*(属性价值参考!C$7+属性价值参考!C$8)+附件合成!U76*(属性价值参考!C$9+属性价值参考!C$10)</f>
        <v>111514.79999999999</v>
      </c>
      <c r="W76" s="158">
        <f>AC76*属性价值参考!C$26+附件合成!AF76*属性价值参考!C$24+附件合成!AG76*属性价值参考!C$26+附件合成!AI76*(属性价值参考!C$28+属性价值参考!C$29)+附件合成!AL76*属性价值参考!C$26+附件合成!AM76*属性价值参考!C$27+AN76*(属性价值参考!C$37+属性价值参考!C$38)</f>
        <v>45432.000000000007</v>
      </c>
      <c r="X76" s="158">
        <f t="shared" si="21"/>
        <v>9809.1749999999993</v>
      </c>
      <c r="Y76" s="158">
        <f t="shared" si="22"/>
        <v>9809175</v>
      </c>
      <c r="Z76" s="158">
        <f>ROUND(1/4*SUM(材料产出!$AB$25:$AB$26),0)</f>
        <v>3644</v>
      </c>
      <c r="AA76" s="158">
        <f t="shared" si="16"/>
        <v>3644000</v>
      </c>
      <c r="AB76" s="8">
        <f t="shared" si="23"/>
        <v>182</v>
      </c>
      <c r="AC76" s="97">
        <v>40</v>
      </c>
      <c r="AD76" s="8">
        <f t="shared" si="24"/>
        <v>182</v>
      </c>
      <c r="AE76" s="8">
        <f t="shared" si="25"/>
        <v>182</v>
      </c>
      <c r="AF76" s="97">
        <v>8.0000000000000107</v>
      </c>
      <c r="AG76" s="97">
        <v>8.0000000000000107</v>
      </c>
      <c r="AH76" s="8">
        <f t="shared" si="26"/>
        <v>182</v>
      </c>
      <c r="AI76" s="97">
        <v>16</v>
      </c>
      <c r="AJ76" s="8">
        <f t="shared" si="27"/>
        <v>7300</v>
      </c>
      <c r="AK76" s="8">
        <f t="shared" si="28"/>
        <v>29200</v>
      </c>
      <c r="AL76" s="97">
        <v>8.0000000000000107</v>
      </c>
      <c r="AM76" s="97">
        <v>8.0000000000000107</v>
      </c>
      <c r="AN76" s="97">
        <v>1200</v>
      </c>
    </row>
    <row r="77" spans="1:40" ht="16.5" x14ac:dyDescent="0.3">
      <c r="A77" s="22" t="s">
        <v>2399</v>
      </c>
      <c r="B77" s="23" t="s">
        <v>2483</v>
      </c>
      <c r="C77" s="22">
        <v>73</v>
      </c>
      <c r="D77" s="98">
        <v>25</v>
      </c>
      <c r="E77" s="101">
        <v>97</v>
      </c>
      <c r="F77" s="98">
        <v>25</v>
      </c>
      <c r="G77" s="101">
        <v>97</v>
      </c>
      <c r="H77" s="98">
        <v>25</v>
      </c>
      <c r="I77" s="101">
        <v>97</v>
      </c>
      <c r="J77" s="101"/>
      <c r="K77" s="101"/>
      <c r="L77" s="101"/>
      <c r="M77" s="101"/>
      <c r="N77" s="69" t="s">
        <v>2482</v>
      </c>
      <c r="O77" s="100" t="str">
        <f t="shared" si="29"/>
        <v>龙晶碎片3644/元宝3644000</v>
      </c>
      <c r="P77" s="97">
        <v>74</v>
      </c>
      <c r="Q77" s="158"/>
      <c r="R77" s="158">
        <f t="shared" si="17"/>
        <v>7400</v>
      </c>
      <c r="S77" s="158">
        <f t="shared" si="18"/>
        <v>29600</v>
      </c>
      <c r="T77" s="158">
        <f t="shared" si="19"/>
        <v>370</v>
      </c>
      <c r="U77" s="158">
        <f t="shared" si="20"/>
        <v>370</v>
      </c>
      <c r="V77" s="158">
        <f>R77*属性价值参考!C$5+附件合成!S77*属性价值参考!C$6+附件合成!T77*(属性价值参考!C$7+属性价值参考!C$8)+附件合成!U77*(属性价值参考!C$9+属性价值参考!C$10)</f>
        <v>113042.4</v>
      </c>
      <c r="W77" s="158">
        <f>AC77*属性价值参考!C$26+附件合成!AF77*属性价值参考!C$24+附件合成!AG77*属性价值参考!C$26+附件合成!AI77*(属性价值参考!C$28+属性价值参考!C$29)+附件合成!AL77*属性价值参考!C$26+附件合成!AM77*属性价值参考!C$27+AN77*(属性价值参考!C$37+属性价值参考!C$38)</f>
        <v>45432.000000000007</v>
      </c>
      <c r="X77" s="158">
        <f t="shared" si="21"/>
        <v>9904.65</v>
      </c>
      <c r="Y77" s="158">
        <f t="shared" si="22"/>
        <v>9904650</v>
      </c>
      <c r="Z77" s="158">
        <f>ROUND(1/4*SUM(材料产出!$AB$25:$AB$26),0)</f>
        <v>3644</v>
      </c>
      <c r="AA77" s="158">
        <f t="shared" si="16"/>
        <v>3644000</v>
      </c>
      <c r="AB77" s="8">
        <f t="shared" si="23"/>
        <v>185</v>
      </c>
      <c r="AC77" s="97">
        <v>40</v>
      </c>
      <c r="AD77" s="8">
        <f t="shared" si="24"/>
        <v>185</v>
      </c>
      <c r="AE77" s="8">
        <f t="shared" si="25"/>
        <v>185</v>
      </c>
      <c r="AF77" s="97">
        <v>8.0000000000000107</v>
      </c>
      <c r="AG77" s="97">
        <v>8.0000000000000107</v>
      </c>
      <c r="AH77" s="8">
        <f t="shared" si="26"/>
        <v>185</v>
      </c>
      <c r="AI77" s="97">
        <v>16</v>
      </c>
      <c r="AJ77" s="8">
        <f t="shared" si="27"/>
        <v>7400</v>
      </c>
      <c r="AK77" s="8">
        <f t="shared" si="28"/>
        <v>29600</v>
      </c>
      <c r="AL77" s="97">
        <v>8.0000000000000107</v>
      </c>
      <c r="AM77" s="97">
        <v>8.0000000000000107</v>
      </c>
      <c r="AN77" s="97">
        <v>1200</v>
      </c>
    </row>
    <row r="78" spans="1:40" ht="16.5" x14ac:dyDescent="0.3">
      <c r="A78" s="22" t="s">
        <v>2399</v>
      </c>
      <c r="B78" s="23" t="s">
        <v>2484</v>
      </c>
      <c r="C78" s="22">
        <v>74</v>
      </c>
      <c r="D78" s="98">
        <v>25</v>
      </c>
      <c r="E78" s="101">
        <v>99</v>
      </c>
      <c r="F78" s="98">
        <v>25</v>
      </c>
      <c r="G78" s="101">
        <v>99</v>
      </c>
      <c r="H78" s="98">
        <v>25</v>
      </c>
      <c r="I78" s="101">
        <v>99</v>
      </c>
      <c r="J78" s="101"/>
      <c r="K78" s="101"/>
      <c r="L78" s="101"/>
      <c r="M78" s="101"/>
      <c r="N78" s="69" t="s">
        <v>2482</v>
      </c>
      <c r="O78" s="100" t="str">
        <f t="shared" si="29"/>
        <v>龙晶碎片3644/元宝3644000</v>
      </c>
      <c r="P78" s="97">
        <v>75</v>
      </c>
      <c r="Q78" s="158"/>
      <c r="R78" s="158">
        <f t="shared" si="17"/>
        <v>7500</v>
      </c>
      <c r="S78" s="158">
        <f t="shared" si="18"/>
        <v>30000</v>
      </c>
      <c r="T78" s="158">
        <f t="shared" si="19"/>
        <v>375</v>
      </c>
      <c r="U78" s="158">
        <f t="shared" si="20"/>
        <v>375</v>
      </c>
      <c r="V78" s="158">
        <f>R78*属性价值参考!C$5+附件合成!S78*属性价值参考!C$6+附件合成!T78*(属性价值参考!C$7+属性价值参考!C$8)+附件合成!U78*(属性价值参考!C$9+属性价值参考!C$10)</f>
        <v>114570</v>
      </c>
      <c r="W78" s="158">
        <f>AC78*属性价值参考!C$26+附件合成!AF78*属性价值参考!C$24+附件合成!AG78*属性价值参考!C$26+附件合成!AI78*(属性价值参考!C$28+属性价值参考!C$29)+附件合成!AL78*属性价值参考!C$26+附件合成!AM78*属性价值参考!C$27+AN78*(属性价值参考!C$37+属性价值参考!C$38)</f>
        <v>45432.000000000007</v>
      </c>
      <c r="X78" s="158">
        <f t="shared" si="21"/>
        <v>10000.125</v>
      </c>
      <c r="Y78" s="158">
        <f t="shared" si="22"/>
        <v>10000125</v>
      </c>
      <c r="Z78" s="158">
        <f>ROUND(1/4*SUM(材料产出!$AB$25:$AB$26),0)</f>
        <v>3644</v>
      </c>
      <c r="AA78" s="158">
        <f t="shared" si="16"/>
        <v>3644000</v>
      </c>
      <c r="AB78" s="8">
        <f t="shared" si="23"/>
        <v>187</v>
      </c>
      <c r="AC78" s="97">
        <v>40</v>
      </c>
      <c r="AD78" s="8">
        <f t="shared" si="24"/>
        <v>187</v>
      </c>
      <c r="AE78" s="8">
        <f t="shared" si="25"/>
        <v>187</v>
      </c>
      <c r="AF78" s="97">
        <v>8.0000000000000107</v>
      </c>
      <c r="AG78" s="97">
        <v>8.0000000000000107</v>
      </c>
      <c r="AH78" s="8">
        <f t="shared" si="26"/>
        <v>187</v>
      </c>
      <c r="AI78" s="97">
        <v>16</v>
      </c>
      <c r="AJ78" s="8">
        <f t="shared" si="27"/>
        <v>7500</v>
      </c>
      <c r="AK78" s="8">
        <f t="shared" si="28"/>
        <v>30000</v>
      </c>
      <c r="AL78" s="97">
        <v>8.0000000000000107</v>
      </c>
      <c r="AM78" s="97">
        <v>8.0000000000000107</v>
      </c>
      <c r="AN78" s="97">
        <v>1200</v>
      </c>
    </row>
    <row r="79" spans="1:40" ht="16.5" x14ac:dyDescent="0.3">
      <c r="A79" s="22" t="s">
        <v>2399</v>
      </c>
      <c r="B79" s="23" t="s">
        <v>2485</v>
      </c>
      <c r="C79" s="22">
        <v>75</v>
      </c>
      <c r="D79" s="98">
        <v>26</v>
      </c>
      <c r="E79" s="101">
        <v>101</v>
      </c>
      <c r="F79" s="98">
        <v>26</v>
      </c>
      <c r="G79" s="101">
        <v>101</v>
      </c>
      <c r="H79" s="98">
        <v>26</v>
      </c>
      <c r="I79" s="101">
        <v>101</v>
      </c>
      <c r="J79" s="101"/>
      <c r="K79" s="101"/>
      <c r="L79" s="101"/>
      <c r="M79" s="101"/>
      <c r="N79" s="69" t="s">
        <v>2482</v>
      </c>
      <c r="O79" s="100" t="str">
        <f t="shared" si="29"/>
        <v>龙晶碎片3644/元宝3644000</v>
      </c>
      <c r="P79" s="97">
        <v>76</v>
      </c>
      <c r="Q79" s="158"/>
      <c r="R79" s="158">
        <f t="shared" si="17"/>
        <v>7600</v>
      </c>
      <c r="S79" s="158">
        <f t="shared" si="18"/>
        <v>30400</v>
      </c>
      <c r="T79" s="158">
        <f t="shared" si="19"/>
        <v>380</v>
      </c>
      <c r="U79" s="158">
        <f t="shared" si="20"/>
        <v>380</v>
      </c>
      <c r="V79" s="158">
        <f>R79*属性价值参考!C$5+附件合成!S79*属性价值参考!C$6+附件合成!T79*(属性价值参考!C$7+属性价值参考!C$8)+附件合成!U79*(属性价值参考!C$9+属性价值参考!C$10)</f>
        <v>116097.60000000001</v>
      </c>
      <c r="W79" s="158">
        <f>AC79*属性价值参考!C$26+附件合成!AF79*属性价值参考!C$24+附件合成!AG79*属性价值参考!C$26+附件合成!AI79*(属性价值参考!C$28+属性价值参考!C$29)+附件合成!AL79*属性价值参考!C$26+附件合成!AM79*属性价值参考!C$27+AN79*(属性价值参考!C$37+属性价值参考!C$38)</f>
        <v>45432.000000000007</v>
      </c>
      <c r="X79" s="158">
        <f t="shared" si="21"/>
        <v>10095.6</v>
      </c>
      <c r="Y79" s="158">
        <f t="shared" si="22"/>
        <v>10095600</v>
      </c>
      <c r="Z79" s="158">
        <f>ROUND(1/4*SUM(材料产出!$AB$25:$AB$26),0)</f>
        <v>3644</v>
      </c>
      <c r="AA79" s="158">
        <f t="shared" si="16"/>
        <v>3644000</v>
      </c>
      <c r="AB79" s="8">
        <f t="shared" si="23"/>
        <v>190</v>
      </c>
      <c r="AC79" s="97">
        <v>40</v>
      </c>
      <c r="AD79" s="8">
        <f t="shared" si="24"/>
        <v>190</v>
      </c>
      <c r="AE79" s="8">
        <f t="shared" si="25"/>
        <v>190</v>
      </c>
      <c r="AF79" s="97">
        <v>8.0000000000000107</v>
      </c>
      <c r="AG79" s="97">
        <v>8.0000000000000107</v>
      </c>
      <c r="AH79" s="8">
        <f t="shared" si="26"/>
        <v>190</v>
      </c>
      <c r="AI79" s="97">
        <v>16</v>
      </c>
      <c r="AJ79" s="8">
        <f t="shared" si="27"/>
        <v>7600</v>
      </c>
      <c r="AK79" s="8">
        <f t="shared" si="28"/>
        <v>30400</v>
      </c>
      <c r="AL79" s="97">
        <v>8.0000000000000107</v>
      </c>
      <c r="AM79" s="97">
        <v>8.0000000000000107</v>
      </c>
      <c r="AN79" s="97">
        <v>1200</v>
      </c>
    </row>
    <row r="80" spans="1:40" ht="16.5" x14ac:dyDescent="0.3">
      <c r="A80" s="22" t="s">
        <v>2399</v>
      </c>
      <c r="B80" s="23" t="s">
        <v>2486</v>
      </c>
      <c r="C80" s="22">
        <v>76</v>
      </c>
      <c r="D80" s="98">
        <v>26</v>
      </c>
      <c r="E80" s="101">
        <v>103</v>
      </c>
      <c r="F80" s="98">
        <v>26</v>
      </c>
      <c r="G80" s="101">
        <v>103</v>
      </c>
      <c r="H80" s="98">
        <v>26</v>
      </c>
      <c r="I80" s="101">
        <v>103</v>
      </c>
      <c r="J80" s="101"/>
      <c r="K80" s="101"/>
      <c r="L80" s="101"/>
      <c r="M80" s="101"/>
      <c r="N80" s="69" t="s">
        <v>2482</v>
      </c>
      <c r="O80" s="100" t="str">
        <f t="shared" si="29"/>
        <v>龙晶碎片3644/元宝3644000</v>
      </c>
      <c r="P80" s="97">
        <v>77</v>
      </c>
      <c r="Q80" s="158"/>
      <c r="R80" s="158">
        <f t="shared" si="17"/>
        <v>7700</v>
      </c>
      <c r="S80" s="158">
        <f t="shared" si="18"/>
        <v>30800</v>
      </c>
      <c r="T80" s="158">
        <f t="shared" si="19"/>
        <v>385</v>
      </c>
      <c r="U80" s="158">
        <f t="shared" si="20"/>
        <v>385</v>
      </c>
      <c r="V80" s="158">
        <f>R80*属性价值参考!C$5+附件合成!S80*属性价值参考!C$6+附件合成!T80*(属性价值参考!C$7+属性价值参考!C$8)+附件合成!U80*(属性价值参考!C$9+属性价值参考!C$10)</f>
        <v>117625.2</v>
      </c>
      <c r="W80" s="158">
        <f>AC80*属性价值参考!C$26+附件合成!AF80*属性价值参考!C$24+附件合成!AG80*属性价值参考!C$26+附件合成!AI80*(属性价值参考!C$28+属性价值参考!C$29)+附件合成!AL80*属性价值参考!C$26+附件合成!AM80*属性价值参考!C$27+AN80*(属性价值参考!C$37+属性价值参考!C$38)</f>
        <v>45432.000000000007</v>
      </c>
      <c r="X80" s="158">
        <f t="shared" si="21"/>
        <v>10191.075000000001</v>
      </c>
      <c r="Y80" s="158">
        <f t="shared" si="22"/>
        <v>10191075</v>
      </c>
      <c r="Z80" s="158">
        <f>ROUND(1/4*SUM(材料产出!$AB$25:$AB$26),0)</f>
        <v>3644</v>
      </c>
      <c r="AA80" s="158">
        <f t="shared" si="16"/>
        <v>3644000</v>
      </c>
      <c r="AB80" s="8">
        <f t="shared" si="23"/>
        <v>192</v>
      </c>
      <c r="AC80" s="97">
        <v>40</v>
      </c>
      <c r="AD80" s="8">
        <f t="shared" si="24"/>
        <v>192</v>
      </c>
      <c r="AE80" s="8">
        <f t="shared" si="25"/>
        <v>192</v>
      </c>
      <c r="AF80" s="97">
        <v>8.0000000000000107</v>
      </c>
      <c r="AG80" s="97">
        <v>8.0000000000000107</v>
      </c>
      <c r="AH80" s="8">
        <f t="shared" si="26"/>
        <v>192</v>
      </c>
      <c r="AI80" s="97">
        <v>16</v>
      </c>
      <c r="AJ80" s="8">
        <f t="shared" si="27"/>
        <v>7700</v>
      </c>
      <c r="AK80" s="8">
        <f t="shared" si="28"/>
        <v>30800</v>
      </c>
      <c r="AL80" s="97">
        <v>8.0000000000000107</v>
      </c>
      <c r="AM80" s="97">
        <v>8.0000000000000107</v>
      </c>
      <c r="AN80" s="97">
        <v>1200</v>
      </c>
    </row>
    <row r="81" spans="1:40" ht="16.5" x14ac:dyDescent="0.3">
      <c r="A81" s="22" t="s">
        <v>2399</v>
      </c>
      <c r="B81" s="23" t="s">
        <v>2487</v>
      </c>
      <c r="C81" s="22">
        <v>77</v>
      </c>
      <c r="D81" s="98">
        <v>26</v>
      </c>
      <c r="E81" s="101">
        <v>105</v>
      </c>
      <c r="F81" s="98">
        <v>26</v>
      </c>
      <c r="G81" s="101">
        <v>105</v>
      </c>
      <c r="H81" s="98">
        <v>26</v>
      </c>
      <c r="I81" s="101">
        <v>105</v>
      </c>
      <c r="J81" s="101"/>
      <c r="K81" s="101"/>
      <c r="L81" s="101"/>
      <c r="M81" s="101"/>
      <c r="N81" s="69" t="s">
        <v>2482</v>
      </c>
      <c r="O81" s="100" t="str">
        <f t="shared" si="29"/>
        <v>龙晶碎片3644/元宝3644000</v>
      </c>
      <c r="P81" s="97">
        <v>78</v>
      </c>
      <c r="Q81" s="158"/>
      <c r="R81" s="158">
        <f t="shared" si="17"/>
        <v>7800</v>
      </c>
      <c r="S81" s="158">
        <f t="shared" si="18"/>
        <v>31200</v>
      </c>
      <c r="T81" s="158">
        <f t="shared" si="19"/>
        <v>390</v>
      </c>
      <c r="U81" s="158">
        <f t="shared" si="20"/>
        <v>390</v>
      </c>
      <c r="V81" s="158">
        <f>R81*属性价值参考!C$5+附件合成!S81*属性价值参考!C$6+附件合成!T81*(属性价值参考!C$7+属性价值参考!C$8)+附件合成!U81*(属性价值参考!C$9+属性价值参考!C$10)</f>
        <v>119152.79999999999</v>
      </c>
      <c r="W81" s="158">
        <f>AC81*属性价值参考!C$26+附件合成!AF81*属性价值参考!C$24+附件合成!AG81*属性价值参考!C$26+附件合成!AI81*(属性价值参考!C$28+属性价值参考!C$29)+附件合成!AL81*属性价值参考!C$26+附件合成!AM81*属性价值参考!C$27+AN81*(属性价值参考!C$37+属性价值参考!C$38)</f>
        <v>45432.000000000007</v>
      </c>
      <c r="X81" s="158">
        <f t="shared" si="21"/>
        <v>10286.549999999999</v>
      </c>
      <c r="Y81" s="158">
        <f t="shared" si="22"/>
        <v>10286550</v>
      </c>
      <c r="Z81" s="158">
        <f>ROUND(1/4*SUM(材料产出!$AB$25:$AB$26),0)</f>
        <v>3644</v>
      </c>
      <c r="AA81" s="158">
        <f t="shared" si="16"/>
        <v>3644000</v>
      </c>
      <c r="AB81" s="8">
        <f t="shared" si="23"/>
        <v>195</v>
      </c>
      <c r="AC81" s="97">
        <v>40</v>
      </c>
      <c r="AD81" s="8">
        <f t="shared" si="24"/>
        <v>195</v>
      </c>
      <c r="AE81" s="8">
        <f t="shared" si="25"/>
        <v>195</v>
      </c>
      <c r="AF81" s="97">
        <v>8.0000000000000107</v>
      </c>
      <c r="AG81" s="97">
        <v>8.0000000000000107</v>
      </c>
      <c r="AH81" s="8">
        <f t="shared" si="26"/>
        <v>195</v>
      </c>
      <c r="AI81" s="97">
        <v>16</v>
      </c>
      <c r="AJ81" s="8">
        <f t="shared" si="27"/>
        <v>7800</v>
      </c>
      <c r="AK81" s="8">
        <f t="shared" si="28"/>
        <v>31200</v>
      </c>
      <c r="AL81" s="97">
        <v>8.0000000000000107</v>
      </c>
      <c r="AM81" s="97">
        <v>8.0000000000000107</v>
      </c>
      <c r="AN81" s="97">
        <v>1200</v>
      </c>
    </row>
    <row r="82" spans="1:40" ht="16.5" x14ac:dyDescent="0.3">
      <c r="A82" s="22" t="s">
        <v>2399</v>
      </c>
      <c r="B82" s="23" t="s">
        <v>2488</v>
      </c>
      <c r="C82" s="22">
        <v>78</v>
      </c>
      <c r="D82" s="98">
        <v>27</v>
      </c>
      <c r="E82" s="101">
        <v>107</v>
      </c>
      <c r="F82" s="98">
        <v>27</v>
      </c>
      <c r="G82" s="101">
        <v>107</v>
      </c>
      <c r="H82" s="98">
        <v>27</v>
      </c>
      <c r="I82" s="101">
        <v>107</v>
      </c>
      <c r="J82" s="101"/>
      <c r="K82" s="101"/>
      <c r="L82" s="101"/>
      <c r="M82" s="101"/>
      <c r="N82" s="69" t="s">
        <v>2482</v>
      </c>
      <c r="O82" s="100" t="str">
        <f t="shared" si="29"/>
        <v>龙晶碎片3644/元宝3644000</v>
      </c>
      <c r="P82" s="97">
        <v>79</v>
      </c>
      <c r="Q82" s="158"/>
      <c r="R82" s="158">
        <f t="shared" si="17"/>
        <v>7900</v>
      </c>
      <c r="S82" s="158">
        <f t="shared" si="18"/>
        <v>31600</v>
      </c>
      <c r="T82" s="158">
        <f t="shared" si="19"/>
        <v>395</v>
      </c>
      <c r="U82" s="158">
        <f t="shared" si="20"/>
        <v>395</v>
      </c>
      <c r="V82" s="158">
        <f>R82*属性价值参考!C$5+附件合成!S82*属性价值参考!C$6+附件合成!T82*(属性价值参考!C$7+属性价值参考!C$8)+附件合成!U82*(属性价值参考!C$9+属性价值参考!C$10)</f>
        <v>120680.4</v>
      </c>
      <c r="W82" s="158">
        <f>AC82*属性价值参考!C$26+附件合成!AF82*属性价值参考!C$24+附件合成!AG82*属性价值参考!C$26+附件合成!AI82*(属性价值参考!C$28+属性价值参考!C$29)+附件合成!AL82*属性价值参考!C$26+附件合成!AM82*属性价值参考!C$27+AN82*(属性价值参考!C$37+属性价值参考!C$38)</f>
        <v>45432.000000000007</v>
      </c>
      <c r="X82" s="158">
        <f t="shared" si="21"/>
        <v>10382.025</v>
      </c>
      <c r="Y82" s="158">
        <f t="shared" si="22"/>
        <v>10382025</v>
      </c>
      <c r="Z82" s="158">
        <f>ROUND(1/4*SUM(材料产出!$AB$25:$AB$26),0)</f>
        <v>3644</v>
      </c>
      <c r="AA82" s="158">
        <f t="shared" si="16"/>
        <v>3644000</v>
      </c>
      <c r="AB82" s="8">
        <f t="shared" si="23"/>
        <v>197</v>
      </c>
      <c r="AC82" s="97">
        <v>40</v>
      </c>
      <c r="AD82" s="8">
        <f t="shared" si="24"/>
        <v>197</v>
      </c>
      <c r="AE82" s="8">
        <f t="shared" si="25"/>
        <v>197</v>
      </c>
      <c r="AF82" s="97">
        <v>8.0000000000000107</v>
      </c>
      <c r="AG82" s="97">
        <v>8.0000000000000107</v>
      </c>
      <c r="AH82" s="8">
        <f t="shared" si="26"/>
        <v>197</v>
      </c>
      <c r="AI82" s="97">
        <v>16</v>
      </c>
      <c r="AJ82" s="8">
        <f t="shared" si="27"/>
        <v>7900</v>
      </c>
      <c r="AK82" s="8">
        <f t="shared" si="28"/>
        <v>31600</v>
      </c>
      <c r="AL82" s="97">
        <v>8.0000000000000107</v>
      </c>
      <c r="AM82" s="97">
        <v>8.0000000000000107</v>
      </c>
      <c r="AN82" s="97">
        <v>1200</v>
      </c>
    </row>
    <row r="83" spans="1:40" ht="16.5" x14ac:dyDescent="0.3">
      <c r="A83" s="22" t="s">
        <v>2399</v>
      </c>
      <c r="B83" s="23" t="s">
        <v>2489</v>
      </c>
      <c r="C83" s="22">
        <v>79</v>
      </c>
      <c r="D83" s="98">
        <v>27</v>
      </c>
      <c r="E83" s="101">
        <v>109</v>
      </c>
      <c r="F83" s="98">
        <v>27</v>
      </c>
      <c r="G83" s="101">
        <v>109</v>
      </c>
      <c r="H83" s="98">
        <v>27</v>
      </c>
      <c r="I83" s="101">
        <v>109</v>
      </c>
      <c r="J83" s="101"/>
      <c r="K83" s="101"/>
      <c r="L83" s="101"/>
      <c r="M83" s="101"/>
      <c r="N83" s="69" t="s">
        <v>2482</v>
      </c>
      <c r="O83" s="100" t="str">
        <f t="shared" si="29"/>
        <v>龙晶碎片3644/元宝3644000</v>
      </c>
      <c r="P83" s="97">
        <v>80</v>
      </c>
      <c r="Q83" s="206">
        <f>材料产出!C25</f>
        <v>5.5</v>
      </c>
      <c r="R83" s="158">
        <f t="shared" si="17"/>
        <v>8000</v>
      </c>
      <c r="S83" s="158">
        <f t="shared" si="18"/>
        <v>32000</v>
      </c>
      <c r="T83" s="158">
        <f t="shared" si="19"/>
        <v>400</v>
      </c>
      <c r="U83" s="158">
        <f t="shared" si="20"/>
        <v>400</v>
      </c>
      <c r="V83" s="158">
        <f>R83*属性价值参考!C$5+附件合成!S83*属性价值参考!C$6+附件合成!T83*(属性价值参考!C$7+属性价值参考!C$8)+附件合成!U83*(属性价值参考!C$9+属性价值参考!C$10)</f>
        <v>122208</v>
      </c>
      <c r="W83" s="158">
        <f>AC83*属性价值参考!C$26+附件合成!AF83*属性价值参考!C$24+附件合成!AG83*属性价值参考!C$26+附件合成!AI83*(属性价值参考!C$28+属性价值参考!C$29)+附件合成!AL83*属性价值参考!C$26+附件合成!AM83*属性价值参考!C$27+AN83*(属性价值参考!C$37+属性价值参考!C$38)</f>
        <v>45432.000000000007</v>
      </c>
      <c r="X83" s="158">
        <f t="shared" si="21"/>
        <v>10477.5</v>
      </c>
      <c r="Y83" s="158">
        <f t="shared" si="22"/>
        <v>10477500</v>
      </c>
      <c r="Z83" s="158">
        <f>ROUND(1/4*SUM(材料产出!$AB$25:$AB$26),0)</f>
        <v>3644</v>
      </c>
      <c r="AA83" s="158">
        <f t="shared" si="16"/>
        <v>3644000</v>
      </c>
      <c r="AB83" s="8">
        <f t="shared" si="23"/>
        <v>200</v>
      </c>
      <c r="AC83" s="97">
        <v>40</v>
      </c>
      <c r="AD83" s="8">
        <f t="shared" si="24"/>
        <v>200</v>
      </c>
      <c r="AE83" s="8">
        <f t="shared" si="25"/>
        <v>200</v>
      </c>
      <c r="AF83" s="97">
        <v>8.0000000000000107</v>
      </c>
      <c r="AG83" s="97">
        <v>8.0000000000000107</v>
      </c>
      <c r="AH83" s="8">
        <f t="shared" si="26"/>
        <v>200</v>
      </c>
      <c r="AI83" s="97">
        <v>16</v>
      </c>
      <c r="AJ83" s="8">
        <f t="shared" si="27"/>
        <v>8000</v>
      </c>
      <c r="AK83" s="8">
        <f t="shared" si="28"/>
        <v>32000</v>
      </c>
      <c r="AL83" s="97">
        <v>8.0000000000000107</v>
      </c>
      <c r="AM83" s="97">
        <v>8.0000000000000107</v>
      </c>
      <c r="AN83" s="97">
        <v>1200</v>
      </c>
    </row>
    <row r="84" spans="1:40" ht="16.5" x14ac:dyDescent="0.3">
      <c r="A84" s="22" t="s">
        <v>2399</v>
      </c>
      <c r="B84" s="23" t="s">
        <v>2490</v>
      </c>
      <c r="C84" s="22">
        <v>80</v>
      </c>
      <c r="D84" s="98">
        <v>27</v>
      </c>
      <c r="E84" s="101">
        <v>111</v>
      </c>
      <c r="F84" s="98">
        <v>27</v>
      </c>
      <c r="G84" s="101">
        <v>111</v>
      </c>
      <c r="H84" s="98">
        <v>27</v>
      </c>
      <c r="I84" s="101">
        <v>111</v>
      </c>
      <c r="J84" s="101"/>
      <c r="K84" s="101"/>
      <c r="L84" s="101"/>
      <c r="M84" s="101"/>
      <c r="N84" s="69" t="s">
        <v>2482</v>
      </c>
      <c r="O84" s="100" t="str">
        <f t="shared" si="29"/>
        <v>龙晶碎片5328/元宝5328000</v>
      </c>
      <c r="P84" s="191">
        <v>81</v>
      </c>
      <c r="Q84" s="207"/>
      <c r="R84" s="158">
        <f t="shared" si="17"/>
        <v>8100</v>
      </c>
      <c r="S84" s="158">
        <f t="shared" si="18"/>
        <v>32400</v>
      </c>
      <c r="T84" s="158">
        <f t="shared" si="19"/>
        <v>405</v>
      </c>
      <c r="U84" s="158">
        <f t="shared" si="20"/>
        <v>405</v>
      </c>
      <c r="V84" s="158">
        <f>R84*属性价值参考!C$5+附件合成!S84*属性价值参考!C$6+附件合成!T84*(属性价值参考!C$7+属性价值参考!C$8)+附件合成!U84*(属性价值参考!C$9+属性价值参考!C$10)</f>
        <v>123735.6</v>
      </c>
      <c r="W84" s="158">
        <f>AC84*属性价值参考!C$26+附件合成!AF84*属性价值参考!C$24+附件合成!AG84*属性价值参考!C$26+附件合成!AI84*(属性价值参考!C$28+属性价值参考!C$29)+附件合成!AL84*属性价值参考!C$26+附件合成!AM84*属性价值参考!C$27+AN84*(属性价值参考!C$37+属性价值参考!C$38)</f>
        <v>58092.000000000007</v>
      </c>
      <c r="X84" s="158">
        <f t="shared" si="21"/>
        <v>11364.225</v>
      </c>
      <c r="Y84" s="158">
        <f t="shared" si="22"/>
        <v>11364225</v>
      </c>
      <c r="Z84" s="158">
        <f>ROUND(1/4*SUM(材料产出!$AB$27:$AB$28),0)</f>
        <v>5328</v>
      </c>
      <c r="AA84" s="158">
        <f t="shared" si="16"/>
        <v>5328000</v>
      </c>
      <c r="AB84" s="104">
        <f t="shared" si="23"/>
        <v>202</v>
      </c>
      <c r="AC84" s="105">
        <v>40</v>
      </c>
      <c r="AD84" s="104">
        <f t="shared" si="24"/>
        <v>202</v>
      </c>
      <c r="AE84" s="104">
        <f t="shared" si="25"/>
        <v>202</v>
      </c>
      <c r="AF84" s="105">
        <v>9.0000000000000107</v>
      </c>
      <c r="AG84" s="105">
        <v>9.0000000000000107</v>
      </c>
      <c r="AH84" s="104">
        <f t="shared" si="26"/>
        <v>202</v>
      </c>
      <c r="AI84" s="105">
        <v>18</v>
      </c>
      <c r="AJ84" s="104">
        <f t="shared" si="27"/>
        <v>8100</v>
      </c>
      <c r="AK84" s="104">
        <f t="shared" si="28"/>
        <v>32400</v>
      </c>
      <c r="AL84" s="105">
        <v>9.0000000000000107</v>
      </c>
      <c r="AM84" s="105">
        <v>9.0000000000000107</v>
      </c>
      <c r="AN84" s="105">
        <v>1600</v>
      </c>
    </row>
    <row r="85" spans="1:40" ht="16.5" x14ac:dyDescent="0.3">
      <c r="A85" s="22" t="s">
        <v>2399</v>
      </c>
      <c r="B85" s="23" t="s">
        <v>2491</v>
      </c>
      <c r="C85" s="22">
        <v>81</v>
      </c>
      <c r="D85" s="98">
        <v>30</v>
      </c>
      <c r="E85" s="101">
        <v>113</v>
      </c>
      <c r="F85" s="98">
        <v>30</v>
      </c>
      <c r="G85" s="101">
        <v>113</v>
      </c>
      <c r="H85" s="98">
        <v>30</v>
      </c>
      <c r="I85" s="101">
        <v>113</v>
      </c>
      <c r="J85" s="101"/>
      <c r="K85" s="101"/>
      <c r="L85" s="101"/>
      <c r="M85" s="101"/>
      <c r="N85" s="69" t="s">
        <v>2492</v>
      </c>
      <c r="O85" s="100" t="str">
        <f t="shared" si="29"/>
        <v>龙晶碎片5328/元宝5328000</v>
      </c>
      <c r="P85" s="97">
        <v>82</v>
      </c>
      <c r="Q85" s="158"/>
      <c r="R85" s="158">
        <f t="shared" si="17"/>
        <v>8200</v>
      </c>
      <c r="S85" s="158">
        <f t="shared" si="18"/>
        <v>32800</v>
      </c>
      <c r="T85" s="158">
        <f t="shared" si="19"/>
        <v>410</v>
      </c>
      <c r="U85" s="158">
        <f t="shared" si="20"/>
        <v>410</v>
      </c>
      <c r="V85" s="158">
        <f>R85*属性价值参考!C$5+附件合成!S85*属性价值参考!C$6+附件合成!T85*(属性价值参考!C$7+属性价值参考!C$8)+附件合成!U85*(属性价值参考!C$9+属性价值参考!C$10)</f>
        <v>125263.2</v>
      </c>
      <c r="W85" s="158">
        <f>AC85*属性价值参考!C$26+附件合成!AF85*属性价值参考!C$24+附件合成!AG85*属性价值参考!C$26+附件合成!AI85*(属性价值参考!C$28+属性价值参考!C$29)+附件合成!AL85*属性价值参考!C$26+附件合成!AM85*属性价值参考!C$27+AN85*(属性价值参考!C$37+属性价值参考!C$38)</f>
        <v>58416.000000000007</v>
      </c>
      <c r="X85" s="158">
        <f t="shared" si="21"/>
        <v>11479.95</v>
      </c>
      <c r="Y85" s="158">
        <f t="shared" si="22"/>
        <v>11479950</v>
      </c>
      <c r="Z85" s="158">
        <f>ROUND(1/4*SUM(材料产出!$AB$27:$AB$28),0)</f>
        <v>5328</v>
      </c>
      <c r="AA85" s="158">
        <f t="shared" si="16"/>
        <v>5328000</v>
      </c>
      <c r="AB85" s="8">
        <f t="shared" si="23"/>
        <v>205</v>
      </c>
      <c r="AC85" s="97">
        <v>45</v>
      </c>
      <c r="AD85" s="8">
        <f t="shared" si="24"/>
        <v>205</v>
      </c>
      <c r="AE85" s="8">
        <f t="shared" si="25"/>
        <v>205</v>
      </c>
      <c r="AF85" s="97">
        <v>9.0000000000000107</v>
      </c>
      <c r="AG85" s="97">
        <v>9.0000000000000107</v>
      </c>
      <c r="AH85" s="8">
        <f t="shared" si="26"/>
        <v>205</v>
      </c>
      <c r="AI85" s="97">
        <v>18</v>
      </c>
      <c r="AJ85" s="8">
        <f t="shared" si="27"/>
        <v>8200</v>
      </c>
      <c r="AK85" s="8">
        <f t="shared" si="28"/>
        <v>32800</v>
      </c>
      <c r="AL85" s="97">
        <v>9.0000000000000107</v>
      </c>
      <c r="AM85" s="97">
        <v>9.0000000000000107</v>
      </c>
      <c r="AN85" s="97">
        <v>1600</v>
      </c>
    </row>
    <row r="86" spans="1:40" ht="16.5" x14ac:dyDescent="0.3">
      <c r="A86" s="22" t="s">
        <v>2399</v>
      </c>
      <c r="B86" s="23" t="s">
        <v>2493</v>
      </c>
      <c r="C86" s="22">
        <v>82</v>
      </c>
      <c r="D86" s="98">
        <v>31</v>
      </c>
      <c r="E86" s="101">
        <v>117</v>
      </c>
      <c r="F86" s="98">
        <v>31</v>
      </c>
      <c r="G86" s="101">
        <v>117</v>
      </c>
      <c r="H86" s="98">
        <v>31</v>
      </c>
      <c r="I86" s="101">
        <v>117</v>
      </c>
      <c r="J86" s="101"/>
      <c r="K86" s="101"/>
      <c r="L86" s="101"/>
      <c r="M86" s="101"/>
      <c r="N86" s="69" t="s">
        <v>2492</v>
      </c>
      <c r="O86" s="100" t="str">
        <f t="shared" si="29"/>
        <v>龙晶碎片5328/元宝5328000</v>
      </c>
      <c r="P86" s="97">
        <v>83</v>
      </c>
      <c r="Q86" s="158"/>
      <c r="R86" s="158">
        <f t="shared" si="17"/>
        <v>8300</v>
      </c>
      <c r="S86" s="158">
        <f t="shared" si="18"/>
        <v>33200</v>
      </c>
      <c r="T86" s="158">
        <f t="shared" si="19"/>
        <v>415</v>
      </c>
      <c r="U86" s="158">
        <f t="shared" si="20"/>
        <v>415</v>
      </c>
      <c r="V86" s="158">
        <f>R86*属性价值参考!C$5+附件合成!S86*属性价值参考!C$6+附件合成!T86*(属性价值参考!C$7+属性价值参考!C$8)+附件合成!U86*(属性价值参考!C$9+属性价值参考!C$10)</f>
        <v>126790.79999999999</v>
      </c>
      <c r="W86" s="158">
        <f>AC86*属性价值参考!C$26+附件合成!AF86*属性价值参考!C$24+附件合成!AG86*属性价值参考!C$26+附件合成!AI86*(属性价值参考!C$28+属性价值参考!C$29)+附件合成!AL86*属性价值参考!C$26+附件合成!AM86*属性价值参考!C$27+AN86*(属性价值参考!C$37+属性价值参考!C$38)</f>
        <v>58416.000000000007</v>
      </c>
      <c r="X86" s="158">
        <f t="shared" si="21"/>
        <v>11575.424999999999</v>
      </c>
      <c r="Y86" s="158">
        <f t="shared" si="22"/>
        <v>11575425</v>
      </c>
      <c r="Z86" s="158">
        <f>ROUND(1/4*SUM(材料产出!$AB$27:$AB$28),0)</f>
        <v>5328</v>
      </c>
      <c r="AA86" s="158">
        <f t="shared" si="16"/>
        <v>5328000</v>
      </c>
      <c r="AB86" s="8">
        <f t="shared" si="23"/>
        <v>207</v>
      </c>
      <c r="AC86" s="97">
        <v>45</v>
      </c>
      <c r="AD86" s="8">
        <f t="shared" si="24"/>
        <v>207</v>
      </c>
      <c r="AE86" s="8">
        <f t="shared" si="25"/>
        <v>207</v>
      </c>
      <c r="AF86" s="97">
        <v>9.0000000000000107</v>
      </c>
      <c r="AG86" s="97">
        <v>9.0000000000000107</v>
      </c>
      <c r="AH86" s="8">
        <f t="shared" si="26"/>
        <v>207</v>
      </c>
      <c r="AI86" s="97">
        <v>18</v>
      </c>
      <c r="AJ86" s="8">
        <f t="shared" si="27"/>
        <v>8300</v>
      </c>
      <c r="AK86" s="8">
        <f t="shared" si="28"/>
        <v>33200</v>
      </c>
      <c r="AL86" s="97">
        <v>9.0000000000000107</v>
      </c>
      <c r="AM86" s="97">
        <v>9.0000000000000107</v>
      </c>
      <c r="AN86" s="97">
        <v>1600</v>
      </c>
    </row>
    <row r="87" spans="1:40" ht="16.5" x14ac:dyDescent="0.3">
      <c r="A87" s="22" t="s">
        <v>2399</v>
      </c>
      <c r="B87" s="23" t="s">
        <v>2494</v>
      </c>
      <c r="C87" s="22">
        <v>83</v>
      </c>
      <c r="D87" s="98">
        <v>32</v>
      </c>
      <c r="E87" s="101">
        <v>120</v>
      </c>
      <c r="F87" s="98">
        <v>32</v>
      </c>
      <c r="G87" s="101">
        <v>120</v>
      </c>
      <c r="H87" s="98">
        <v>32</v>
      </c>
      <c r="I87" s="101">
        <v>120</v>
      </c>
      <c r="J87" s="101"/>
      <c r="K87" s="101"/>
      <c r="L87" s="101"/>
      <c r="M87" s="101"/>
      <c r="N87" s="69" t="s">
        <v>2492</v>
      </c>
      <c r="O87" s="100" t="str">
        <f t="shared" si="29"/>
        <v>龙晶碎片5328/元宝5328000</v>
      </c>
      <c r="P87" s="97">
        <v>84</v>
      </c>
      <c r="Q87" s="158"/>
      <c r="R87" s="158">
        <f t="shared" si="17"/>
        <v>8400</v>
      </c>
      <c r="S87" s="158">
        <f t="shared" si="18"/>
        <v>33600</v>
      </c>
      <c r="T87" s="158">
        <f t="shared" si="19"/>
        <v>420</v>
      </c>
      <c r="U87" s="158">
        <f t="shared" si="20"/>
        <v>420</v>
      </c>
      <c r="V87" s="158">
        <f>R87*属性价值参考!C$5+附件合成!S87*属性价值参考!C$6+附件合成!T87*(属性价值参考!C$7+属性价值参考!C$8)+附件合成!U87*(属性价值参考!C$9+属性价值参考!C$10)</f>
        <v>128318.39999999999</v>
      </c>
      <c r="W87" s="158">
        <f>AC87*属性价值参考!C$26+附件合成!AF87*属性价值参考!C$24+附件合成!AG87*属性价值参考!C$26+附件合成!AI87*(属性价值参考!C$28+属性价值参考!C$29)+附件合成!AL87*属性价值参考!C$26+附件合成!AM87*属性价值参考!C$27+AN87*(属性价值参考!C$37+属性价值参考!C$38)</f>
        <v>58416.000000000007</v>
      </c>
      <c r="X87" s="158">
        <f t="shared" si="21"/>
        <v>11670.9</v>
      </c>
      <c r="Y87" s="158">
        <f t="shared" si="22"/>
        <v>11670900</v>
      </c>
      <c r="Z87" s="158">
        <f>ROUND(1/4*SUM(材料产出!$AB$27:$AB$28),0)</f>
        <v>5328</v>
      </c>
      <c r="AA87" s="158">
        <f t="shared" si="16"/>
        <v>5328000</v>
      </c>
      <c r="AB87" s="8">
        <f t="shared" si="23"/>
        <v>210</v>
      </c>
      <c r="AC87" s="97">
        <v>45</v>
      </c>
      <c r="AD87" s="8">
        <f t="shared" si="24"/>
        <v>210</v>
      </c>
      <c r="AE87" s="8">
        <f t="shared" si="25"/>
        <v>210</v>
      </c>
      <c r="AF87" s="97">
        <v>9.0000000000000107</v>
      </c>
      <c r="AG87" s="97">
        <v>9.0000000000000107</v>
      </c>
      <c r="AH87" s="8">
        <f t="shared" si="26"/>
        <v>210</v>
      </c>
      <c r="AI87" s="97">
        <v>18</v>
      </c>
      <c r="AJ87" s="8">
        <f t="shared" si="27"/>
        <v>8400</v>
      </c>
      <c r="AK87" s="8">
        <f t="shared" si="28"/>
        <v>33600</v>
      </c>
      <c r="AL87" s="97">
        <v>9.0000000000000107</v>
      </c>
      <c r="AM87" s="97">
        <v>9.0000000000000107</v>
      </c>
      <c r="AN87" s="97">
        <v>1600</v>
      </c>
    </row>
    <row r="88" spans="1:40" ht="16.5" x14ac:dyDescent="0.3">
      <c r="A88" s="22" t="s">
        <v>2399</v>
      </c>
      <c r="B88" s="23" t="s">
        <v>2495</v>
      </c>
      <c r="C88" s="22">
        <v>84</v>
      </c>
      <c r="D88" s="98">
        <v>33</v>
      </c>
      <c r="E88" s="101">
        <v>123</v>
      </c>
      <c r="F88" s="98">
        <v>33</v>
      </c>
      <c r="G88" s="101">
        <v>123</v>
      </c>
      <c r="H88" s="98">
        <v>33</v>
      </c>
      <c r="I88" s="101">
        <v>123</v>
      </c>
      <c r="J88" s="101"/>
      <c r="K88" s="101"/>
      <c r="L88" s="101"/>
      <c r="M88" s="101"/>
      <c r="N88" s="69" t="s">
        <v>2492</v>
      </c>
      <c r="O88" s="100" t="str">
        <f t="shared" si="29"/>
        <v>龙晶碎片5328/元宝5328000</v>
      </c>
      <c r="P88" s="97">
        <v>85</v>
      </c>
      <c r="Q88" s="158"/>
      <c r="R88" s="158">
        <f t="shared" si="17"/>
        <v>8500</v>
      </c>
      <c r="S88" s="158">
        <f t="shared" si="18"/>
        <v>34000</v>
      </c>
      <c r="T88" s="158">
        <f t="shared" si="19"/>
        <v>425</v>
      </c>
      <c r="U88" s="158">
        <f t="shared" si="20"/>
        <v>425</v>
      </c>
      <c r="V88" s="158">
        <f>R88*属性价值参考!C$5+附件合成!S88*属性价值参考!C$6+附件合成!T88*(属性价值参考!C$7+属性价值参考!C$8)+附件合成!U88*(属性价值参考!C$9+属性价值参考!C$10)</f>
        <v>129846</v>
      </c>
      <c r="W88" s="158">
        <f>AC88*属性价值参考!C$26+附件合成!AF88*属性价值参考!C$24+附件合成!AG88*属性价值参考!C$26+附件合成!AI88*(属性价值参考!C$28+属性价值参考!C$29)+附件合成!AL88*属性价值参考!C$26+附件合成!AM88*属性价值参考!C$27+AN88*(属性价值参考!C$37+属性价值参考!C$38)</f>
        <v>58416.000000000007</v>
      </c>
      <c r="X88" s="158">
        <f t="shared" si="21"/>
        <v>11766.375</v>
      </c>
      <c r="Y88" s="158">
        <f t="shared" si="22"/>
        <v>11766375</v>
      </c>
      <c r="Z88" s="158">
        <f>ROUND(1/4*SUM(材料产出!$AB$27:$AB$28),0)</f>
        <v>5328</v>
      </c>
      <c r="AA88" s="158">
        <f t="shared" ref="AA88:AA103" si="30">Z88*1000</f>
        <v>5328000</v>
      </c>
      <c r="AB88" s="8">
        <f t="shared" si="23"/>
        <v>212</v>
      </c>
      <c r="AC88" s="97">
        <v>45</v>
      </c>
      <c r="AD88" s="8">
        <f t="shared" si="24"/>
        <v>212</v>
      </c>
      <c r="AE88" s="8">
        <f t="shared" si="25"/>
        <v>212</v>
      </c>
      <c r="AF88" s="97">
        <v>9.0000000000000107</v>
      </c>
      <c r="AG88" s="97">
        <v>9.0000000000000107</v>
      </c>
      <c r="AH88" s="8">
        <f t="shared" si="26"/>
        <v>212</v>
      </c>
      <c r="AI88" s="97">
        <v>18</v>
      </c>
      <c r="AJ88" s="8">
        <f t="shared" si="27"/>
        <v>8500</v>
      </c>
      <c r="AK88" s="8">
        <f t="shared" si="28"/>
        <v>34000</v>
      </c>
      <c r="AL88" s="97">
        <v>9.0000000000000107</v>
      </c>
      <c r="AM88" s="97">
        <v>9.0000000000000107</v>
      </c>
      <c r="AN88" s="97">
        <v>1600</v>
      </c>
    </row>
    <row r="89" spans="1:40" ht="16.5" x14ac:dyDescent="0.3">
      <c r="A89" s="22" t="s">
        <v>2399</v>
      </c>
      <c r="B89" s="23" t="s">
        <v>2496</v>
      </c>
      <c r="C89" s="22">
        <v>85</v>
      </c>
      <c r="D89" s="98">
        <v>34</v>
      </c>
      <c r="E89" s="101">
        <v>126</v>
      </c>
      <c r="F89" s="98">
        <v>34</v>
      </c>
      <c r="G89" s="101">
        <v>126</v>
      </c>
      <c r="H89" s="98">
        <v>34</v>
      </c>
      <c r="I89" s="101">
        <v>126</v>
      </c>
      <c r="J89" s="101"/>
      <c r="K89" s="101"/>
      <c r="L89" s="101"/>
      <c r="M89" s="101"/>
      <c r="N89" s="69" t="s">
        <v>2492</v>
      </c>
      <c r="O89" s="100" t="str">
        <f t="shared" si="29"/>
        <v>龙晶碎片5328/元宝5328000</v>
      </c>
      <c r="P89" s="97">
        <v>86</v>
      </c>
      <c r="Q89" s="158"/>
      <c r="R89" s="158">
        <f t="shared" si="17"/>
        <v>8600</v>
      </c>
      <c r="S89" s="158">
        <f t="shared" si="18"/>
        <v>34400</v>
      </c>
      <c r="T89" s="158">
        <f t="shared" si="19"/>
        <v>430</v>
      </c>
      <c r="U89" s="158">
        <f t="shared" si="20"/>
        <v>430</v>
      </c>
      <c r="V89" s="158">
        <f>R89*属性价值参考!C$5+附件合成!S89*属性价值参考!C$6+附件合成!T89*(属性价值参考!C$7+属性价值参考!C$8)+附件合成!U89*(属性价值参考!C$9+属性价值参考!C$10)</f>
        <v>131373.6</v>
      </c>
      <c r="W89" s="158">
        <f>AC89*属性价值参考!C$26+附件合成!AF89*属性价值参考!C$24+附件合成!AG89*属性价值参考!C$26+附件合成!AI89*(属性价值参考!C$28+属性价值参考!C$29)+附件合成!AL89*属性价值参考!C$26+附件合成!AM89*属性价值参考!C$27+AN89*(属性价值参考!C$37+属性价值参考!C$38)</f>
        <v>58416.000000000007</v>
      </c>
      <c r="X89" s="158">
        <f t="shared" si="21"/>
        <v>11861.85</v>
      </c>
      <c r="Y89" s="158">
        <f t="shared" si="22"/>
        <v>11861850</v>
      </c>
      <c r="Z89" s="158">
        <f>ROUND(1/4*SUM(材料产出!$AB$27:$AB$28),0)</f>
        <v>5328</v>
      </c>
      <c r="AA89" s="158">
        <f t="shared" si="30"/>
        <v>5328000</v>
      </c>
      <c r="AB89" s="8">
        <f t="shared" si="23"/>
        <v>215</v>
      </c>
      <c r="AC89" s="97">
        <v>45</v>
      </c>
      <c r="AD89" s="8">
        <f t="shared" si="24"/>
        <v>215</v>
      </c>
      <c r="AE89" s="8">
        <f t="shared" si="25"/>
        <v>215</v>
      </c>
      <c r="AF89" s="97">
        <v>9.0000000000000107</v>
      </c>
      <c r="AG89" s="97">
        <v>9.0000000000000107</v>
      </c>
      <c r="AH89" s="8">
        <f t="shared" si="26"/>
        <v>215</v>
      </c>
      <c r="AI89" s="97">
        <v>18</v>
      </c>
      <c r="AJ89" s="8">
        <f t="shared" si="27"/>
        <v>8600</v>
      </c>
      <c r="AK89" s="8">
        <f t="shared" si="28"/>
        <v>34400</v>
      </c>
      <c r="AL89" s="97">
        <v>9.0000000000000107</v>
      </c>
      <c r="AM89" s="97">
        <v>9.0000000000000107</v>
      </c>
      <c r="AN89" s="97">
        <v>1600</v>
      </c>
    </row>
    <row r="90" spans="1:40" ht="16.5" x14ac:dyDescent="0.3">
      <c r="A90" s="22" t="s">
        <v>2399</v>
      </c>
      <c r="B90" s="23" t="s">
        <v>2497</v>
      </c>
      <c r="C90" s="22">
        <v>86</v>
      </c>
      <c r="D90" s="98">
        <v>35</v>
      </c>
      <c r="E90" s="101">
        <v>129</v>
      </c>
      <c r="F90" s="98">
        <v>35</v>
      </c>
      <c r="G90" s="101">
        <v>129</v>
      </c>
      <c r="H90" s="98">
        <v>35</v>
      </c>
      <c r="I90" s="101">
        <v>129</v>
      </c>
      <c r="J90" s="101"/>
      <c r="K90" s="101"/>
      <c r="L90" s="101"/>
      <c r="M90" s="101"/>
      <c r="N90" s="69" t="s">
        <v>2492</v>
      </c>
      <c r="O90" s="100" t="str">
        <f t="shared" si="29"/>
        <v>龙晶碎片5328/元宝5328000</v>
      </c>
      <c r="P90" s="97">
        <v>87</v>
      </c>
      <c r="Q90" s="158"/>
      <c r="R90" s="158">
        <f t="shared" si="17"/>
        <v>8700</v>
      </c>
      <c r="S90" s="158">
        <f t="shared" si="18"/>
        <v>34800</v>
      </c>
      <c r="T90" s="158">
        <f t="shared" si="19"/>
        <v>435</v>
      </c>
      <c r="U90" s="158">
        <f t="shared" si="20"/>
        <v>435</v>
      </c>
      <c r="V90" s="158">
        <f>R90*属性价值参考!C$5+附件合成!S90*属性价值参考!C$6+附件合成!T90*(属性价值参考!C$7+属性价值参考!C$8)+附件合成!U90*(属性价值参考!C$9+属性价值参考!C$10)</f>
        <v>132901.20000000001</v>
      </c>
      <c r="W90" s="158">
        <f>AC90*属性价值参考!C$26+附件合成!AF90*属性价值参考!C$24+附件合成!AG90*属性价值参考!C$26+附件合成!AI90*(属性价值参考!C$28+属性价值参考!C$29)+附件合成!AL90*属性价值参考!C$26+附件合成!AM90*属性价值参考!C$27+AN90*(属性价值参考!C$37+属性价值参考!C$38)</f>
        <v>58416.000000000007</v>
      </c>
      <c r="X90" s="158">
        <f t="shared" si="21"/>
        <v>11957.325000000001</v>
      </c>
      <c r="Y90" s="158">
        <f t="shared" si="22"/>
        <v>11957325</v>
      </c>
      <c r="Z90" s="158">
        <f>ROUND(1/4*SUM(材料产出!$AB$27:$AB$28),0)</f>
        <v>5328</v>
      </c>
      <c r="AA90" s="158">
        <f t="shared" si="30"/>
        <v>5328000</v>
      </c>
      <c r="AB90" s="8">
        <f t="shared" si="23"/>
        <v>217</v>
      </c>
      <c r="AC90" s="97">
        <v>45</v>
      </c>
      <c r="AD90" s="8">
        <f t="shared" si="24"/>
        <v>217</v>
      </c>
      <c r="AE90" s="8">
        <f t="shared" si="25"/>
        <v>217</v>
      </c>
      <c r="AF90" s="97">
        <v>9.0000000000000107</v>
      </c>
      <c r="AG90" s="97">
        <v>9.0000000000000107</v>
      </c>
      <c r="AH90" s="8">
        <f t="shared" si="26"/>
        <v>217</v>
      </c>
      <c r="AI90" s="97">
        <v>18</v>
      </c>
      <c r="AJ90" s="8">
        <f t="shared" si="27"/>
        <v>8700</v>
      </c>
      <c r="AK90" s="8">
        <f t="shared" si="28"/>
        <v>34800</v>
      </c>
      <c r="AL90" s="97">
        <v>9.0000000000000107</v>
      </c>
      <c r="AM90" s="97">
        <v>9.0000000000000107</v>
      </c>
      <c r="AN90" s="97">
        <v>1600</v>
      </c>
    </row>
    <row r="91" spans="1:40" ht="16.5" x14ac:dyDescent="0.3">
      <c r="A91" s="22" t="s">
        <v>2399</v>
      </c>
      <c r="B91" s="23" t="s">
        <v>2498</v>
      </c>
      <c r="C91" s="22">
        <v>87</v>
      </c>
      <c r="D91" s="98">
        <v>36</v>
      </c>
      <c r="E91" s="101">
        <v>132</v>
      </c>
      <c r="F91" s="98">
        <v>36</v>
      </c>
      <c r="G91" s="101">
        <v>132</v>
      </c>
      <c r="H91" s="98">
        <v>36</v>
      </c>
      <c r="I91" s="101">
        <v>132</v>
      </c>
      <c r="J91" s="101"/>
      <c r="K91" s="101"/>
      <c r="L91" s="101"/>
      <c r="M91" s="101"/>
      <c r="N91" s="69" t="s">
        <v>2492</v>
      </c>
      <c r="O91" s="100" t="str">
        <f t="shared" si="29"/>
        <v>龙晶碎片5328/元宝5328000</v>
      </c>
      <c r="P91" s="97">
        <v>88</v>
      </c>
      <c r="Q91" s="158"/>
      <c r="R91" s="158">
        <f t="shared" si="17"/>
        <v>8800</v>
      </c>
      <c r="S91" s="158">
        <f t="shared" si="18"/>
        <v>35200</v>
      </c>
      <c r="T91" s="158">
        <f t="shared" si="19"/>
        <v>440</v>
      </c>
      <c r="U91" s="158">
        <f t="shared" si="20"/>
        <v>440</v>
      </c>
      <c r="V91" s="158">
        <f>R91*属性价值参考!C$5+附件合成!S91*属性价值参考!C$6+附件合成!T91*(属性价值参考!C$7+属性价值参考!C$8)+附件合成!U91*(属性价值参考!C$9+属性价值参考!C$10)</f>
        <v>134428.79999999999</v>
      </c>
      <c r="W91" s="158">
        <f>AC91*属性价值参考!C$26+附件合成!AF91*属性价值参考!C$24+附件合成!AG91*属性价值参考!C$26+附件合成!AI91*(属性价值参考!C$28+属性价值参考!C$29)+附件合成!AL91*属性价值参考!C$26+附件合成!AM91*属性价值参考!C$27+AN91*(属性价值参考!C$37+属性价值参考!C$38)</f>
        <v>58416.000000000007</v>
      </c>
      <c r="X91" s="158">
        <f t="shared" si="21"/>
        <v>12052.8</v>
      </c>
      <c r="Y91" s="158">
        <f t="shared" si="22"/>
        <v>12052800</v>
      </c>
      <c r="Z91" s="158">
        <f>ROUND(1/4*SUM(材料产出!$AB$27:$AB$28),0)</f>
        <v>5328</v>
      </c>
      <c r="AA91" s="158">
        <f t="shared" si="30"/>
        <v>5328000</v>
      </c>
      <c r="AB91" s="8">
        <f t="shared" si="23"/>
        <v>220</v>
      </c>
      <c r="AC91" s="97">
        <v>45</v>
      </c>
      <c r="AD91" s="8">
        <f t="shared" si="24"/>
        <v>220</v>
      </c>
      <c r="AE91" s="8">
        <f t="shared" si="25"/>
        <v>220</v>
      </c>
      <c r="AF91" s="97">
        <v>9.0000000000000107</v>
      </c>
      <c r="AG91" s="97">
        <v>9.0000000000000107</v>
      </c>
      <c r="AH91" s="8">
        <f t="shared" si="26"/>
        <v>220</v>
      </c>
      <c r="AI91" s="97">
        <v>18</v>
      </c>
      <c r="AJ91" s="8">
        <f t="shared" si="27"/>
        <v>8800</v>
      </c>
      <c r="AK91" s="8">
        <f t="shared" si="28"/>
        <v>35200</v>
      </c>
      <c r="AL91" s="97">
        <v>9.0000000000000107</v>
      </c>
      <c r="AM91" s="97">
        <v>9.0000000000000107</v>
      </c>
      <c r="AN91" s="97">
        <v>1600</v>
      </c>
    </row>
    <row r="92" spans="1:40" ht="16.5" x14ac:dyDescent="0.3">
      <c r="A92" s="22" t="s">
        <v>2399</v>
      </c>
      <c r="B92" s="23" t="s">
        <v>2499</v>
      </c>
      <c r="C92" s="22">
        <v>88</v>
      </c>
      <c r="D92" s="98">
        <v>37</v>
      </c>
      <c r="E92" s="101">
        <v>135</v>
      </c>
      <c r="F92" s="98">
        <v>37</v>
      </c>
      <c r="G92" s="101">
        <v>135</v>
      </c>
      <c r="H92" s="98">
        <v>37</v>
      </c>
      <c r="I92" s="101">
        <v>135</v>
      </c>
      <c r="J92" s="101"/>
      <c r="K92" s="101"/>
      <c r="L92" s="101"/>
      <c r="M92" s="101"/>
      <c r="N92" s="69" t="s">
        <v>2492</v>
      </c>
      <c r="O92" s="100" t="str">
        <f t="shared" si="29"/>
        <v>龙晶碎片5328/元宝5328000</v>
      </c>
      <c r="P92" s="97">
        <v>89</v>
      </c>
      <c r="Q92" s="158"/>
      <c r="R92" s="158">
        <f t="shared" si="17"/>
        <v>8900</v>
      </c>
      <c r="S92" s="158">
        <f t="shared" si="18"/>
        <v>35600</v>
      </c>
      <c r="T92" s="158">
        <f t="shared" si="19"/>
        <v>445</v>
      </c>
      <c r="U92" s="158">
        <f t="shared" si="20"/>
        <v>445</v>
      </c>
      <c r="V92" s="158">
        <f>R92*属性价值参考!C$5+附件合成!S92*属性价值参考!C$6+附件合成!T92*(属性价值参考!C$7+属性价值参考!C$8)+附件合成!U92*(属性价值参考!C$9+属性价值参考!C$10)</f>
        <v>135956.4</v>
      </c>
      <c r="W92" s="158">
        <f>AC92*属性价值参考!C$26+附件合成!AF92*属性价值参考!C$24+附件合成!AG92*属性价值参考!C$26+附件合成!AI92*(属性价值参考!C$28+属性价值参考!C$29)+附件合成!AL92*属性价值参考!C$26+附件合成!AM92*属性价值参考!C$27+AN92*(属性价值参考!C$37+属性价值参考!C$38)</f>
        <v>58416.000000000007</v>
      </c>
      <c r="X92" s="158">
        <f t="shared" si="21"/>
        <v>12148.275</v>
      </c>
      <c r="Y92" s="158">
        <f t="shared" si="22"/>
        <v>12148275</v>
      </c>
      <c r="Z92" s="158">
        <f>ROUND(1/4*SUM(材料产出!$AB$27:$AB$28),0)</f>
        <v>5328</v>
      </c>
      <c r="AA92" s="158">
        <f t="shared" si="30"/>
        <v>5328000</v>
      </c>
      <c r="AB92" s="8">
        <f t="shared" si="23"/>
        <v>222</v>
      </c>
      <c r="AC92" s="97">
        <v>45</v>
      </c>
      <c r="AD92" s="8">
        <f t="shared" si="24"/>
        <v>222</v>
      </c>
      <c r="AE92" s="8">
        <f t="shared" si="25"/>
        <v>222</v>
      </c>
      <c r="AF92" s="97">
        <v>9.0000000000000107</v>
      </c>
      <c r="AG92" s="97">
        <v>9.0000000000000107</v>
      </c>
      <c r="AH92" s="8">
        <f t="shared" si="26"/>
        <v>222</v>
      </c>
      <c r="AI92" s="97">
        <v>18</v>
      </c>
      <c r="AJ92" s="8">
        <f t="shared" si="27"/>
        <v>8900</v>
      </c>
      <c r="AK92" s="8">
        <f t="shared" si="28"/>
        <v>35600</v>
      </c>
      <c r="AL92" s="97">
        <v>9.0000000000000107</v>
      </c>
      <c r="AM92" s="97">
        <v>9.0000000000000107</v>
      </c>
      <c r="AN92" s="97">
        <v>1600</v>
      </c>
    </row>
    <row r="93" spans="1:40" ht="16.5" x14ac:dyDescent="0.3">
      <c r="A93" s="22" t="s">
        <v>2399</v>
      </c>
      <c r="B93" s="23" t="s">
        <v>2500</v>
      </c>
      <c r="C93" s="22">
        <v>89</v>
      </c>
      <c r="D93" s="98">
        <v>38</v>
      </c>
      <c r="E93" s="101">
        <v>138</v>
      </c>
      <c r="F93" s="98">
        <v>38</v>
      </c>
      <c r="G93" s="101">
        <v>138</v>
      </c>
      <c r="H93" s="98">
        <v>38</v>
      </c>
      <c r="I93" s="101">
        <v>138</v>
      </c>
      <c r="J93" s="101"/>
      <c r="K93" s="101"/>
      <c r="L93" s="101"/>
      <c r="M93" s="101"/>
      <c r="N93" s="69" t="s">
        <v>2492</v>
      </c>
      <c r="O93" s="100" t="str">
        <f t="shared" si="29"/>
        <v>龙晶碎片5328/元宝5328000</v>
      </c>
      <c r="P93" s="97">
        <v>90</v>
      </c>
      <c r="Q93" s="206">
        <f>材料产出!C28</f>
        <v>6.4</v>
      </c>
      <c r="R93" s="158">
        <f t="shared" si="17"/>
        <v>9000</v>
      </c>
      <c r="S93" s="158">
        <f t="shared" si="18"/>
        <v>36000</v>
      </c>
      <c r="T93" s="158">
        <f t="shared" si="19"/>
        <v>450</v>
      </c>
      <c r="U93" s="158">
        <f t="shared" si="20"/>
        <v>450</v>
      </c>
      <c r="V93" s="158">
        <f>R93*属性价值参考!C$5+附件合成!S93*属性价值参考!C$6+附件合成!T93*(属性价值参考!C$7+属性价值参考!C$8)+附件合成!U93*(属性价值参考!C$9+属性价值参考!C$10)</f>
        <v>137484</v>
      </c>
      <c r="W93" s="158">
        <f>AC93*属性价值参考!C$26+附件合成!AF93*属性价值参考!C$24+附件合成!AG93*属性价值参考!C$26+附件合成!AI93*(属性价值参考!C$28+属性价值参考!C$29)+附件合成!AL93*属性价值参考!C$26+附件合成!AM93*属性价值参考!C$27+AN93*(属性价值参考!C$37+属性价值参考!C$38)</f>
        <v>58416.000000000007</v>
      </c>
      <c r="X93" s="158">
        <f t="shared" si="21"/>
        <v>12243.75</v>
      </c>
      <c r="Y93" s="158">
        <f t="shared" si="22"/>
        <v>12243750</v>
      </c>
      <c r="Z93" s="158">
        <f>ROUND(1/4*SUM(材料产出!$AB$27:$AB$28),0)</f>
        <v>5328</v>
      </c>
      <c r="AA93" s="158">
        <f t="shared" si="30"/>
        <v>5328000</v>
      </c>
      <c r="AB93" s="8">
        <f t="shared" si="23"/>
        <v>225</v>
      </c>
      <c r="AC93" s="97">
        <v>45</v>
      </c>
      <c r="AD93" s="8">
        <f t="shared" si="24"/>
        <v>225</v>
      </c>
      <c r="AE93" s="8">
        <f t="shared" si="25"/>
        <v>225</v>
      </c>
      <c r="AF93" s="97">
        <v>9.0000000000000107</v>
      </c>
      <c r="AG93" s="97">
        <v>9.0000000000000107</v>
      </c>
      <c r="AH93" s="8">
        <f t="shared" si="26"/>
        <v>225</v>
      </c>
      <c r="AI93" s="97">
        <v>18</v>
      </c>
      <c r="AJ93" s="8">
        <f t="shared" si="27"/>
        <v>9000</v>
      </c>
      <c r="AK93" s="8">
        <f t="shared" si="28"/>
        <v>36000</v>
      </c>
      <c r="AL93" s="97">
        <v>9.0000000000000107</v>
      </c>
      <c r="AM93" s="97">
        <v>9.0000000000000107</v>
      </c>
      <c r="AN93" s="97">
        <v>1600</v>
      </c>
    </row>
    <row r="94" spans="1:40" ht="16.5" x14ac:dyDescent="0.3">
      <c r="A94" s="22" t="s">
        <v>2399</v>
      </c>
      <c r="B94" s="23" t="s">
        <v>2501</v>
      </c>
      <c r="C94" s="22">
        <v>90</v>
      </c>
      <c r="D94" s="98">
        <v>39</v>
      </c>
      <c r="E94" s="101">
        <v>141</v>
      </c>
      <c r="F94" s="98">
        <v>39</v>
      </c>
      <c r="G94" s="101">
        <v>141</v>
      </c>
      <c r="H94" s="98">
        <v>39</v>
      </c>
      <c r="I94" s="101">
        <v>141</v>
      </c>
      <c r="J94" s="101"/>
      <c r="K94" s="101"/>
      <c r="L94" s="101"/>
      <c r="M94" s="101"/>
      <c r="N94" s="69" t="s">
        <v>2492</v>
      </c>
      <c r="O94" s="100" t="str">
        <f t="shared" si="29"/>
        <v>龙晶碎片5839/元宝5839000</v>
      </c>
      <c r="P94" s="191">
        <v>91</v>
      </c>
      <c r="Q94" s="207"/>
      <c r="R94" s="158">
        <f t="shared" si="17"/>
        <v>9100</v>
      </c>
      <c r="S94" s="158">
        <f t="shared" si="18"/>
        <v>36400</v>
      </c>
      <c r="T94" s="158">
        <f t="shared" si="19"/>
        <v>455</v>
      </c>
      <c r="U94" s="158">
        <f t="shared" si="20"/>
        <v>455</v>
      </c>
      <c r="V94" s="158">
        <f>R94*属性价值参考!C$5+附件合成!S94*属性价值参考!C$6+附件合成!T94*(属性价值参考!C$7+属性价值参考!C$8)+附件合成!U94*(属性价值参考!C$9+属性价值参考!C$10)</f>
        <v>139011.6</v>
      </c>
      <c r="W94" s="158">
        <f>AC94*属性价值参考!C$26+附件合成!AF94*属性价值参考!C$24+附件合成!AG94*属性价值参考!C$26+附件合成!AI94*(属性价值参考!C$28+属性价值参考!C$29)+附件合成!AL94*属性价值参考!C$26+附件合成!AM94*属性价值参考!C$27+AN94*(属性价值参考!C$37+属性价值参考!C$38)</f>
        <v>71400</v>
      </c>
      <c r="X94" s="158">
        <f t="shared" si="21"/>
        <v>13150.725</v>
      </c>
      <c r="Y94" s="158">
        <f t="shared" si="22"/>
        <v>13150725</v>
      </c>
      <c r="Z94" s="158">
        <f>ROUND(1/4*SUM(材料产出!$AB$29:$AB$30),0)</f>
        <v>5839</v>
      </c>
      <c r="AA94" s="158">
        <f t="shared" si="30"/>
        <v>5839000</v>
      </c>
      <c r="AB94" s="104">
        <f t="shared" si="23"/>
        <v>227</v>
      </c>
      <c r="AC94" s="105">
        <v>50</v>
      </c>
      <c r="AD94" s="104">
        <f t="shared" si="24"/>
        <v>227</v>
      </c>
      <c r="AE94" s="104">
        <f t="shared" si="25"/>
        <v>227</v>
      </c>
      <c r="AF94" s="105">
        <v>10</v>
      </c>
      <c r="AG94" s="105">
        <v>10</v>
      </c>
      <c r="AH94" s="104">
        <f t="shared" si="26"/>
        <v>227</v>
      </c>
      <c r="AI94" s="105">
        <v>20</v>
      </c>
      <c r="AJ94" s="104">
        <f t="shared" si="27"/>
        <v>9100</v>
      </c>
      <c r="AK94" s="104">
        <f t="shared" si="28"/>
        <v>36400</v>
      </c>
      <c r="AL94" s="105">
        <v>10</v>
      </c>
      <c r="AM94" s="105">
        <v>10</v>
      </c>
      <c r="AN94" s="105">
        <v>2000</v>
      </c>
    </row>
    <row r="95" spans="1:40" ht="16.5" x14ac:dyDescent="0.3">
      <c r="A95" s="22" t="s">
        <v>2399</v>
      </c>
      <c r="B95" s="23" t="s">
        <v>2502</v>
      </c>
      <c r="C95" s="22">
        <v>91</v>
      </c>
      <c r="D95" s="98">
        <v>40</v>
      </c>
      <c r="E95" s="101">
        <v>143</v>
      </c>
      <c r="F95" s="98">
        <v>40</v>
      </c>
      <c r="G95" s="101">
        <v>143</v>
      </c>
      <c r="H95" s="98">
        <v>40</v>
      </c>
      <c r="I95" s="101">
        <v>143</v>
      </c>
      <c r="J95" s="101"/>
      <c r="K95" s="101"/>
      <c r="L95" s="101"/>
      <c r="M95" s="101"/>
      <c r="N95" s="69" t="s">
        <v>2503</v>
      </c>
      <c r="O95" s="100" t="str">
        <f t="shared" si="29"/>
        <v>龙晶碎片5839/元宝5839000</v>
      </c>
      <c r="P95" s="97">
        <v>92</v>
      </c>
      <c r="Q95" s="158"/>
      <c r="R95" s="158">
        <f t="shared" si="17"/>
        <v>9200</v>
      </c>
      <c r="S95" s="158">
        <f t="shared" si="18"/>
        <v>36800</v>
      </c>
      <c r="T95" s="158">
        <f t="shared" si="19"/>
        <v>460</v>
      </c>
      <c r="U95" s="158">
        <f t="shared" si="20"/>
        <v>460</v>
      </c>
      <c r="V95" s="158">
        <f>R95*属性价值参考!C$5+附件合成!S95*属性价值参考!C$6+附件合成!T95*(属性价值参考!C$7+属性价值参考!C$8)+附件合成!U95*(属性价值参考!C$9+属性价值参考!C$10)</f>
        <v>140539.20000000001</v>
      </c>
      <c r="W95" s="158">
        <f>AC95*属性价值参考!C$26+附件合成!AF95*属性价值参考!C$24+附件合成!AG95*属性价值参考!C$26+附件合成!AI95*(属性价值参考!C$28+属性价值参考!C$29)+附件合成!AL95*属性价值参考!C$26+附件合成!AM95*属性价值参考!C$27+AN95*(属性价值参考!C$37+属性价值参考!C$38)</f>
        <v>71400</v>
      </c>
      <c r="X95" s="158">
        <f t="shared" si="21"/>
        <v>13246.2</v>
      </c>
      <c r="Y95" s="158">
        <f t="shared" si="22"/>
        <v>13246200</v>
      </c>
      <c r="Z95" s="158">
        <f>ROUND(1/4*SUM(材料产出!$AB$29:$AB$30),0)</f>
        <v>5839</v>
      </c>
      <c r="AA95" s="158">
        <f t="shared" si="30"/>
        <v>5839000</v>
      </c>
      <c r="AB95" s="8">
        <f t="shared" si="23"/>
        <v>230</v>
      </c>
      <c r="AC95" s="97">
        <v>50</v>
      </c>
      <c r="AD95" s="8">
        <f t="shared" si="24"/>
        <v>230</v>
      </c>
      <c r="AE95" s="8">
        <f t="shared" si="25"/>
        <v>230</v>
      </c>
      <c r="AF95" s="97">
        <v>10</v>
      </c>
      <c r="AG95" s="97">
        <v>10</v>
      </c>
      <c r="AH95" s="8">
        <f t="shared" si="26"/>
        <v>230</v>
      </c>
      <c r="AI95" s="97">
        <v>20</v>
      </c>
      <c r="AJ95" s="8">
        <f t="shared" si="27"/>
        <v>9200</v>
      </c>
      <c r="AK95" s="8">
        <f t="shared" si="28"/>
        <v>36800</v>
      </c>
      <c r="AL95" s="97">
        <v>10</v>
      </c>
      <c r="AM95" s="97">
        <v>10</v>
      </c>
      <c r="AN95" s="97">
        <v>2000</v>
      </c>
    </row>
    <row r="96" spans="1:40" ht="16.5" x14ac:dyDescent="0.3">
      <c r="A96" s="22" t="s">
        <v>2399</v>
      </c>
      <c r="B96" s="23" t="s">
        <v>2504</v>
      </c>
      <c r="C96" s="22">
        <v>92</v>
      </c>
      <c r="D96" s="98">
        <v>41</v>
      </c>
      <c r="E96" s="101">
        <v>147</v>
      </c>
      <c r="F96" s="98">
        <v>41</v>
      </c>
      <c r="G96" s="101">
        <v>147</v>
      </c>
      <c r="H96" s="98">
        <v>41</v>
      </c>
      <c r="I96" s="101">
        <v>147</v>
      </c>
      <c r="J96" s="101"/>
      <c r="K96" s="101"/>
      <c r="L96" s="101"/>
      <c r="M96" s="101"/>
      <c r="N96" s="69" t="s">
        <v>2503</v>
      </c>
      <c r="O96" s="100" t="str">
        <f t="shared" si="29"/>
        <v>龙晶碎片5839/元宝5839000</v>
      </c>
      <c r="P96" s="97">
        <v>93</v>
      </c>
      <c r="Q96" s="158"/>
      <c r="R96" s="158">
        <f t="shared" si="17"/>
        <v>9300</v>
      </c>
      <c r="S96" s="158">
        <f t="shared" si="18"/>
        <v>37200</v>
      </c>
      <c r="T96" s="158">
        <f t="shared" si="19"/>
        <v>465</v>
      </c>
      <c r="U96" s="158">
        <f t="shared" si="20"/>
        <v>465</v>
      </c>
      <c r="V96" s="158">
        <f>R96*属性价值参考!C$5+附件合成!S96*属性价值参考!C$6+附件合成!T96*(属性价值参考!C$7+属性价值参考!C$8)+附件合成!U96*(属性价值参考!C$9+属性价值参考!C$10)</f>
        <v>142066.79999999999</v>
      </c>
      <c r="W96" s="158">
        <f>AC96*属性价值参考!C$26+附件合成!AF96*属性价值参考!C$24+附件合成!AG96*属性价值参考!C$26+附件合成!AI96*(属性价值参考!C$28+属性价值参考!C$29)+附件合成!AL96*属性价值参考!C$26+附件合成!AM96*属性价值参考!C$27+AN96*(属性价值参考!C$37+属性价值参考!C$38)</f>
        <v>71400</v>
      </c>
      <c r="X96" s="158">
        <f t="shared" si="21"/>
        <v>13341.674999999999</v>
      </c>
      <c r="Y96" s="158">
        <f t="shared" si="22"/>
        <v>13341675</v>
      </c>
      <c r="Z96" s="158">
        <f>ROUND(1/4*SUM(材料产出!$AB$29:$AB$30),0)</f>
        <v>5839</v>
      </c>
      <c r="AA96" s="158">
        <f t="shared" si="30"/>
        <v>5839000</v>
      </c>
      <c r="AB96" s="8">
        <f t="shared" si="23"/>
        <v>232</v>
      </c>
      <c r="AC96" s="97">
        <v>50</v>
      </c>
      <c r="AD96" s="8">
        <f t="shared" si="24"/>
        <v>232</v>
      </c>
      <c r="AE96" s="8">
        <f t="shared" si="25"/>
        <v>232</v>
      </c>
      <c r="AF96" s="97">
        <v>10</v>
      </c>
      <c r="AG96" s="97">
        <v>10</v>
      </c>
      <c r="AH96" s="8">
        <f t="shared" si="26"/>
        <v>232</v>
      </c>
      <c r="AI96" s="97">
        <v>20</v>
      </c>
      <c r="AJ96" s="8">
        <f t="shared" si="27"/>
        <v>9300</v>
      </c>
      <c r="AK96" s="8">
        <f t="shared" si="28"/>
        <v>37200</v>
      </c>
      <c r="AL96" s="97">
        <v>10</v>
      </c>
      <c r="AM96" s="97">
        <v>10</v>
      </c>
      <c r="AN96" s="97">
        <v>2000</v>
      </c>
    </row>
    <row r="97" spans="1:40" ht="16.5" x14ac:dyDescent="0.3">
      <c r="A97" s="22" t="s">
        <v>2399</v>
      </c>
      <c r="B97" s="23" t="s">
        <v>2505</v>
      </c>
      <c r="C97" s="22">
        <v>93</v>
      </c>
      <c r="D97" s="98">
        <v>42</v>
      </c>
      <c r="E97" s="101">
        <v>150</v>
      </c>
      <c r="F97" s="98">
        <v>42</v>
      </c>
      <c r="G97" s="101">
        <v>150</v>
      </c>
      <c r="H97" s="98">
        <v>42</v>
      </c>
      <c r="I97" s="101">
        <v>150</v>
      </c>
      <c r="J97" s="101"/>
      <c r="K97" s="101"/>
      <c r="L97" s="101"/>
      <c r="M97" s="101"/>
      <c r="N97" s="69" t="s">
        <v>2503</v>
      </c>
      <c r="O97" s="100" t="str">
        <f t="shared" si="29"/>
        <v>龙晶碎片5839/元宝5839000</v>
      </c>
      <c r="P97" s="97">
        <v>94</v>
      </c>
      <c r="Q97" s="158"/>
      <c r="R97" s="158">
        <f t="shared" si="17"/>
        <v>9400</v>
      </c>
      <c r="S97" s="158">
        <f t="shared" si="18"/>
        <v>37600</v>
      </c>
      <c r="T97" s="158">
        <f t="shared" si="19"/>
        <v>470</v>
      </c>
      <c r="U97" s="158">
        <f t="shared" si="20"/>
        <v>470</v>
      </c>
      <c r="V97" s="158">
        <f>R97*属性价值参考!C$5+附件合成!S97*属性价值参考!C$6+附件合成!T97*(属性价值参考!C$7+属性价值参考!C$8)+附件合成!U97*(属性价值参考!C$9+属性价值参考!C$10)</f>
        <v>143594.4</v>
      </c>
      <c r="W97" s="158">
        <f>AC97*属性价值参考!C$26+附件合成!AF97*属性价值参考!C$24+附件合成!AG97*属性价值参考!C$26+附件合成!AI97*(属性价值参考!C$28+属性价值参考!C$29)+附件合成!AL97*属性价值参考!C$26+附件合成!AM97*属性价值参考!C$27+AN97*(属性价值参考!C$37+属性价值参考!C$38)</f>
        <v>71400</v>
      </c>
      <c r="X97" s="158">
        <f t="shared" si="21"/>
        <v>13437.15</v>
      </c>
      <c r="Y97" s="158">
        <f t="shared" si="22"/>
        <v>13437150</v>
      </c>
      <c r="Z97" s="158">
        <f>ROUND(1/4*SUM(材料产出!$AB$29:$AB$30),0)</f>
        <v>5839</v>
      </c>
      <c r="AA97" s="158">
        <f t="shared" si="30"/>
        <v>5839000</v>
      </c>
      <c r="AB97" s="8">
        <f t="shared" si="23"/>
        <v>235</v>
      </c>
      <c r="AC97" s="97">
        <v>50</v>
      </c>
      <c r="AD97" s="8">
        <f t="shared" si="24"/>
        <v>235</v>
      </c>
      <c r="AE97" s="8">
        <f t="shared" si="25"/>
        <v>235</v>
      </c>
      <c r="AF97" s="97">
        <v>10</v>
      </c>
      <c r="AG97" s="97">
        <v>10</v>
      </c>
      <c r="AH97" s="8">
        <f t="shared" si="26"/>
        <v>235</v>
      </c>
      <c r="AI97" s="97">
        <v>20</v>
      </c>
      <c r="AJ97" s="8">
        <f t="shared" si="27"/>
        <v>9400</v>
      </c>
      <c r="AK97" s="8">
        <f t="shared" si="28"/>
        <v>37600</v>
      </c>
      <c r="AL97" s="97">
        <v>10</v>
      </c>
      <c r="AM97" s="97">
        <v>10</v>
      </c>
      <c r="AN97" s="97">
        <v>2000</v>
      </c>
    </row>
    <row r="98" spans="1:40" ht="16.5" x14ac:dyDescent="0.3">
      <c r="A98" s="22" t="s">
        <v>2399</v>
      </c>
      <c r="B98" s="23" t="s">
        <v>2506</v>
      </c>
      <c r="C98" s="22">
        <v>94</v>
      </c>
      <c r="D98" s="98">
        <v>43</v>
      </c>
      <c r="E98" s="101">
        <v>153</v>
      </c>
      <c r="F98" s="98">
        <v>43</v>
      </c>
      <c r="G98" s="101">
        <v>153</v>
      </c>
      <c r="H98" s="98">
        <v>43</v>
      </c>
      <c r="I98" s="101">
        <v>153</v>
      </c>
      <c r="J98" s="101"/>
      <c r="K98" s="101"/>
      <c r="L98" s="101"/>
      <c r="M98" s="101"/>
      <c r="N98" s="69" t="s">
        <v>2503</v>
      </c>
      <c r="O98" s="100" t="str">
        <f t="shared" si="29"/>
        <v>龙晶碎片5839/元宝5839000</v>
      </c>
      <c r="P98" s="97">
        <v>95</v>
      </c>
      <c r="Q98" s="158"/>
      <c r="R98" s="158">
        <f t="shared" si="17"/>
        <v>9500</v>
      </c>
      <c r="S98" s="158">
        <f t="shared" si="18"/>
        <v>38000</v>
      </c>
      <c r="T98" s="158">
        <f t="shared" si="19"/>
        <v>475</v>
      </c>
      <c r="U98" s="158">
        <f t="shared" si="20"/>
        <v>475</v>
      </c>
      <c r="V98" s="158">
        <f>R98*属性价值参考!C$5+附件合成!S98*属性价值参考!C$6+附件合成!T98*(属性价值参考!C$7+属性价值参考!C$8)+附件合成!U98*(属性价值参考!C$9+属性价值参考!C$10)</f>
        <v>145122</v>
      </c>
      <c r="W98" s="158">
        <f>AC98*属性价值参考!C$26+附件合成!AF98*属性价值参考!C$24+附件合成!AG98*属性价值参考!C$26+附件合成!AI98*(属性价值参考!C$28+属性价值参考!C$29)+附件合成!AL98*属性价值参考!C$26+附件合成!AM98*属性价值参考!C$27+AN98*(属性价值参考!C$37+属性价值参考!C$38)</f>
        <v>71400</v>
      </c>
      <c r="X98" s="158">
        <f t="shared" si="21"/>
        <v>13532.625</v>
      </c>
      <c r="Y98" s="158">
        <f t="shared" si="22"/>
        <v>13532625</v>
      </c>
      <c r="Z98" s="158">
        <f>ROUND(1/4*SUM(材料产出!$AB$29:$AB$30),0)</f>
        <v>5839</v>
      </c>
      <c r="AA98" s="158">
        <f t="shared" si="30"/>
        <v>5839000</v>
      </c>
      <c r="AB98" s="8">
        <f t="shared" si="23"/>
        <v>237</v>
      </c>
      <c r="AC98" s="97">
        <v>50</v>
      </c>
      <c r="AD98" s="8">
        <f t="shared" si="24"/>
        <v>237</v>
      </c>
      <c r="AE98" s="8">
        <f t="shared" si="25"/>
        <v>237</v>
      </c>
      <c r="AF98" s="97">
        <v>10</v>
      </c>
      <c r="AG98" s="97">
        <v>10</v>
      </c>
      <c r="AH98" s="8">
        <f t="shared" si="26"/>
        <v>237</v>
      </c>
      <c r="AI98" s="97">
        <v>20</v>
      </c>
      <c r="AJ98" s="8">
        <f t="shared" si="27"/>
        <v>9500</v>
      </c>
      <c r="AK98" s="8">
        <f t="shared" si="28"/>
        <v>38000</v>
      </c>
      <c r="AL98" s="97">
        <v>10</v>
      </c>
      <c r="AM98" s="97">
        <v>10</v>
      </c>
      <c r="AN98" s="97">
        <v>2000</v>
      </c>
    </row>
    <row r="99" spans="1:40" ht="16.5" x14ac:dyDescent="0.3">
      <c r="A99" s="22" t="s">
        <v>2399</v>
      </c>
      <c r="B99" s="23" t="s">
        <v>2507</v>
      </c>
      <c r="C99" s="22">
        <v>95</v>
      </c>
      <c r="D99" s="98">
        <v>44</v>
      </c>
      <c r="E99" s="101">
        <v>156</v>
      </c>
      <c r="F99" s="98">
        <v>44</v>
      </c>
      <c r="G99" s="101">
        <v>156</v>
      </c>
      <c r="H99" s="98">
        <v>44</v>
      </c>
      <c r="I99" s="101">
        <v>156</v>
      </c>
      <c r="J99" s="101"/>
      <c r="K99" s="101"/>
      <c r="L99" s="101"/>
      <c r="M99" s="101"/>
      <c r="N99" s="69" t="s">
        <v>2503</v>
      </c>
      <c r="O99" s="100" t="str">
        <f t="shared" si="29"/>
        <v>龙晶碎片5839/元宝5839000</v>
      </c>
      <c r="P99" s="97">
        <v>96</v>
      </c>
      <c r="Q99" s="158"/>
      <c r="R99" s="158">
        <f t="shared" si="17"/>
        <v>9600</v>
      </c>
      <c r="S99" s="158">
        <f t="shared" si="18"/>
        <v>38400</v>
      </c>
      <c r="T99" s="158">
        <f t="shared" si="19"/>
        <v>480</v>
      </c>
      <c r="U99" s="158">
        <f t="shared" si="20"/>
        <v>480</v>
      </c>
      <c r="V99" s="158">
        <f>R99*属性价值参考!C$5+附件合成!S99*属性价值参考!C$6+附件合成!T99*(属性价值参考!C$7+属性价值参考!C$8)+附件合成!U99*(属性价值参考!C$9+属性价值参考!C$10)</f>
        <v>146649.60000000001</v>
      </c>
      <c r="W99" s="158">
        <f>AC99*属性价值参考!C$26+附件合成!AF99*属性价值参考!C$24+附件合成!AG99*属性价值参考!C$26+附件合成!AI99*(属性价值参考!C$28+属性价值参考!C$29)+附件合成!AL99*属性价值参考!C$26+附件合成!AM99*属性价值参考!C$27+AN99*(属性价值参考!C$37+属性价值参考!C$38)</f>
        <v>71400</v>
      </c>
      <c r="X99" s="158">
        <f t="shared" si="21"/>
        <v>13628.1</v>
      </c>
      <c r="Y99" s="158">
        <f t="shared" si="22"/>
        <v>13628100</v>
      </c>
      <c r="Z99" s="158">
        <f>ROUND(1/4*SUM(材料产出!$AB$29:$AB$30),0)</f>
        <v>5839</v>
      </c>
      <c r="AA99" s="158">
        <f t="shared" si="30"/>
        <v>5839000</v>
      </c>
      <c r="AB99" s="8">
        <f t="shared" si="23"/>
        <v>240</v>
      </c>
      <c r="AC99" s="97">
        <v>50</v>
      </c>
      <c r="AD99" s="8">
        <f t="shared" si="24"/>
        <v>240</v>
      </c>
      <c r="AE99" s="8">
        <f t="shared" si="25"/>
        <v>240</v>
      </c>
      <c r="AF99" s="97">
        <v>10</v>
      </c>
      <c r="AG99" s="97">
        <v>10</v>
      </c>
      <c r="AH99" s="8">
        <f t="shared" si="26"/>
        <v>240</v>
      </c>
      <c r="AI99" s="97">
        <v>20</v>
      </c>
      <c r="AJ99" s="8">
        <f t="shared" si="27"/>
        <v>9600</v>
      </c>
      <c r="AK99" s="8">
        <f t="shared" si="28"/>
        <v>38400</v>
      </c>
      <c r="AL99" s="97">
        <v>10</v>
      </c>
      <c r="AM99" s="97">
        <v>10</v>
      </c>
      <c r="AN99" s="97">
        <v>2000</v>
      </c>
    </row>
    <row r="100" spans="1:40" ht="16.5" x14ac:dyDescent="0.3">
      <c r="A100" s="22" t="s">
        <v>2399</v>
      </c>
      <c r="B100" s="23" t="s">
        <v>2508</v>
      </c>
      <c r="C100" s="22">
        <v>96</v>
      </c>
      <c r="D100" s="98">
        <v>45</v>
      </c>
      <c r="E100" s="101">
        <v>159</v>
      </c>
      <c r="F100" s="98">
        <v>45</v>
      </c>
      <c r="G100" s="101">
        <v>159</v>
      </c>
      <c r="H100" s="98">
        <v>45</v>
      </c>
      <c r="I100" s="101">
        <v>159</v>
      </c>
      <c r="J100" s="101"/>
      <c r="K100" s="101"/>
      <c r="L100" s="101"/>
      <c r="M100" s="101"/>
      <c r="N100" s="69" t="s">
        <v>2503</v>
      </c>
      <c r="O100" s="100" t="str">
        <f t="shared" si="29"/>
        <v>龙晶碎片5839/元宝5839000</v>
      </c>
      <c r="P100" s="97">
        <v>97</v>
      </c>
      <c r="Q100" s="158"/>
      <c r="R100" s="158">
        <f t="shared" si="17"/>
        <v>9700</v>
      </c>
      <c r="S100" s="158">
        <f t="shared" si="18"/>
        <v>38800</v>
      </c>
      <c r="T100" s="158">
        <f t="shared" si="19"/>
        <v>485</v>
      </c>
      <c r="U100" s="158">
        <f t="shared" si="20"/>
        <v>485</v>
      </c>
      <c r="V100" s="158">
        <f>R100*属性价值参考!C$5+附件合成!S100*属性价值参考!C$6+附件合成!T100*(属性价值参考!C$7+属性价值参考!C$8)+附件合成!U100*(属性价值参考!C$9+属性价值参考!C$10)</f>
        <v>148177.20000000001</v>
      </c>
      <c r="W100" s="158">
        <f>AC100*属性价值参考!C$26+附件合成!AF100*属性价值参考!C$24+附件合成!AG100*属性价值参考!C$26+附件合成!AI100*(属性价值参考!C$28+属性价值参考!C$29)+附件合成!AL100*属性价值参考!C$26+附件合成!AM100*属性价值参考!C$27+AN100*(属性价值参考!C$37+属性价值参考!C$38)</f>
        <v>71400</v>
      </c>
      <c r="X100" s="158">
        <f t="shared" si="21"/>
        <v>13723.575000000001</v>
      </c>
      <c r="Y100" s="158">
        <f t="shared" si="22"/>
        <v>13723575</v>
      </c>
      <c r="Z100" s="158">
        <f>ROUND(1/4*SUM(材料产出!$AB$29:$AB$30),0)</f>
        <v>5839</v>
      </c>
      <c r="AA100" s="158">
        <f t="shared" si="30"/>
        <v>5839000</v>
      </c>
      <c r="AB100" s="8">
        <f t="shared" si="23"/>
        <v>242</v>
      </c>
      <c r="AC100" s="97">
        <v>50</v>
      </c>
      <c r="AD100" s="8">
        <f t="shared" si="24"/>
        <v>242</v>
      </c>
      <c r="AE100" s="8">
        <f t="shared" si="25"/>
        <v>242</v>
      </c>
      <c r="AF100" s="97">
        <v>10</v>
      </c>
      <c r="AG100" s="97">
        <v>10</v>
      </c>
      <c r="AH100" s="8">
        <f t="shared" si="26"/>
        <v>242</v>
      </c>
      <c r="AI100" s="97">
        <v>20</v>
      </c>
      <c r="AJ100" s="8">
        <f t="shared" si="27"/>
        <v>9700</v>
      </c>
      <c r="AK100" s="8">
        <f t="shared" si="28"/>
        <v>38800</v>
      </c>
      <c r="AL100" s="97">
        <v>10</v>
      </c>
      <c r="AM100" s="97">
        <v>10</v>
      </c>
      <c r="AN100" s="97">
        <v>2000</v>
      </c>
    </row>
    <row r="101" spans="1:40" ht="16.5" x14ac:dyDescent="0.3">
      <c r="A101" s="22" t="s">
        <v>2399</v>
      </c>
      <c r="B101" s="23" t="s">
        <v>2509</v>
      </c>
      <c r="C101" s="22">
        <v>97</v>
      </c>
      <c r="D101" s="98">
        <v>46</v>
      </c>
      <c r="E101" s="101">
        <v>162</v>
      </c>
      <c r="F101" s="98">
        <v>46</v>
      </c>
      <c r="G101" s="101">
        <v>162</v>
      </c>
      <c r="H101" s="98">
        <v>46</v>
      </c>
      <c r="I101" s="101">
        <v>162</v>
      </c>
      <c r="J101" s="101"/>
      <c r="K101" s="101"/>
      <c r="L101" s="101"/>
      <c r="M101" s="101"/>
      <c r="N101" s="69" t="s">
        <v>2503</v>
      </c>
      <c r="O101" s="100" t="str">
        <f t="shared" si="29"/>
        <v>龙晶碎片5839/元宝5839000</v>
      </c>
      <c r="P101" s="97">
        <v>98</v>
      </c>
      <c r="Q101" s="158"/>
      <c r="R101" s="158">
        <f t="shared" si="17"/>
        <v>9800</v>
      </c>
      <c r="S101" s="158">
        <f t="shared" si="18"/>
        <v>39200</v>
      </c>
      <c r="T101" s="158">
        <f t="shared" si="19"/>
        <v>490</v>
      </c>
      <c r="U101" s="158">
        <f t="shared" si="20"/>
        <v>490</v>
      </c>
      <c r="V101" s="158">
        <f>R101*属性价值参考!C$5+附件合成!S101*属性价值参考!C$6+附件合成!T101*(属性价值参考!C$7+属性价值参考!C$8)+附件合成!U101*(属性价值参考!C$9+属性价值参考!C$10)</f>
        <v>149704.79999999999</v>
      </c>
      <c r="W101" s="158">
        <f>AC101*属性价值参考!C$26+附件合成!AF101*属性价值参考!C$24+附件合成!AG101*属性价值参考!C$26+附件合成!AI101*(属性价值参考!C$28+属性价值参考!C$29)+附件合成!AL101*属性价值参考!C$26+附件合成!AM101*属性价值参考!C$27+AN101*(属性价值参考!C$37+属性价值参考!C$38)</f>
        <v>71400</v>
      </c>
      <c r="X101" s="158">
        <f t="shared" si="21"/>
        <v>13819.05</v>
      </c>
      <c r="Y101" s="158">
        <f t="shared" si="22"/>
        <v>13819050</v>
      </c>
      <c r="Z101" s="158">
        <f>ROUND(1/4*SUM(材料产出!$AB$29:$AB$30),0)</f>
        <v>5839</v>
      </c>
      <c r="AA101" s="158">
        <f t="shared" si="30"/>
        <v>5839000</v>
      </c>
      <c r="AB101" s="8">
        <f t="shared" si="23"/>
        <v>245</v>
      </c>
      <c r="AC101" s="97">
        <v>50</v>
      </c>
      <c r="AD101" s="8">
        <f t="shared" si="24"/>
        <v>245</v>
      </c>
      <c r="AE101" s="8">
        <f t="shared" si="25"/>
        <v>245</v>
      </c>
      <c r="AF101" s="97">
        <v>10</v>
      </c>
      <c r="AG101" s="97">
        <v>10</v>
      </c>
      <c r="AH101" s="8">
        <f t="shared" si="26"/>
        <v>245</v>
      </c>
      <c r="AI101" s="97">
        <v>20</v>
      </c>
      <c r="AJ101" s="8">
        <f t="shared" si="27"/>
        <v>9800</v>
      </c>
      <c r="AK101" s="8">
        <f t="shared" si="28"/>
        <v>39200</v>
      </c>
      <c r="AL101" s="97">
        <v>10</v>
      </c>
      <c r="AM101" s="97">
        <v>10</v>
      </c>
      <c r="AN101" s="97">
        <v>2000</v>
      </c>
    </row>
    <row r="102" spans="1:40" ht="16.5" x14ac:dyDescent="0.3">
      <c r="A102" s="22" t="s">
        <v>2399</v>
      </c>
      <c r="B102" s="23" t="s">
        <v>2510</v>
      </c>
      <c r="C102" s="22">
        <v>98</v>
      </c>
      <c r="D102" s="98">
        <v>47</v>
      </c>
      <c r="E102" s="101">
        <v>165</v>
      </c>
      <c r="F102" s="98">
        <v>47</v>
      </c>
      <c r="G102" s="101">
        <v>165</v>
      </c>
      <c r="H102" s="98">
        <v>47</v>
      </c>
      <c r="I102" s="101">
        <v>165</v>
      </c>
      <c r="J102" s="101"/>
      <c r="K102" s="101"/>
      <c r="L102" s="101"/>
      <c r="M102" s="101"/>
      <c r="N102" s="69" t="s">
        <v>2503</v>
      </c>
      <c r="O102" s="100" t="str">
        <f t="shared" si="29"/>
        <v>龙晶碎片5839/元宝5839000</v>
      </c>
      <c r="P102" s="97">
        <v>99</v>
      </c>
      <c r="Q102" s="158"/>
      <c r="R102" s="158">
        <f>INT(P102/P$103*R$103)</f>
        <v>9900</v>
      </c>
      <c r="S102" s="158">
        <f>INT(P102/P$103*S$103)</f>
        <v>39600</v>
      </c>
      <c r="T102" s="158">
        <f>INT(P102/P$103*T$103)</f>
        <v>495</v>
      </c>
      <c r="U102" s="158">
        <f>INT(P102/P$103*U$103)</f>
        <v>495</v>
      </c>
      <c r="V102" s="158">
        <f>R102*属性价值参考!C$5+附件合成!S102*属性价值参考!C$6+附件合成!T102*(属性价值参考!C$7+属性价值参考!C$8)+附件合成!U102*(属性价值参考!C$9+属性价值参考!C$10)</f>
        <v>151232.4</v>
      </c>
      <c r="W102" s="158">
        <f>AC102*属性价值参考!C$26+附件合成!AF102*属性价值参考!C$24+附件合成!AG102*属性价值参考!C$26+附件合成!AI102*(属性价值参考!C$28+属性价值参考!C$29)+附件合成!AL102*属性价值参考!C$26+附件合成!AM102*属性价值参考!C$27+AN102*(属性价值参考!C$37+属性价值参考!C$38)</f>
        <v>71400</v>
      </c>
      <c r="X102" s="158">
        <f t="shared" si="21"/>
        <v>13914.525</v>
      </c>
      <c r="Y102" s="158">
        <f t="shared" si="22"/>
        <v>13914525</v>
      </c>
      <c r="Z102" s="158">
        <f>ROUND(1/4*SUM(材料产出!$AB$29:$AB$30),0)</f>
        <v>5839</v>
      </c>
      <c r="AA102" s="158">
        <f t="shared" si="30"/>
        <v>5839000</v>
      </c>
      <c r="AB102" s="8">
        <f t="shared" si="23"/>
        <v>247</v>
      </c>
      <c r="AC102" s="97">
        <v>50</v>
      </c>
      <c r="AD102" s="8">
        <f t="shared" si="24"/>
        <v>247</v>
      </c>
      <c r="AE102" s="8">
        <f t="shared" si="25"/>
        <v>247</v>
      </c>
      <c r="AF102" s="97">
        <v>10</v>
      </c>
      <c r="AG102" s="97">
        <v>10</v>
      </c>
      <c r="AH102" s="8">
        <f t="shared" si="26"/>
        <v>247</v>
      </c>
      <c r="AI102" s="97">
        <v>20</v>
      </c>
      <c r="AJ102" s="8">
        <f t="shared" si="27"/>
        <v>9900</v>
      </c>
      <c r="AK102" s="8">
        <f t="shared" si="28"/>
        <v>39600</v>
      </c>
      <c r="AL102" s="97">
        <v>10</v>
      </c>
      <c r="AM102" s="97">
        <v>10</v>
      </c>
      <c r="AN102" s="97">
        <v>2000</v>
      </c>
    </row>
    <row r="103" spans="1:40" ht="16.5" x14ac:dyDescent="0.3">
      <c r="A103" s="22" t="s">
        <v>2399</v>
      </c>
      <c r="B103" s="23" t="s">
        <v>2511</v>
      </c>
      <c r="C103" s="22">
        <v>99</v>
      </c>
      <c r="D103" s="98">
        <v>48</v>
      </c>
      <c r="E103" s="101">
        <v>168</v>
      </c>
      <c r="F103" s="98">
        <v>48</v>
      </c>
      <c r="G103" s="101">
        <v>168</v>
      </c>
      <c r="H103" s="98">
        <v>48</v>
      </c>
      <c r="I103" s="101">
        <v>168</v>
      </c>
      <c r="J103" s="101"/>
      <c r="K103" s="101"/>
      <c r="L103" s="101"/>
      <c r="M103" s="101"/>
      <c r="N103" s="69" t="s">
        <v>2503</v>
      </c>
      <c r="O103" s="100" t="str">
        <f t="shared" si="29"/>
        <v>龙晶碎片5839/元宝5839000</v>
      </c>
      <c r="P103" s="97">
        <v>100</v>
      </c>
      <c r="Q103" s="158">
        <f>材料产出!C30</f>
        <v>7</v>
      </c>
      <c r="R103" s="158">
        <f>养成属性分配!AC31</f>
        <v>10000</v>
      </c>
      <c r="S103" s="158">
        <f>养成属性分配!AD31</f>
        <v>40000</v>
      </c>
      <c r="T103" s="158">
        <f>养成属性分配!AE31</f>
        <v>500</v>
      </c>
      <c r="U103" s="158">
        <f>养成属性分配!AF31</f>
        <v>500</v>
      </c>
      <c r="V103" s="158">
        <f>R103*属性价值参考!C$5+附件合成!S103*属性价值参考!C$6+附件合成!T103*(属性价值参考!C$7+属性价值参考!C$8)+附件合成!U103*(属性价值参考!C$9+属性价值参考!C$10)</f>
        <v>152760</v>
      </c>
      <c r="W103" s="158">
        <f>AC103*属性价值参考!C$26+附件合成!AF103*属性价值参考!C$24+附件合成!AG103*属性价值参考!C$26+附件合成!AI103*(属性价值参考!C$28+属性价值参考!C$29)+附件合成!AL103*属性价值参考!C$26+附件合成!AM103*属性价值参考!C$27+AN103*(属性价值参考!C$37+属性价值参考!C$38)</f>
        <v>71400</v>
      </c>
      <c r="X103" s="158">
        <f>(V103+W103)/16</f>
        <v>14010</v>
      </c>
      <c r="Y103" s="158">
        <f>(V103+W103)/16*1000</f>
        <v>14010000</v>
      </c>
      <c r="Z103" s="158">
        <f>ROUND(1/4*SUM(材料产出!$AB$29:$AB$30),0)</f>
        <v>5839</v>
      </c>
      <c r="AA103" s="158">
        <f t="shared" si="30"/>
        <v>5839000</v>
      </c>
      <c r="AB103" s="8">
        <f>INT(0.5*T103)</f>
        <v>250</v>
      </c>
      <c r="AC103" s="97">
        <v>50</v>
      </c>
      <c r="AD103" s="8">
        <f>INT(0.5*T103)</f>
        <v>250</v>
      </c>
      <c r="AE103" s="8">
        <f>INT(0.5*U103)</f>
        <v>250</v>
      </c>
      <c r="AF103" s="97">
        <v>10</v>
      </c>
      <c r="AG103" s="97">
        <v>10</v>
      </c>
      <c r="AH103" s="8">
        <f>INT(0.5*U103)</f>
        <v>250</v>
      </c>
      <c r="AI103" s="97">
        <v>20</v>
      </c>
      <c r="AJ103" s="8">
        <f>INT(R103)</f>
        <v>10000</v>
      </c>
      <c r="AK103" s="8">
        <f>INT(S103)</f>
        <v>40000</v>
      </c>
      <c r="AL103" s="97">
        <v>10</v>
      </c>
      <c r="AM103" s="97">
        <v>10</v>
      </c>
      <c r="AN103" s="97">
        <v>2000</v>
      </c>
    </row>
    <row r="104" spans="1:40" ht="15.75" x14ac:dyDescent="0.3">
      <c r="A104" s="22" t="s">
        <v>2399</v>
      </c>
      <c r="B104" s="23" t="s">
        <v>2512</v>
      </c>
      <c r="C104" s="22">
        <v>100</v>
      </c>
      <c r="D104" s="98">
        <v>50</v>
      </c>
      <c r="E104" s="102">
        <v>168</v>
      </c>
      <c r="F104" s="98">
        <v>50</v>
      </c>
      <c r="G104" s="102">
        <v>168</v>
      </c>
      <c r="H104" s="98">
        <v>50</v>
      </c>
      <c r="I104" s="102">
        <v>168</v>
      </c>
      <c r="J104" s="101"/>
      <c r="K104" s="101"/>
      <c r="L104" s="101"/>
      <c r="M104" s="101"/>
      <c r="N104" s="69" t="s">
        <v>2503</v>
      </c>
      <c r="O104" s="100"/>
    </row>
    <row r="105" spans="1:40" ht="15.75" x14ac:dyDescent="0.3">
      <c r="A105" s="22" t="s">
        <v>2513</v>
      </c>
      <c r="B105" s="69" t="s">
        <v>2514</v>
      </c>
      <c r="C105" s="22">
        <v>0</v>
      </c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22"/>
      <c r="O105" s="100" t="str">
        <f>"龙晶碎片"&amp;Z4&amp;"/元宝"&amp;AA4</f>
        <v>龙晶碎片6/元宝6000</v>
      </c>
    </row>
    <row r="106" spans="1:40" ht="15.75" x14ac:dyDescent="0.3">
      <c r="A106" s="22" t="s">
        <v>2513</v>
      </c>
      <c r="B106" s="69" t="s">
        <v>2515</v>
      </c>
      <c r="C106" s="22">
        <v>1</v>
      </c>
      <c r="D106" s="98">
        <v>1</v>
      </c>
      <c r="E106" s="101">
        <v>2</v>
      </c>
      <c r="F106" s="98">
        <v>1</v>
      </c>
      <c r="G106" s="101">
        <v>2</v>
      </c>
      <c r="H106" s="98">
        <v>1</v>
      </c>
      <c r="I106" s="101">
        <v>2</v>
      </c>
      <c r="J106" s="98">
        <v>1</v>
      </c>
      <c r="K106" s="101">
        <v>2</v>
      </c>
      <c r="L106" s="98">
        <v>1</v>
      </c>
      <c r="M106" s="101">
        <v>2</v>
      </c>
      <c r="N106" s="22" t="s">
        <v>2516</v>
      </c>
      <c r="O106" s="100" t="str">
        <f t="shared" ref="O106:O169" si="31">"龙晶碎片"&amp;Z5&amp;"/元宝"&amp;AA5</f>
        <v>龙晶碎片6/元宝6000</v>
      </c>
    </row>
    <row r="107" spans="1:40" ht="15.75" x14ac:dyDescent="0.3">
      <c r="A107" s="22" t="s">
        <v>2513</v>
      </c>
      <c r="B107" s="69" t="s">
        <v>2517</v>
      </c>
      <c r="C107" s="22">
        <v>2</v>
      </c>
      <c r="D107" s="98">
        <v>1</v>
      </c>
      <c r="E107" s="101">
        <v>3</v>
      </c>
      <c r="F107" s="98">
        <v>1</v>
      </c>
      <c r="G107" s="101">
        <v>3</v>
      </c>
      <c r="H107" s="98">
        <v>1</v>
      </c>
      <c r="I107" s="101">
        <v>3</v>
      </c>
      <c r="J107" s="98">
        <v>1</v>
      </c>
      <c r="K107" s="101">
        <v>3</v>
      </c>
      <c r="L107" s="98">
        <v>1</v>
      </c>
      <c r="M107" s="101">
        <v>3</v>
      </c>
      <c r="N107" s="22" t="s">
        <v>2516</v>
      </c>
      <c r="O107" s="100" t="str">
        <f t="shared" si="31"/>
        <v>龙晶碎片6/元宝6000</v>
      </c>
    </row>
    <row r="108" spans="1:40" ht="15.75" x14ac:dyDescent="0.3">
      <c r="A108" s="22" t="s">
        <v>2513</v>
      </c>
      <c r="B108" s="69" t="s">
        <v>2518</v>
      </c>
      <c r="C108" s="22">
        <v>3</v>
      </c>
      <c r="D108" s="98">
        <v>1</v>
      </c>
      <c r="E108" s="101">
        <v>4</v>
      </c>
      <c r="F108" s="98">
        <v>1</v>
      </c>
      <c r="G108" s="101">
        <v>4</v>
      </c>
      <c r="H108" s="98">
        <v>1</v>
      </c>
      <c r="I108" s="101">
        <v>4</v>
      </c>
      <c r="J108" s="98">
        <v>1</v>
      </c>
      <c r="K108" s="101">
        <v>4</v>
      </c>
      <c r="L108" s="98">
        <v>1</v>
      </c>
      <c r="M108" s="101">
        <v>4</v>
      </c>
      <c r="N108" s="22" t="s">
        <v>2516</v>
      </c>
      <c r="O108" s="100" t="str">
        <f t="shared" si="31"/>
        <v>龙晶碎片6/元宝6000</v>
      </c>
    </row>
    <row r="109" spans="1:40" ht="15.75" x14ac:dyDescent="0.3">
      <c r="A109" s="22" t="s">
        <v>2513</v>
      </c>
      <c r="B109" s="69" t="s">
        <v>2519</v>
      </c>
      <c r="C109" s="22">
        <v>4</v>
      </c>
      <c r="D109" s="98">
        <v>1</v>
      </c>
      <c r="E109" s="101">
        <v>5</v>
      </c>
      <c r="F109" s="98">
        <v>1</v>
      </c>
      <c r="G109" s="101">
        <v>5</v>
      </c>
      <c r="H109" s="98">
        <v>1</v>
      </c>
      <c r="I109" s="101">
        <v>5</v>
      </c>
      <c r="J109" s="98">
        <v>1</v>
      </c>
      <c r="K109" s="101">
        <v>5</v>
      </c>
      <c r="L109" s="98">
        <v>1</v>
      </c>
      <c r="M109" s="101">
        <v>5</v>
      </c>
      <c r="N109" s="22" t="s">
        <v>2516</v>
      </c>
      <c r="O109" s="100" t="str">
        <f t="shared" si="31"/>
        <v>龙晶碎片6/元宝6000</v>
      </c>
    </row>
    <row r="110" spans="1:40" ht="15.75" x14ac:dyDescent="0.3">
      <c r="A110" s="22" t="s">
        <v>2513</v>
      </c>
      <c r="B110" s="69" t="s">
        <v>2520</v>
      </c>
      <c r="C110" s="22">
        <v>5</v>
      </c>
      <c r="D110" s="98">
        <v>2</v>
      </c>
      <c r="E110" s="101">
        <v>6</v>
      </c>
      <c r="F110" s="98">
        <v>2</v>
      </c>
      <c r="G110" s="101">
        <v>6</v>
      </c>
      <c r="H110" s="98">
        <v>2</v>
      </c>
      <c r="I110" s="101">
        <v>6</v>
      </c>
      <c r="J110" s="98">
        <v>2</v>
      </c>
      <c r="K110" s="101">
        <v>6</v>
      </c>
      <c r="L110" s="98">
        <v>2</v>
      </c>
      <c r="M110" s="101">
        <v>6</v>
      </c>
      <c r="N110" s="22" t="s">
        <v>2516</v>
      </c>
      <c r="O110" s="100" t="str">
        <f t="shared" si="31"/>
        <v>龙晶碎片6/元宝6000</v>
      </c>
    </row>
    <row r="111" spans="1:40" ht="15.75" x14ac:dyDescent="0.3">
      <c r="A111" s="22" t="s">
        <v>2513</v>
      </c>
      <c r="B111" s="69" t="s">
        <v>2521</v>
      </c>
      <c r="C111" s="22">
        <v>6</v>
      </c>
      <c r="D111" s="98">
        <v>2</v>
      </c>
      <c r="E111" s="101">
        <v>7</v>
      </c>
      <c r="F111" s="98">
        <v>2</v>
      </c>
      <c r="G111" s="101">
        <v>7</v>
      </c>
      <c r="H111" s="98">
        <v>2</v>
      </c>
      <c r="I111" s="101">
        <v>7</v>
      </c>
      <c r="J111" s="98">
        <v>2</v>
      </c>
      <c r="K111" s="101">
        <v>7</v>
      </c>
      <c r="L111" s="98">
        <v>2</v>
      </c>
      <c r="M111" s="101">
        <v>7</v>
      </c>
      <c r="N111" s="22" t="s">
        <v>2516</v>
      </c>
      <c r="O111" s="100" t="str">
        <f t="shared" si="31"/>
        <v>龙晶碎片6/元宝6000</v>
      </c>
    </row>
    <row r="112" spans="1:40" ht="15.75" x14ac:dyDescent="0.3">
      <c r="A112" s="22" t="s">
        <v>2513</v>
      </c>
      <c r="B112" s="69" t="s">
        <v>2522</v>
      </c>
      <c r="C112" s="22">
        <v>7</v>
      </c>
      <c r="D112" s="98">
        <v>2</v>
      </c>
      <c r="E112" s="101">
        <v>8</v>
      </c>
      <c r="F112" s="98">
        <v>2</v>
      </c>
      <c r="G112" s="101">
        <v>8</v>
      </c>
      <c r="H112" s="98">
        <v>2</v>
      </c>
      <c r="I112" s="101">
        <v>8</v>
      </c>
      <c r="J112" s="98">
        <v>2</v>
      </c>
      <c r="K112" s="101">
        <v>8</v>
      </c>
      <c r="L112" s="98">
        <v>2</v>
      </c>
      <c r="M112" s="101">
        <v>8</v>
      </c>
      <c r="N112" s="22" t="s">
        <v>2516</v>
      </c>
      <c r="O112" s="100" t="str">
        <f t="shared" si="31"/>
        <v>龙晶碎片6/元宝6000</v>
      </c>
    </row>
    <row r="113" spans="1:15" ht="15.75" x14ac:dyDescent="0.3">
      <c r="A113" s="22" t="s">
        <v>2513</v>
      </c>
      <c r="B113" s="69" t="s">
        <v>2523</v>
      </c>
      <c r="C113" s="22">
        <v>8</v>
      </c>
      <c r="D113" s="98">
        <v>3</v>
      </c>
      <c r="E113" s="101">
        <v>9</v>
      </c>
      <c r="F113" s="98">
        <v>3</v>
      </c>
      <c r="G113" s="101">
        <v>9</v>
      </c>
      <c r="H113" s="98">
        <v>3</v>
      </c>
      <c r="I113" s="101">
        <v>9</v>
      </c>
      <c r="J113" s="98">
        <v>3</v>
      </c>
      <c r="K113" s="101">
        <v>9</v>
      </c>
      <c r="L113" s="98">
        <v>3</v>
      </c>
      <c r="M113" s="101">
        <v>9</v>
      </c>
      <c r="N113" s="22" t="s">
        <v>2516</v>
      </c>
      <c r="O113" s="100" t="str">
        <f t="shared" si="31"/>
        <v>龙晶碎片6/元宝6000</v>
      </c>
    </row>
    <row r="114" spans="1:15" ht="15.75" x14ac:dyDescent="0.3">
      <c r="A114" s="22" t="s">
        <v>2513</v>
      </c>
      <c r="B114" s="69" t="s">
        <v>2524</v>
      </c>
      <c r="C114" s="22">
        <v>9</v>
      </c>
      <c r="D114" s="98">
        <v>3</v>
      </c>
      <c r="E114" s="101">
        <v>10</v>
      </c>
      <c r="F114" s="98">
        <v>3</v>
      </c>
      <c r="G114" s="101">
        <v>10</v>
      </c>
      <c r="H114" s="98">
        <v>3</v>
      </c>
      <c r="I114" s="101">
        <v>10</v>
      </c>
      <c r="J114" s="98">
        <v>3</v>
      </c>
      <c r="K114" s="101">
        <v>10</v>
      </c>
      <c r="L114" s="98">
        <v>3</v>
      </c>
      <c r="M114" s="101">
        <v>10</v>
      </c>
      <c r="N114" s="22" t="s">
        <v>2516</v>
      </c>
      <c r="O114" s="100" t="str">
        <f t="shared" si="31"/>
        <v>龙晶碎片6/元宝6000</v>
      </c>
    </row>
    <row r="115" spans="1:15" ht="15.75" x14ac:dyDescent="0.3">
      <c r="A115" s="22" t="s">
        <v>2513</v>
      </c>
      <c r="B115" s="69" t="s">
        <v>2525</v>
      </c>
      <c r="C115" s="22">
        <v>10</v>
      </c>
      <c r="D115" s="98">
        <v>3</v>
      </c>
      <c r="E115" s="101">
        <v>11</v>
      </c>
      <c r="F115" s="98">
        <v>3</v>
      </c>
      <c r="G115" s="101">
        <v>11</v>
      </c>
      <c r="H115" s="98">
        <v>3</v>
      </c>
      <c r="I115" s="101">
        <v>11</v>
      </c>
      <c r="J115" s="98">
        <v>3</v>
      </c>
      <c r="K115" s="101">
        <v>11</v>
      </c>
      <c r="L115" s="98">
        <v>3</v>
      </c>
      <c r="M115" s="101">
        <v>11</v>
      </c>
      <c r="N115" s="22" t="s">
        <v>2516</v>
      </c>
      <c r="O115" s="100" t="str">
        <f t="shared" si="31"/>
        <v>龙晶碎片10/元宝10000</v>
      </c>
    </row>
    <row r="116" spans="1:15" ht="15.75" x14ac:dyDescent="0.3">
      <c r="A116" s="22" t="s">
        <v>2513</v>
      </c>
      <c r="B116" s="69" t="s">
        <v>2526</v>
      </c>
      <c r="C116" s="22">
        <v>11</v>
      </c>
      <c r="D116" s="98">
        <v>4</v>
      </c>
      <c r="E116" s="101">
        <v>12</v>
      </c>
      <c r="F116" s="98">
        <v>4</v>
      </c>
      <c r="G116" s="101">
        <v>12</v>
      </c>
      <c r="H116" s="98">
        <v>4</v>
      </c>
      <c r="I116" s="101">
        <v>12</v>
      </c>
      <c r="J116" s="98">
        <v>4</v>
      </c>
      <c r="K116" s="101">
        <v>12</v>
      </c>
      <c r="L116" s="98">
        <v>4</v>
      </c>
      <c r="M116" s="101">
        <v>12</v>
      </c>
      <c r="N116" s="22" t="s">
        <v>2527</v>
      </c>
      <c r="O116" s="100" t="str">
        <f t="shared" si="31"/>
        <v>龙晶碎片10/元宝10000</v>
      </c>
    </row>
    <row r="117" spans="1:15" ht="15.75" x14ac:dyDescent="0.3">
      <c r="A117" s="22" t="s">
        <v>2513</v>
      </c>
      <c r="B117" s="69" t="s">
        <v>2528</v>
      </c>
      <c r="C117" s="22">
        <v>12</v>
      </c>
      <c r="D117" s="98">
        <v>4</v>
      </c>
      <c r="E117" s="101">
        <v>13</v>
      </c>
      <c r="F117" s="98">
        <v>4</v>
      </c>
      <c r="G117" s="101">
        <v>13</v>
      </c>
      <c r="H117" s="98">
        <v>4</v>
      </c>
      <c r="I117" s="101">
        <v>13</v>
      </c>
      <c r="J117" s="98">
        <v>4</v>
      </c>
      <c r="K117" s="101">
        <v>13</v>
      </c>
      <c r="L117" s="98">
        <v>4</v>
      </c>
      <c r="M117" s="101">
        <v>13</v>
      </c>
      <c r="N117" s="22" t="s">
        <v>2527</v>
      </c>
      <c r="O117" s="100" t="str">
        <f t="shared" si="31"/>
        <v>龙晶碎片10/元宝10000</v>
      </c>
    </row>
    <row r="118" spans="1:15" ht="15.75" x14ac:dyDescent="0.3">
      <c r="A118" s="22" t="s">
        <v>2513</v>
      </c>
      <c r="B118" s="69" t="s">
        <v>2529</v>
      </c>
      <c r="C118" s="22">
        <v>13</v>
      </c>
      <c r="D118" s="98">
        <v>4</v>
      </c>
      <c r="E118" s="101">
        <v>14</v>
      </c>
      <c r="F118" s="98">
        <v>4</v>
      </c>
      <c r="G118" s="101">
        <v>14</v>
      </c>
      <c r="H118" s="98">
        <v>4</v>
      </c>
      <c r="I118" s="101">
        <v>14</v>
      </c>
      <c r="J118" s="98">
        <v>4</v>
      </c>
      <c r="K118" s="101">
        <v>14</v>
      </c>
      <c r="L118" s="98">
        <v>4</v>
      </c>
      <c r="M118" s="101">
        <v>14</v>
      </c>
      <c r="N118" s="22" t="s">
        <v>2527</v>
      </c>
      <c r="O118" s="100" t="str">
        <f t="shared" si="31"/>
        <v>龙晶碎片10/元宝10000</v>
      </c>
    </row>
    <row r="119" spans="1:15" ht="15.75" x14ac:dyDescent="0.3">
      <c r="A119" s="22" t="s">
        <v>2513</v>
      </c>
      <c r="B119" s="69" t="s">
        <v>2530</v>
      </c>
      <c r="C119" s="22">
        <v>14</v>
      </c>
      <c r="D119" s="98">
        <v>4</v>
      </c>
      <c r="E119" s="101">
        <v>15</v>
      </c>
      <c r="F119" s="98">
        <v>4</v>
      </c>
      <c r="G119" s="101">
        <v>15</v>
      </c>
      <c r="H119" s="98">
        <v>4</v>
      </c>
      <c r="I119" s="101">
        <v>15</v>
      </c>
      <c r="J119" s="98">
        <v>4</v>
      </c>
      <c r="K119" s="101">
        <v>15</v>
      </c>
      <c r="L119" s="98">
        <v>4</v>
      </c>
      <c r="M119" s="101">
        <v>15</v>
      </c>
      <c r="N119" s="22" t="s">
        <v>2527</v>
      </c>
      <c r="O119" s="100" t="str">
        <f t="shared" si="31"/>
        <v>龙晶碎片10/元宝10000</v>
      </c>
    </row>
    <row r="120" spans="1:15" ht="15.75" x14ac:dyDescent="0.3">
      <c r="A120" s="22" t="s">
        <v>2513</v>
      </c>
      <c r="B120" s="69" t="s">
        <v>2531</v>
      </c>
      <c r="C120" s="22">
        <v>15</v>
      </c>
      <c r="D120" s="98">
        <v>5</v>
      </c>
      <c r="E120" s="101">
        <v>16</v>
      </c>
      <c r="F120" s="98">
        <v>5</v>
      </c>
      <c r="G120" s="101">
        <v>16</v>
      </c>
      <c r="H120" s="98">
        <v>5</v>
      </c>
      <c r="I120" s="101">
        <v>16</v>
      </c>
      <c r="J120" s="98">
        <v>5</v>
      </c>
      <c r="K120" s="101">
        <v>16</v>
      </c>
      <c r="L120" s="98">
        <v>5</v>
      </c>
      <c r="M120" s="101">
        <v>16</v>
      </c>
      <c r="N120" s="22" t="s">
        <v>2527</v>
      </c>
      <c r="O120" s="100" t="str">
        <f t="shared" si="31"/>
        <v>龙晶碎片10/元宝10000</v>
      </c>
    </row>
    <row r="121" spans="1:15" ht="15.75" x14ac:dyDescent="0.3">
      <c r="A121" s="22" t="s">
        <v>2513</v>
      </c>
      <c r="B121" s="69" t="s">
        <v>2532</v>
      </c>
      <c r="C121" s="22">
        <v>16</v>
      </c>
      <c r="D121" s="98">
        <v>5</v>
      </c>
      <c r="E121" s="101">
        <v>17</v>
      </c>
      <c r="F121" s="98">
        <v>5</v>
      </c>
      <c r="G121" s="101">
        <v>17</v>
      </c>
      <c r="H121" s="98">
        <v>5</v>
      </c>
      <c r="I121" s="101">
        <v>17</v>
      </c>
      <c r="J121" s="98">
        <v>5</v>
      </c>
      <c r="K121" s="101">
        <v>17</v>
      </c>
      <c r="L121" s="98">
        <v>5</v>
      </c>
      <c r="M121" s="101">
        <v>17</v>
      </c>
      <c r="N121" s="22" t="s">
        <v>2527</v>
      </c>
      <c r="O121" s="100" t="str">
        <f t="shared" si="31"/>
        <v>龙晶碎片10/元宝10000</v>
      </c>
    </row>
    <row r="122" spans="1:15" ht="15.75" x14ac:dyDescent="0.3">
      <c r="A122" s="22" t="s">
        <v>2513</v>
      </c>
      <c r="B122" s="69" t="s">
        <v>2533</v>
      </c>
      <c r="C122" s="22">
        <v>17</v>
      </c>
      <c r="D122" s="98">
        <v>5</v>
      </c>
      <c r="E122" s="101">
        <v>18</v>
      </c>
      <c r="F122" s="98">
        <v>5</v>
      </c>
      <c r="G122" s="101">
        <v>18</v>
      </c>
      <c r="H122" s="98">
        <v>5</v>
      </c>
      <c r="I122" s="101">
        <v>18</v>
      </c>
      <c r="J122" s="98">
        <v>5</v>
      </c>
      <c r="K122" s="101">
        <v>18</v>
      </c>
      <c r="L122" s="98">
        <v>5</v>
      </c>
      <c r="M122" s="101">
        <v>18</v>
      </c>
      <c r="N122" s="22" t="s">
        <v>2527</v>
      </c>
      <c r="O122" s="100" t="str">
        <f t="shared" si="31"/>
        <v>龙晶碎片10/元宝10000</v>
      </c>
    </row>
    <row r="123" spans="1:15" ht="15.75" x14ac:dyDescent="0.3">
      <c r="A123" s="22" t="s">
        <v>2513</v>
      </c>
      <c r="B123" s="69" t="s">
        <v>2534</v>
      </c>
      <c r="C123" s="22">
        <v>18</v>
      </c>
      <c r="D123" s="98">
        <v>6</v>
      </c>
      <c r="E123" s="101">
        <v>19</v>
      </c>
      <c r="F123" s="98">
        <v>6</v>
      </c>
      <c r="G123" s="101">
        <v>19</v>
      </c>
      <c r="H123" s="98">
        <v>6</v>
      </c>
      <c r="I123" s="101">
        <v>19</v>
      </c>
      <c r="J123" s="98">
        <v>6</v>
      </c>
      <c r="K123" s="101">
        <v>19</v>
      </c>
      <c r="L123" s="98">
        <v>6</v>
      </c>
      <c r="M123" s="101">
        <v>19</v>
      </c>
      <c r="N123" s="22" t="s">
        <v>2527</v>
      </c>
      <c r="O123" s="100" t="str">
        <f t="shared" si="31"/>
        <v>龙晶碎片10/元宝10000</v>
      </c>
    </row>
    <row r="124" spans="1:15" ht="15.75" x14ac:dyDescent="0.3">
      <c r="A124" s="22" t="s">
        <v>2513</v>
      </c>
      <c r="B124" s="69" t="s">
        <v>2535</v>
      </c>
      <c r="C124" s="22">
        <v>19</v>
      </c>
      <c r="D124" s="98">
        <v>6</v>
      </c>
      <c r="E124" s="101">
        <v>20</v>
      </c>
      <c r="F124" s="98">
        <v>6</v>
      </c>
      <c r="G124" s="101">
        <v>20</v>
      </c>
      <c r="H124" s="98">
        <v>6</v>
      </c>
      <c r="I124" s="101">
        <v>20</v>
      </c>
      <c r="J124" s="98">
        <v>6</v>
      </c>
      <c r="K124" s="101">
        <v>20</v>
      </c>
      <c r="L124" s="98">
        <v>6</v>
      </c>
      <c r="M124" s="101">
        <v>20</v>
      </c>
      <c r="N124" s="22" t="s">
        <v>2527</v>
      </c>
      <c r="O124" s="100" t="str">
        <f t="shared" si="31"/>
        <v>龙晶碎片10/元宝10000</v>
      </c>
    </row>
    <row r="125" spans="1:15" ht="15.75" x14ac:dyDescent="0.3">
      <c r="A125" s="22" t="s">
        <v>2513</v>
      </c>
      <c r="B125" s="69" t="s">
        <v>2536</v>
      </c>
      <c r="C125" s="22">
        <v>20</v>
      </c>
      <c r="D125" s="98">
        <v>6</v>
      </c>
      <c r="E125" s="101">
        <v>21</v>
      </c>
      <c r="F125" s="98">
        <v>6</v>
      </c>
      <c r="G125" s="101">
        <v>21</v>
      </c>
      <c r="H125" s="98">
        <v>6</v>
      </c>
      <c r="I125" s="101">
        <v>21</v>
      </c>
      <c r="J125" s="98">
        <v>6</v>
      </c>
      <c r="K125" s="101">
        <v>21</v>
      </c>
      <c r="L125" s="98">
        <v>6</v>
      </c>
      <c r="M125" s="101">
        <v>21</v>
      </c>
      <c r="N125" s="22" t="s">
        <v>2527</v>
      </c>
      <c r="O125" s="100" t="str">
        <f t="shared" si="31"/>
        <v>龙晶碎片26/元宝26000</v>
      </c>
    </row>
    <row r="126" spans="1:15" ht="15.75" x14ac:dyDescent="0.3">
      <c r="A126" s="22" t="s">
        <v>2513</v>
      </c>
      <c r="B126" s="69" t="s">
        <v>2537</v>
      </c>
      <c r="C126" s="22">
        <v>21</v>
      </c>
      <c r="D126" s="98">
        <v>7</v>
      </c>
      <c r="E126" s="101">
        <v>21</v>
      </c>
      <c r="F126" s="98">
        <v>7</v>
      </c>
      <c r="G126" s="101">
        <v>21</v>
      </c>
      <c r="H126" s="98">
        <v>7</v>
      </c>
      <c r="I126" s="101">
        <v>21</v>
      </c>
      <c r="J126" s="98">
        <v>7</v>
      </c>
      <c r="K126" s="101">
        <v>21</v>
      </c>
      <c r="L126" s="98">
        <v>7</v>
      </c>
      <c r="M126" s="101">
        <v>21</v>
      </c>
      <c r="N126" s="22" t="s">
        <v>2538</v>
      </c>
      <c r="O126" s="100" t="str">
        <f t="shared" si="31"/>
        <v>龙晶碎片26/元宝26000</v>
      </c>
    </row>
    <row r="127" spans="1:15" ht="15.75" x14ac:dyDescent="0.3">
      <c r="A127" s="22" t="s">
        <v>2513</v>
      </c>
      <c r="B127" s="69" t="s">
        <v>2539</v>
      </c>
      <c r="C127" s="22">
        <v>22</v>
      </c>
      <c r="D127" s="98">
        <v>7</v>
      </c>
      <c r="E127" s="101">
        <v>23</v>
      </c>
      <c r="F127" s="98">
        <v>7</v>
      </c>
      <c r="G127" s="101">
        <v>23</v>
      </c>
      <c r="H127" s="98">
        <v>7</v>
      </c>
      <c r="I127" s="101">
        <v>23</v>
      </c>
      <c r="J127" s="98">
        <v>7</v>
      </c>
      <c r="K127" s="101">
        <v>23</v>
      </c>
      <c r="L127" s="98">
        <v>7</v>
      </c>
      <c r="M127" s="101">
        <v>23</v>
      </c>
      <c r="N127" s="22" t="s">
        <v>2538</v>
      </c>
      <c r="O127" s="100" t="str">
        <f t="shared" si="31"/>
        <v>龙晶碎片26/元宝26000</v>
      </c>
    </row>
    <row r="128" spans="1:15" ht="15.75" x14ac:dyDescent="0.3">
      <c r="A128" s="22" t="s">
        <v>2513</v>
      </c>
      <c r="B128" s="69" t="s">
        <v>2540</v>
      </c>
      <c r="C128" s="22">
        <v>23</v>
      </c>
      <c r="D128" s="98">
        <v>7</v>
      </c>
      <c r="E128" s="101">
        <v>24</v>
      </c>
      <c r="F128" s="98">
        <v>7</v>
      </c>
      <c r="G128" s="101">
        <v>24</v>
      </c>
      <c r="H128" s="98">
        <v>7</v>
      </c>
      <c r="I128" s="101">
        <v>24</v>
      </c>
      <c r="J128" s="98">
        <v>7</v>
      </c>
      <c r="K128" s="101">
        <v>24</v>
      </c>
      <c r="L128" s="98">
        <v>7</v>
      </c>
      <c r="M128" s="101">
        <v>24</v>
      </c>
      <c r="N128" s="22" t="s">
        <v>2538</v>
      </c>
      <c r="O128" s="100" t="str">
        <f t="shared" si="31"/>
        <v>龙晶碎片26/元宝26000</v>
      </c>
    </row>
    <row r="129" spans="1:15" ht="15.75" x14ac:dyDescent="0.3">
      <c r="A129" s="22" t="s">
        <v>2513</v>
      </c>
      <c r="B129" s="69" t="s">
        <v>2541</v>
      </c>
      <c r="C129" s="22">
        <v>24</v>
      </c>
      <c r="D129" s="98">
        <v>7</v>
      </c>
      <c r="E129" s="101">
        <v>25</v>
      </c>
      <c r="F129" s="98">
        <v>7</v>
      </c>
      <c r="G129" s="101">
        <v>25</v>
      </c>
      <c r="H129" s="98">
        <v>7</v>
      </c>
      <c r="I129" s="101">
        <v>25</v>
      </c>
      <c r="J129" s="98">
        <v>7</v>
      </c>
      <c r="K129" s="101">
        <v>25</v>
      </c>
      <c r="L129" s="98">
        <v>7</v>
      </c>
      <c r="M129" s="101">
        <v>25</v>
      </c>
      <c r="N129" s="22" t="s">
        <v>2538</v>
      </c>
      <c r="O129" s="100" t="str">
        <f t="shared" si="31"/>
        <v>龙晶碎片26/元宝26000</v>
      </c>
    </row>
    <row r="130" spans="1:15" ht="15.75" x14ac:dyDescent="0.3">
      <c r="A130" s="22" t="s">
        <v>2513</v>
      </c>
      <c r="B130" s="69" t="s">
        <v>2542</v>
      </c>
      <c r="C130" s="22">
        <v>25</v>
      </c>
      <c r="D130" s="98">
        <v>8</v>
      </c>
      <c r="E130" s="101">
        <v>26</v>
      </c>
      <c r="F130" s="98">
        <v>8</v>
      </c>
      <c r="G130" s="101">
        <v>26</v>
      </c>
      <c r="H130" s="98">
        <v>8</v>
      </c>
      <c r="I130" s="101">
        <v>26</v>
      </c>
      <c r="J130" s="98">
        <v>8</v>
      </c>
      <c r="K130" s="101">
        <v>26</v>
      </c>
      <c r="L130" s="98">
        <v>8</v>
      </c>
      <c r="M130" s="101">
        <v>26</v>
      </c>
      <c r="N130" s="22" t="s">
        <v>2538</v>
      </c>
      <c r="O130" s="100" t="str">
        <f t="shared" si="31"/>
        <v>龙晶碎片26/元宝26000</v>
      </c>
    </row>
    <row r="131" spans="1:15" ht="15.75" x14ac:dyDescent="0.3">
      <c r="A131" s="22" t="s">
        <v>2513</v>
      </c>
      <c r="B131" s="69" t="s">
        <v>2543</v>
      </c>
      <c r="C131" s="22">
        <v>26</v>
      </c>
      <c r="D131" s="98">
        <v>8</v>
      </c>
      <c r="E131" s="101">
        <v>27</v>
      </c>
      <c r="F131" s="98">
        <v>8</v>
      </c>
      <c r="G131" s="101">
        <v>27</v>
      </c>
      <c r="H131" s="98">
        <v>8</v>
      </c>
      <c r="I131" s="101">
        <v>27</v>
      </c>
      <c r="J131" s="98">
        <v>8</v>
      </c>
      <c r="K131" s="101">
        <v>27</v>
      </c>
      <c r="L131" s="98">
        <v>8</v>
      </c>
      <c r="M131" s="101">
        <v>27</v>
      </c>
      <c r="N131" s="22" t="s">
        <v>2538</v>
      </c>
      <c r="O131" s="100" t="str">
        <f t="shared" si="31"/>
        <v>龙晶碎片26/元宝26000</v>
      </c>
    </row>
    <row r="132" spans="1:15" ht="15.75" x14ac:dyDescent="0.3">
      <c r="A132" s="22" t="s">
        <v>2513</v>
      </c>
      <c r="B132" s="69" t="s">
        <v>2544</v>
      </c>
      <c r="C132" s="22">
        <v>27</v>
      </c>
      <c r="D132" s="98">
        <v>8</v>
      </c>
      <c r="E132" s="101">
        <v>28</v>
      </c>
      <c r="F132" s="98">
        <v>8</v>
      </c>
      <c r="G132" s="101">
        <v>28</v>
      </c>
      <c r="H132" s="98">
        <v>8</v>
      </c>
      <c r="I132" s="101">
        <v>28</v>
      </c>
      <c r="J132" s="98">
        <v>8</v>
      </c>
      <c r="K132" s="101">
        <v>28</v>
      </c>
      <c r="L132" s="98">
        <v>8</v>
      </c>
      <c r="M132" s="101">
        <v>28</v>
      </c>
      <c r="N132" s="22" t="s">
        <v>2538</v>
      </c>
      <c r="O132" s="100" t="str">
        <f t="shared" si="31"/>
        <v>龙晶碎片26/元宝26000</v>
      </c>
    </row>
    <row r="133" spans="1:15" ht="15.75" x14ac:dyDescent="0.3">
      <c r="A133" s="22" t="s">
        <v>2513</v>
      </c>
      <c r="B133" s="69" t="s">
        <v>2545</v>
      </c>
      <c r="C133" s="22">
        <v>28</v>
      </c>
      <c r="D133" s="98">
        <v>9</v>
      </c>
      <c r="E133" s="101">
        <v>29</v>
      </c>
      <c r="F133" s="98">
        <v>9</v>
      </c>
      <c r="G133" s="101">
        <v>29</v>
      </c>
      <c r="H133" s="98">
        <v>9</v>
      </c>
      <c r="I133" s="101">
        <v>29</v>
      </c>
      <c r="J133" s="98">
        <v>9</v>
      </c>
      <c r="K133" s="101">
        <v>29</v>
      </c>
      <c r="L133" s="98">
        <v>9</v>
      </c>
      <c r="M133" s="101">
        <v>29</v>
      </c>
      <c r="N133" s="22" t="s">
        <v>2538</v>
      </c>
      <c r="O133" s="100" t="str">
        <f t="shared" si="31"/>
        <v>龙晶碎片26/元宝26000</v>
      </c>
    </row>
    <row r="134" spans="1:15" ht="15.75" x14ac:dyDescent="0.3">
      <c r="A134" s="22" t="s">
        <v>2513</v>
      </c>
      <c r="B134" s="69" t="s">
        <v>2546</v>
      </c>
      <c r="C134" s="22">
        <v>29</v>
      </c>
      <c r="D134" s="98">
        <v>9</v>
      </c>
      <c r="E134" s="101">
        <v>30</v>
      </c>
      <c r="F134" s="98">
        <v>9</v>
      </c>
      <c r="G134" s="101">
        <v>30</v>
      </c>
      <c r="H134" s="98">
        <v>9</v>
      </c>
      <c r="I134" s="101">
        <v>30</v>
      </c>
      <c r="J134" s="98">
        <v>9</v>
      </c>
      <c r="K134" s="101">
        <v>30</v>
      </c>
      <c r="L134" s="98">
        <v>9</v>
      </c>
      <c r="M134" s="101">
        <v>30</v>
      </c>
      <c r="N134" s="22" t="s">
        <v>2538</v>
      </c>
      <c r="O134" s="100" t="str">
        <f t="shared" si="31"/>
        <v>龙晶碎片26/元宝26000</v>
      </c>
    </row>
    <row r="135" spans="1:15" ht="15.75" x14ac:dyDescent="0.3">
      <c r="A135" s="22" t="s">
        <v>2513</v>
      </c>
      <c r="B135" s="69" t="s">
        <v>2547</v>
      </c>
      <c r="C135" s="22">
        <v>30</v>
      </c>
      <c r="D135" s="98">
        <v>9</v>
      </c>
      <c r="E135" s="101">
        <v>31</v>
      </c>
      <c r="F135" s="98">
        <v>9</v>
      </c>
      <c r="G135" s="101">
        <v>31</v>
      </c>
      <c r="H135" s="98">
        <v>9</v>
      </c>
      <c r="I135" s="101">
        <v>31</v>
      </c>
      <c r="J135" s="98">
        <v>9</v>
      </c>
      <c r="K135" s="101">
        <v>31</v>
      </c>
      <c r="L135" s="98">
        <v>9</v>
      </c>
      <c r="M135" s="101">
        <v>31</v>
      </c>
      <c r="N135" s="22" t="s">
        <v>2538</v>
      </c>
      <c r="O135" s="100" t="str">
        <f t="shared" si="31"/>
        <v>龙晶碎片129/元宝129000</v>
      </c>
    </row>
    <row r="136" spans="1:15" ht="15.75" x14ac:dyDescent="0.3">
      <c r="A136" s="22" t="s">
        <v>2513</v>
      </c>
      <c r="B136" s="69" t="s">
        <v>2548</v>
      </c>
      <c r="C136" s="22">
        <v>31</v>
      </c>
      <c r="D136" s="98">
        <v>10</v>
      </c>
      <c r="E136" s="101">
        <v>31</v>
      </c>
      <c r="F136" s="98">
        <v>10</v>
      </c>
      <c r="G136" s="101">
        <v>31</v>
      </c>
      <c r="H136" s="98">
        <v>10</v>
      </c>
      <c r="I136" s="101">
        <v>31</v>
      </c>
      <c r="J136" s="98">
        <v>10</v>
      </c>
      <c r="K136" s="101">
        <v>31</v>
      </c>
      <c r="L136" s="98">
        <v>10</v>
      </c>
      <c r="M136" s="101">
        <v>31</v>
      </c>
      <c r="N136" s="22" t="s">
        <v>2549</v>
      </c>
      <c r="O136" s="100" t="str">
        <f t="shared" si="31"/>
        <v>龙晶碎片129/元宝129000</v>
      </c>
    </row>
    <row r="137" spans="1:15" ht="15.75" x14ac:dyDescent="0.3">
      <c r="A137" s="22" t="s">
        <v>2513</v>
      </c>
      <c r="B137" s="69" t="s">
        <v>2550</v>
      </c>
      <c r="C137" s="22">
        <v>32</v>
      </c>
      <c r="D137" s="98">
        <v>10</v>
      </c>
      <c r="E137" s="101">
        <v>33</v>
      </c>
      <c r="F137" s="98">
        <v>10</v>
      </c>
      <c r="G137" s="101">
        <v>33</v>
      </c>
      <c r="H137" s="98">
        <v>10</v>
      </c>
      <c r="I137" s="101">
        <v>33</v>
      </c>
      <c r="J137" s="98">
        <v>10</v>
      </c>
      <c r="K137" s="101">
        <v>33</v>
      </c>
      <c r="L137" s="98">
        <v>10</v>
      </c>
      <c r="M137" s="101">
        <v>33</v>
      </c>
      <c r="N137" s="22" t="s">
        <v>2549</v>
      </c>
      <c r="O137" s="100" t="str">
        <f t="shared" si="31"/>
        <v>龙晶碎片129/元宝129000</v>
      </c>
    </row>
    <row r="138" spans="1:15" ht="15.75" x14ac:dyDescent="0.3">
      <c r="A138" s="22" t="s">
        <v>2513</v>
      </c>
      <c r="B138" s="69" t="s">
        <v>2551</v>
      </c>
      <c r="C138" s="22">
        <v>33</v>
      </c>
      <c r="D138" s="98">
        <v>10</v>
      </c>
      <c r="E138" s="101">
        <v>34</v>
      </c>
      <c r="F138" s="98">
        <v>10</v>
      </c>
      <c r="G138" s="101">
        <v>34</v>
      </c>
      <c r="H138" s="98">
        <v>10</v>
      </c>
      <c r="I138" s="101">
        <v>34</v>
      </c>
      <c r="J138" s="98">
        <v>10</v>
      </c>
      <c r="K138" s="101">
        <v>34</v>
      </c>
      <c r="L138" s="98">
        <v>10</v>
      </c>
      <c r="M138" s="101">
        <v>34</v>
      </c>
      <c r="N138" s="22" t="s">
        <v>2549</v>
      </c>
      <c r="O138" s="100" t="str">
        <f t="shared" si="31"/>
        <v>龙晶碎片129/元宝129000</v>
      </c>
    </row>
    <row r="139" spans="1:15" ht="15.75" x14ac:dyDescent="0.3">
      <c r="A139" s="22" t="s">
        <v>2513</v>
      </c>
      <c r="B139" s="69" t="s">
        <v>2552</v>
      </c>
      <c r="C139" s="22">
        <v>34</v>
      </c>
      <c r="D139" s="98">
        <v>10</v>
      </c>
      <c r="E139" s="101">
        <v>35</v>
      </c>
      <c r="F139" s="98">
        <v>10</v>
      </c>
      <c r="G139" s="101">
        <v>35</v>
      </c>
      <c r="H139" s="98">
        <v>10</v>
      </c>
      <c r="I139" s="101">
        <v>35</v>
      </c>
      <c r="J139" s="98">
        <v>10</v>
      </c>
      <c r="K139" s="101">
        <v>35</v>
      </c>
      <c r="L139" s="98">
        <v>10</v>
      </c>
      <c r="M139" s="101">
        <v>35</v>
      </c>
      <c r="N139" s="22" t="s">
        <v>2549</v>
      </c>
      <c r="O139" s="100" t="str">
        <f t="shared" si="31"/>
        <v>龙晶碎片129/元宝129000</v>
      </c>
    </row>
    <row r="140" spans="1:15" ht="15.75" x14ac:dyDescent="0.3">
      <c r="A140" s="22" t="s">
        <v>2513</v>
      </c>
      <c r="B140" s="69" t="s">
        <v>2553</v>
      </c>
      <c r="C140" s="22">
        <v>35</v>
      </c>
      <c r="D140" s="98">
        <v>11</v>
      </c>
      <c r="E140" s="101">
        <v>36</v>
      </c>
      <c r="F140" s="98">
        <v>11</v>
      </c>
      <c r="G140" s="101">
        <v>36</v>
      </c>
      <c r="H140" s="98">
        <v>11</v>
      </c>
      <c r="I140" s="101">
        <v>36</v>
      </c>
      <c r="J140" s="98">
        <v>11</v>
      </c>
      <c r="K140" s="101">
        <v>36</v>
      </c>
      <c r="L140" s="98">
        <v>11</v>
      </c>
      <c r="M140" s="101">
        <v>36</v>
      </c>
      <c r="N140" s="22" t="s">
        <v>2549</v>
      </c>
      <c r="O140" s="100" t="str">
        <f t="shared" si="31"/>
        <v>龙晶碎片129/元宝129000</v>
      </c>
    </row>
    <row r="141" spans="1:15" ht="15.75" x14ac:dyDescent="0.3">
      <c r="A141" s="22" t="s">
        <v>2513</v>
      </c>
      <c r="B141" s="69" t="s">
        <v>2554</v>
      </c>
      <c r="C141" s="22">
        <v>36</v>
      </c>
      <c r="D141" s="98">
        <v>11</v>
      </c>
      <c r="E141" s="101">
        <v>37</v>
      </c>
      <c r="F141" s="98">
        <v>11</v>
      </c>
      <c r="G141" s="101">
        <v>37</v>
      </c>
      <c r="H141" s="98">
        <v>11</v>
      </c>
      <c r="I141" s="101">
        <v>37</v>
      </c>
      <c r="J141" s="98">
        <v>11</v>
      </c>
      <c r="K141" s="101">
        <v>37</v>
      </c>
      <c r="L141" s="98">
        <v>11</v>
      </c>
      <c r="M141" s="101">
        <v>37</v>
      </c>
      <c r="N141" s="22" t="s">
        <v>2549</v>
      </c>
      <c r="O141" s="100" t="str">
        <f t="shared" si="31"/>
        <v>龙晶碎片129/元宝129000</v>
      </c>
    </row>
    <row r="142" spans="1:15" ht="15.75" x14ac:dyDescent="0.3">
      <c r="A142" s="22" t="s">
        <v>2513</v>
      </c>
      <c r="B142" s="69" t="s">
        <v>2555</v>
      </c>
      <c r="C142" s="22">
        <v>37</v>
      </c>
      <c r="D142" s="98">
        <v>11</v>
      </c>
      <c r="E142" s="101">
        <v>38</v>
      </c>
      <c r="F142" s="98">
        <v>11</v>
      </c>
      <c r="G142" s="101">
        <v>38</v>
      </c>
      <c r="H142" s="98">
        <v>11</v>
      </c>
      <c r="I142" s="101">
        <v>38</v>
      </c>
      <c r="J142" s="98">
        <v>11</v>
      </c>
      <c r="K142" s="101">
        <v>38</v>
      </c>
      <c r="L142" s="98">
        <v>11</v>
      </c>
      <c r="M142" s="101">
        <v>38</v>
      </c>
      <c r="N142" s="22" t="s">
        <v>2549</v>
      </c>
      <c r="O142" s="100" t="str">
        <f t="shared" si="31"/>
        <v>龙晶碎片129/元宝129000</v>
      </c>
    </row>
    <row r="143" spans="1:15" ht="15.75" x14ac:dyDescent="0.3">
      <c r="A143" s="22" t="s">
        <v>2513</v>
      </c>
      <c r="B143" s="69" t="s">
        <v>2556</v>
      </c>
      <c r="C143" s="22">
        <v>38</v>
      </c>
      <c r="D143" s="98">
        <v>12</v>
      </c>
      <c r="E143" s="101">
        <v>39</v>
      </c>
      <c r="F143" s="98">
        <v>12</v>
      </c>
      <c r="G143" s="101">
        <v>39</v>
      </c>
      <c r="H143" s="98">
        <v>12</v>
      </c>
      <c r="I143" s="101">
        <v>39</v>
      </c>
      <c r="J143" s="98">
        <v>12</v>
      </c>
      <c r="K143" s="101">
        <v>39</v>
      </c>
      <c r="L143" s="98">
        <v>12</v>
      </c>
      <c r="M143" s="101">
        <v>39</v>
      </c>
      <c r="N143" s="22" t="s">
        <v>2549</v>
      </c>
      <c r="O143" s="100" t="str">
        <f t="shared" si="31"/>
        <v>龙晶碎片129/元宝129000</v>
      </c>
    </row>
    <row r="144" spans="1:15" ht="15.75" x14ac:dyDescent="0.3">
      <c r="A144" s="22" t="s">
        <v>2513</v>
      </c>
      <c r="B144" s="69" t="s">
        <v>2557</v>
      </c>
      <c r="C144" s="22">
        <v>39</v>
      </c>
      <c r="D144" s="98">
        <v>12</v>
      </c>
      <c r="E144" s="101">
        <v>40</v>
      </c>
      <c r="F144" s="98">
        <v>12</v>
      </c>
      <c r="G144" s="101">
        <v>40</v>
      </c>
      <c r="H144" s="98">
        <v>12</v>
      </c>
      <c r="I144" s="101">
        <v>40</v>
      </c>
      <c r="J144" s="98">
        <v>12</v>
      </c>
      <c r="K144" s="101">
        <v>40</v>
      </c>
      <c r="L144" s="98">
        <v>12</v>
      </c>
      <c r="M144" s="101">
        <v>40</v>
      </c>
      <c r="N144" s="22" t="s">
        <v>2549</v>
      </c>
      <c r="O144" s="100" t="str">
        <f t="shared" si="31"/>
        <v>龙晶碎片129/元宝129000</v>
      </c>
    </row>
    <row r="145" spans="1:15" ht="15.75" x14ac:dyDescent="0.3">
      <c r="A145" s="22" t="s">
        <v>2513</v>
      </c>
      <c r="B145" s="69" t="s">
        <v>2558</v>
      </c>
      <c r="C145" s="22">
        <v>40</v>
      </c>
      <c r="D145" s="98">
        <v>12</v>
      </c>
      <c r="E145" s="101">
        <v>41</v>
      </c>
      <c r="F145" s="98">
        <v>12</v>
      </c>
      <c r="G145" s="101">
        <v>41</v>
      </c>
      <c r="H145" s="98">
        <v>12</v>
      </c>
      <c r="I145" s="101">
        <v>41</v>
      </c>
      <c r="J145" s="98">
        <v>12</v>
      </c>
      <c r="K145" s="101">
        <v>41</v>
      </c>
      <c r="L145" s="98">
        <v>12</v>
      </c>
      <c r="M145" s="101">
        <v>41</v>
      </c>
      <c r="N145" s="22" t="s">
        <v>2549</v>
      </c>
      <c r="O145" s="100" t="str">
        <f t="shared" si="31"/>
        <v>龙晶碎片384/元宝384000</v>
      </c>
    </row>
    <row r="146" spans="1:15" ht="15.75" x14ac:dyDescent="0.3">
      <c r="A146" s="22" t="s">
        <v>2513</v>
      </c>
      <c r="B146" s="69" t="s">
        <v>2559</v>
      </c>
      <c r="C146" s="22">
        <v>41</v>
      </c>
      <c r="D146" s="98">
        <v>13</v>
      </c>
      <c r="E146" s="101">
        <v>41</v>
      </c>
      <c r="F146" s="98">
        <v>13</v>
      </c>
      <c r="G146" s="101">
        <v>41</v>
      </c>
      <c r="H146" s="98">
        <v>13</v>
      </c>
      <c r="I146" s="101">
        <v>41</v>
      </c>
      <c r="J146" s="98">
        <v>13</v>
      </c>
      <c r="K146" s="101">
        <v>41</v>
      </c>
      <c r="L146" s="98">
        <v>13</v>
      </c>
      <c r="M146" s="101">
        <v>41</v>
      </c>
      <c r="N146" s="22" t="s">
        <v>2560</v>
      </c>
      <c r="O146" s="100" t="str">
        <f t="shared" si="31"/>
        <v>龙晶碎片384/元宝384000</v>
      </c>
    </row>
    <row r="147" spans="1:15" ht="15.75" x14ac:dyDescent="0.3">
      <c r="A147" s="22" t="s">
        <v>2513</v>
      </c>
      <c r="B147" s="69" t="s">
        <v>2561</v>
      </c>
      <c r="C147" s="22">
        <v>42</v>
      </c>
      <c r="D147" s="98">
        <v>13</v>
      </c>
      <c r="E147" s="101">
        <v>43</v>
      </c>
      <c r="F147" s="98">
        <v>13</v>
      </c>
      <c r="G147" s="101">
        <v>43</v>
      </c>
      <c r="H147" s="98">
        <v>13</v>
      </c>
      <c r="I147" s="101">
        <v>43</v>
      </c>
      <c r="J147" s="98">
        <v>13</v>
      </c>
      <c r="K147" s="101">
        <v>43</v>
      </c>
      <c r="L147" s="98">
        <v>13</v>
      </c>
      <c r="M147" s="101">
        <v>43</v>
      </c>
      <c r="N147" s="22" t="s">
        <v>2560</v>
      </c>
      <c r="O147" s="100" t="str">
        <f t="shared" si="31"/>
        <v>龙晶碎片384/元宝384000</v>
      </c>
    </row>
    <row r="148" spans="1:15" ht="15.75" x14ac:dyDescent="0.3">
      <c r="A148" s="22" t="s">
        <v>2513</v>
      </c>
      <c r="B148" s="69" t="s">
        <v>2562</v>
      </c>
      <c r="C148" s="22">
        <v>43</v>
      </c>
      <c r="D148" s="98">
        <v>13</v>
      </c>
      <c r="E148" s="101">
        <v>44</v>
      </c>
      <c r="F148" s="98">
        <v>13</v>
      </c>
      <c r="G148" s="101">
        <v>44</v>
      </c>
      <c r="H148" s="98">
        <v>13</v>
      </c>
      <c r="I148" s="101">
        <v>44</v>
      </c>
      <c r="J148" s="98">
        <v>13</v>
      </c>
      <c r="K148" s="101">
        <v>44</v>
      </c>
      <c r="L148" s="98">
        <v>13</v>
      </c>
      <c r="M148" s="101">
        <v>44</v>
      </c>
      <c r="N148" s="22" t="s">
        <v>2560</v>
      </c>
      <c r="O148" s="100" t="str">
        <f t="shared" si="31"/>
        <v>龙晶碎片384/元宝384000</v>
      </c>
    </row>
    <row r="149" spans="1:15" ht="15.75" x14ac:dyDescent="0.3">
      <c r="A149" s="22" t="s">
        <v>2513</v>
      </c>
      <c r="B149" s="69" t="s">
        <v>2563</v>
      </c>
      <c r="C149" s="22">
        <v>44</v>
      </c>
      <c r="D149" s="98">
        <v>13</v>
      </c>
      <c r="E149" s="101">
        <v>45</v>
      </c>
      <c r="F149" s="98">
        <v>13</v>
      </c>
      <c r="G149" s="101">
        <v>45</v>
      </c>
      <c r="H149" s="98">
        <v>13</v>
      </c>
      <c r="I149" s="101">
        <v>45</v>
      </c>
      <c r="J149" s="98">
        <v>13</v>
      </c>
      <c r="K149" s="101">
        <v>45</v>
      </c>
      <c r="L149" s="98">
        <v>13</v>
      </c>
      <c r="M149" s="101">
        <v>45</v>
      </c>
      <c r="N149" s="22" t="s">
        <v>2560</v>
      </c>
      <c r="O149" s="100" t="str">
        <f t="shared" si="31"/>
        <v>龙晶碎片384/元宝384000</v>
      </c>
    </row>
    <row r="150" spans="1:15" ht="15.75" x14ac:dyDescent="0.3">
      <c r="A150" s="22" t="s">
        <v>2513</v>
      </c>
      <c r="B150" s="69" t="s">
        <v>2564</v>
      </c>
      <c r="C150" s="22">
        <v>45</v>
      </c>
      <c r="D150" s="98">
        <v>14</v>
      </c>
      <c r="E150" s="101">
        <v>46</v>
      </c>
      <c r="F150" s="98">
        <v>14</v>
      </c>
      <c r="G150" s="101">
        <v>46</v>
      </c>
      <c r="H150" s="98">
        <v>14</v>
      </c>
      <c r="I150" s="101">
        <v>46</v>
      </c>
      <c r="J150" s="98">
        <v>14</v>
      </c>
      <c r="K150" s="101">
        <v>46</v>
      </c>
      <c r="L150" s="98">
        <v>14</v>
      </c>
      <c r="M150" s="101">
        <v>46</v>
      </c>
      <c r="N150" s="22" t="s">
        <v>2560</v>
      </c>
      <c r="O150" s="100" t="str">
        <f t="shared" si="31"/>
        <v>龙晶碎片384/元宝384000</v>
      </c>
    </row>
    <row r="151" spans="1:15" ht="15.75" x14ac:dyDescent="0.3">
      <c r="A151" s="22" t="s">
        <v>2513</v>
      </c>
      <c r="B151" s="69" t="s">
        <v>2565</v>
      </c>
      <c r="C151" s="22">
        <v>46</v>
      </c>
      <c r="D151" s="98">
        <v>14</v>
      </c>
      <c r="E151" s="101">
        <v>47</v>
      </c>
      <c r="F151" s="98">
        <v>14</v>
      </c>
      <c r="G151" s="101">
        <v>47</v>
      </c>
      <c r="H151" s="98">
        <v>14</v>
      </c>
      <c r="I151" s="101">
        <v>47</v>
      </c>
      <c r="J151" s="98">
        <v>14</v>
      </c>
      <c r="K151" s="101">
        <v>47</v>
      </c>
      <c r="L151" s="98">
        <v>14</v>
      </c>
      <c r="M151" s="101">
        <v>47</v>
      </c>
      <c r="N151" s="22" t="s">
        <v>2560</v>
      </c>
      <c r="O151" s="100" t="str">
        <f t="shared" si="31"/>
        <v>龙晶碎片384/元宝384000</v>
      </c>
    </row>
    <row r="152" spans="1:15" ht="15.75" x14ac:dyDescent="0.3">
      <c r="A152" s="22" t="s">
        <v>2513</v>
      </c>
      <c r="B152" s="69" t="s">
        <v>2566</v>
      </c>
      <c r="C152" s="22">
        <v>47</v>
      </c>
      <c r="D152" s="98">
        <v>14</v>
      </c>
      <c r="E152" s="101">
        <v>48</v>
      </c>
      <c r="F152" s="98">
        <v>14</v>
      </c>
      <c r="G152" s="101">
        <v>48</v>
      </c>
      <c r="H152" s="98">
        <v>14</v>
      </c>
      <c r="I152" s="101">
        <v>48</v>
      </c>
      <c r="J152" s="98">
        <v>14</v>
      </c>
      <c r="K152" s="101">
        <v>48</v>
      </c>
      <c r="L152" s="98">
        <v>14</v>
      </c>
      <c r="M152" s="101">
        <v>48</v>
      </c>
      <c r="N152" s="22" t="s">
        <v>2560</v>
      </c>
      <c r="O152" s="100" t="str">
        <f t="shared" si="31"/>
        <v>龙晶碎片384/元宝384000</v>
      </c>
    </row>
    <row r="153" spans="1:15" ht="15.75" x14ac:dyDescent="0.3">
      <c r="A153" s="22" t="s">
        <v>2513</v>
      </c>
      <c r="B153" s="69" t="s">
        <v>2567</v>
      </c>
      <c r="C153" s="22">
        <v>48</v>
      </c>
      <c r="D153" s="98">
        <v>15</v>
      </c>
      <c r="E153" s="101">
        <v>49</v>
      </c>
      <c r="F153" s="98">
        <v>15</v>
      </c>
      <c r="G153" s="101">
        <v>49</v>
      </c>
      <c r="H153" s="98">
        <v>15</v>
      </c>
      <c r="I153" s="101">
        <v>49</v>
      </c>
      <c r="J153" s="98">
        <v>15</v>
      </c>
      <c r="K153" s="101">
        <v>49</v>
      </c>
      <c r="L153" s="98">
        <v>15</v>
      </c>
      <c r="M153" s="101">
        <v>49</v>
      </c>
      <c r="N153" s="22" t="s">
        <v>2560</v>
      </c>
      <c r="O153" s="100" t="str">
        <f t="shared" si="31"/>
        <v>龙晶碎片384/元宝384000</v>
      </c>
    </row>
    <row r="154" spans="1:15" ht="15.75" x14ac:dyDescent="0.3">
      <c r="A154" s="22" t="s">
        <v>2513</v>
      </c>
      <c r="B154" s="69" t="s">
        <v>2568</v>
      </c>
      <c r="C154" s="22">
        <v>49</v>
      </c>
      <c r="D154" s="98">
        <v>15</v>
      </c>
      <c r="E154" s="101">
        <v>50</v>
      </c>
      <c r="F154" s="98">
        <v>15</v>
      </c>
      <c r="G154" s="101">
        <v>50</v>
      </c>
      <c r="H154" s="98">
        <v>15</v>
      </c>
      <c r="I154" s="101">
        <v>50</v>
      </c>
      <c r="J154" s="98">
        <v>15</v>
      </c>
      <c r="K154" s="101">
        <v>50</v>
      </c>
      <c r="L154" s="98">
        <v>15</v>
      </c>
      <c r="M154" s="101">
        <v>50</v>
      </c>
      <c r="N154" s="22" t="s">
        <v>2560</v>
      </c>
      <c r="O154" s="100" t="str">
        <f t="shared" si="31"/>
        <v>龙晶碎片384/元宝384000</v>
      </c>
    </row>
    <row r="155" spans="1:15" ht="15.75" x14ac:dyDescent="0.3">
      <c r="A155" s="22" t="s">
        <v>2513</v>
      </c>
      <c r="B155" s="69" t="s">
        <v>2569</v>
      </c>
      <c r="C155" s="22">
        <v>50</v>
      </c>
      <c r="D155" s="98">
        <v>15</v>
      </c>
      <c r="E155" s="101">
        <v>51</v>
      </c>
      <c r="F155" s="98">
        <v>15</v>
      </c>
      <c r="G155" s="101">
        <v>51</v>
      </c>
      <c r="H155" s="98">
        <v>15</v>
      </c>
      <c r="I155" s="101">
        <v>51</v>
      </c>
      <c r="J155" s="98">
        <v>15</v>
      </c>
      <c r="K155" s="101">
        <v>51</v>
      </c>
      <c r="L155" s="98">
        <v>15</v>
      </c>
      <c r="M155" s="101">
        <v>51</v>
      </c>
      <c r="N155" s="22" t="s">
        <v>2560</v>
      </c>
      <c r="O155" s="100" t="str">
        <f t="shared" si="31"/>
        <v>龙晶碎片1245/元宝1245000</v>
      </c>
    </row>
    <row r="156" spans="1:15" ht="15.75" x14ac:dyDescent="0.3">
      <c r="A156" s="22" t="s">
        <v>2513</v>
      </c>
      <c r="B156" s="69" t="s">
        <v>2570</v>
      </c>
      <c r="C156" s="22">
        <v>51</v>
      </c>
      <c r="D156" s="98">
        <v>17</v>
      </c>
      <c r="E156" s="101">
        <v>52</v>
      </c>
      <c r="F156" s="98">
        <v>17</v>
      </c>
      <c r="G156" s="101">
        <v>52</v>
      </c>
      <c r="H156" s="98">
        <v>17</v>
      </c>
      <c r="I156" s="101">
        <v>52</v>
      </c>
      <c r="J156" s="98">
        <v>17</v>
      </c>
      <c r="K156" s="101">
        <v>52</v>
      </c>
      <c r="L156" s="98">
        <v>17</v>
      </c>
      <c r="M156" s="101">
        <v>52</v>
      </c>
      <c r="N156" s="22" t="s">
        <v>2571</v>
      </c>
      <c r="O156" s="100" t="str">
        <f t="shared" si="31"/>
        <v>龙晶碎片1245/元宝1245000</v>
      </c>
    </row>
    <row r="157" spans="1:15" ht="15.75" x14ac:dyDescent="0.3">
      <c r="A157" s="22" t="s">
        <v>2513</v>
      </c>
      <c r="B157" s="69" t="s">
        <v>2572</v>
      </c>
      <c r="C157" s="22">
        <v>52</v>
      </c>
      <c r="D157" s="98">
        <v>17</v>
      </c>
      <c r="E157" s="101">
        <v>55</v>
      </c>
      <c r="F157" s="98">
        <v>17</v>
      </c>
      <c r="G157" s="101">
        <v>55</v>
      </c>
      <c r="H157" s="98">
        <v>17</v>
      </c>
      <c r="I157" s="101">
        <v>55</v>
      </c>
      <c r="J157" s="98">
        <v>17</v>
      </c>
      <c r="K157" s="101">
        <v>55</v>
      </c>
      <c r="L157" s="98">
        <v>17</v>
      </c>
      <c r="M157" s="101">
        <v>55</v>
      </c>
      <c r="N157" s="22" t="s">
        <v>2571</v>
      </c>
      <c r="O157" s="100" t="str">
        <f t="shared" si="31"/>
        <v>龙晶碎片1245/元宝1245000</v>
      </c>
    </row>
    <row r="158" spans="1:15" ht="15.75" x14ac:dyDescent="0.3">
      <c r="A158" s="22" t="s">
        <v>2513</v>
      </c>
      <c r="B158" s="69" t="s">
        <v>2573</v>
      </c>
      <c r="C158" s="22">
        <v>53</v>
      </c>
      <c r="D158" s="98">
        <v>17</v>
      </c>
      <c r="E158" s="101">
        <v>57</v>
      </c>
      <c r="F158" s="98">
        <v>17</v>
      </c>
      <c r="G158" s="101">
        <v>57</v>
      </c>
      <c r="H158" s="98">
        <v>17</v>
      </c>
      <c r="I158" s="101">
        <v>57</v>
      </c>
      <c r="J158" s="98">
        <v>17</v>
      </c>
      <c r="K158" s="101">
        <v>57</v>
      </c>
      <c r="L158" s="98">
        <v>17</v>
      </c>
      <c r="M158" s="101">
        <v>57</v>
      </c>
      <c r="N158" s="22" t="s">
        <v>2571</v>
      </c>
      <c r="O158" s="100" t="str">
        <f t="shared" si="31"/>
        <v>龙晶碎片1245/元宝1245000</v>
      </c>
    </row>
    <row r="159" spans="1:15" ht="15.75" x14ac:dyDescent="0.3">
      <c r="A159" s="22" t="s">
        <v>2513</v>
      </c>
      <c r="B159" s="69" t="s">
        <v>2574</v>
      </c>
      <c r="C159" s="22">
        <v>54</v>
      </c>
      <c r="D159" s="98">
        <v>17</v>
      </c>
      <c r="E159" s="101">
        <v>59</v>
      </c>
      <c r="F159" s="98">
        <v>17</v>
      </c>
      <c r="G159" s="101">
        <v>59</v>
      </c>
      <c r="H159" s="98">
        <v>17</v>
      </c>
      <c r="I159" s="101">
        <v>59</v>
      </c>
      <c r="J159" s="98">
        <v>17</v>
      </c>
      <c r="K159" s="101">
        <v>59</v>
      </c>
      <c r="L159" s="98">
        <v>17</v>
      </c>
      <c r="M159" s="101">
        <v>59</v>
      </c>
      <c r="N159" s="22" t="s">
        <v>2571</v>
      </c>
      <c r="O159" s="100" t="str">
        <f t="shared" si="31"/>
        <v>龙晶碎片1245/元宝1245000</v>
      </c>
    </row>
    <row r="160" spans="1:15" ht="15.75" x14ac:dyDescent="0.3">
      <c r="A160" s="22" t="s">
        <v>2513</v>
      </c>
      <c r="B160" s="69" t="s">
        <v>2575</v>
      </c>
      <c r="C160" s="22">
        <v>55</v>
      </c>
      <c r="D160" s="98">
        <v>18</v>
      </c>
      <c r="E160" s="101">
        <v>61</v>
      </c>
      <c r="F160" s="98">
        <v>18</v>
      </c>
      <c r="G160" s="101">
        <v>61</v>
      </c>
      <c r="H160" s="98">
        <v>18</v>
      </c>
      <c r="I160" s="101">
        <v>61</v>
      </c>
      <c r="J160" s="98">
        <v>18</v>
      </c>
      <c r="K160" s="101">
        <v>61</v>
      </c>
      <c r="L160" s="98">
        <v>18</v>
      </c>
      <c r="M160" s="101">
        <v>61</v>
      </c>
      <c r="N160" s="22" t="s">
        <v>2571</v>
      </c>
      <c r="O160" s="100" t="str">
        <f t="shared" si="31"/>
        <v>龙晶碎片1245/元宝1245000</v>
      </c>
    </row>
    <row r="161" spans="1:15" ht="15.75" x14ac:dyDescent="0.3">
      <c r="A161" s="22" t="s">
        <v>2513</v>
      </c>
      <c r="B161" s="69" t="s">
        <v>2576</v>
      </c>
      <c r="C161" s="22">
        <v>56</v>
      </c>
      <c r="D161" s="98">
        <v>18</v>
      </c>
      <c r="E161" s="101">
        <v>63</v>
      </c>
      <c r="F161" s="98">
        <v>18</v>
      </c>
      <c r="G161" s="101">
        <v>63</v>
      </c>
      <c r="H161" s="98">
        <v>18</v>
      </c>
      <c r="I161" s="101">
        <v>63</v>
      </c>
      <c r="J161" s="98">
        <v>18</v>
      </c>
      <c r="K161" s="101">
        <v>63</v>
      </c>
      <c r="L161" s="98">
        <v>18</v>
      </c>
      <c r="M161" s="101">
        <v>63</v>
      </c>
      <c r="N161" s="22" t="s">
        <v>2571</v>
      </c>
      <c r="O161" s="100" t="str">
        <f t="shared" si="31"/>
        <v>龙晶碎片1245/元宝1245000</v>
      </c>
    </row>
    <row r="162" spans="1:15" ht="15.75" x14ac:dyDescent="0.3">
      <c r="A162" s="22" t="s">
        <v>2513</v>
      </c>
      <c r="B162" s="69" t="s">
        <v>2577</v>
      </c>
      <c r="C162" s="22">
        <v>57</v>
      </c>
      <c r="D162" s="98">
        <v>18</v>
      </c>
      <c r="E162" s="101">
        <v>65</v>
      </c>
      <c r="F162" s="98">
        <v>18</v>
      </c>
      <c r="G162" s="101">
        <v>65</v>
      </c>
      <c r="H162" s="98">
        <v>18</v>
      </c>
      <c r="I162" s="101">
        <v>65</v>
      </c>
      <c r="J162" s="98">
        <v>18</v>
      </c>
      <c r="K162" s="101">
        <v>65</v>
      </c>
      <c r="L162" s="98">
        <v>18</v>
      </c>
      <c r="M162" s="101">
        <v>65</v>
      </c>
      <c r="N162" s="22" t="s">
        <v>2571</v>
      </c>
      <c r="O162" s="100" t="str">
        <f t="shared" si="31"/>
        <v>龙晶碎片1245/元宝1245000</v>
      </c>
    </row>
    <row r="163" spans="1:15" ht="15.75" x14ac:dyDescent="0.3">
      <c r="A163" s="22" t="s">
        <v>2513</v>
      </c>
      <c r="B163" s="69" t="s">
        <v>2578</v>
      </c>
      <c r="C163" s="22">
        <v>58</v>
      </c>
      <c r="D163" s="98">
        <v>19</v>
      </c>
      <c r="E163" s="101">
        <v>67</v>
      </c>
      <c r="F163" s="98">
        <v>19</v>
      </c>
      <c r="G163" s="101">
        <v>67</v>
      </c>
      <c r="H163" s="98">
        <v>19</v>
      </c>
      <c r="I163" s="101">
        <v>67</v>
      </c>
      <c r="J163" s="98">
        <v>19</v>
      </c>
      <c r="K163" s="101">
        <v>67</v>
      </c>
      <c r="L163" s="98">
        <v>19</v>
      </c>
      <c r="M163" s="101">
        <v>67</v>
      </c>
      <c r="N163" s="22" t="s">
        <v>2571</v>
      </c>
      <c r="O163" s="100" t="str">
        <f t="shared" si="31"/>
        <v>龙晶碎片1245/元宝1245000</v>
      </c>
    </row>
    <row r="164" spans="1:15" ht="15.75" x14ac:dyDescent="0.3">
      <c r="A164" s="22" t="s">
        <v>2513</v>
      </c>
      <c r="B164" s="69" t="s">
        <v>2579</v>
      </c>
      <c r="C164" s="22">
        <v>59</v>
      </c>
      <c r="D164" s="98">
        <v>19</v>
      </c>
      <c r="E164" s="101">
        <v>69</v>
      </c>
      <c r="F164" s="98">
        <v>19</v>
      </c>
      <c r="G164" s="101">
        <v>69</v>
      </c>
      <c r="H164" s="98">
        <v>19</v>
      </c>
      <c r="I164" s="101">
        <v>69</v>
      </c>
      <c r="J164" s="98">
        <v>19</v>
      </c>
      <c r="K164" s="101">
        <v>69</v>
      </c>
      <c r="L164" s="98">
        <v>19</v>
      </c>
      <c r="M164" s="101">
        <v>69</v>
      </c>
      <c r="N164" s="22" t="s">
        <v>2571</v>
      </c>
      <c r="O164" s="100" t="str">
        <f t="shared" si="31"/>
        <v>龙晶碎片1245/元宝1245000</v>
      </c>
    </row>
    <row r="165" spans="1:15" ht="15.75" x14ac:dyDescent="0.3">
      <c r="A165" s="22" t="s">
        <v>2513</v>
      </c>
      <c r="B165" s="69" t="s">
        <v>2580</v>
      </c>
      <c r="C165" s="22">
        <v>60</v>
      </c>
      <c r="D165" s="98">
        <v>19</v>
      </c>
      <c r="E165" s="101">
        <v>71</v>
      </c>
      <c r="F165" s="98">
        <v>19</v>
      </c>
      <c r="G165" s="101">
        <v>71</v>
      </c>
      <c r="H165" s="98">
        <v>19</v>
      </c>
      <c r="I165" s="101">
        <v>71</v>
      </c>
      <c r="J165" s="98">
        <v>19</v>
      </c>
      <c r="K165" s="101">
        <v>71</v>
      </c>
      <c r="L165" s="98">
        <v>19</v>
      </c>
      <c r="M165" s="101">
        <v>71</v>
      </c>
      <c r="N165" s="22" t="s">
        <v>2571</v>
      </c>
      <c r="O165" s="100" t="str">
        <f t="shared" si="31"/>
        <v>龙晶碎片3133/元宝3133000</v>
      </c>
    </row>
    <row r="166" spans="1:15" ht="15.75" x14ac:dyDescent="0.3">
      <c r="A166" s="22" t="s">
        <v>2513</v>
      </c>
      <c r="B166" s="69" t="s">
        <v>2581</v>
      </c>
      <c r="C166" s="22">
        <v>61</v>
      </c>
      <c r="D166" s="98">
        <v>21</v>
      </c>
      <c r="E166" s="101">
        <v>72</v>
      </c>
      <c r="F166" s="98">
        <v>21</v>
      </c>
      <c r="G166" s="101">
        <v>72</v>
      </c>
      <c r="H166" s="98">
        <v>21</v>
      </c>
      <c r="I166" s="101">
        <v>72</v>
      </c>
      <c r="J166" s="98">
        <v>21</v>
      </c>
      <c r="K166" s="101">
        <v>72</v>
      </c>
      <c r="L166" s="98">
        <v>21</v>
      </c>
      <c r="M166" s="101">
        <v>72</v>
      </c>
      <c r="N166" s="22" t="s">
        <v>2582</v>
      </c>
      <c r="O166" s="100" t="str">
        <f t="shared" si="31"/>
        <v>龙晶碎片3133/元宝3133000</v>
      </c>
    </row>
    <row r="167" spans="1:15" ht="15.75" x14ac:dyDescent="0.3">
      <c r="A167" s="22" t="s">
        <v>2513</v>
      </c>
      <c r="B167" s="69" t="s">
        <v>2583</v>
      </c>
      <c r="C167" s="22">
        <v>62</v>
      </c>
      <c r="D167" s="98">
        <v>21</v>
      </c>
      <c r="E167" s="101">
        <v>75</v>
      </c>
      <c r="F167" s="98">
        <v>21</v>
      </c>
      <c r="G167" s="101">
        <v>75</v>
      </c>
      <c r="H167" s="98">
        <v>21</v>
      </c>
      <c r="I167" s="101">
        <v>75</v>
      </c>
      <c r="J167" s="98">
        <v>21</v>
      </c>
      <c r="K167" s="101">
        <v>75</v>
      </c>
      <c r="L167" s="98">
        <v>21</v>
      </c>
      <c r="M167" s="101">
        <v>75</v>
      </c>
      <c r="N167" s="22" t="s">
        <v>2582</v>
      </c>
      <c r="O167" s="100" t="str">
        <f t="shared" si="31"/>
        <v>龙晶碎片3133/元宝3133000</v>
      </c>
    </row>
    <row r="168" spans="1:15" ht="15.75" x14ac:dyDescent="0.3">
      <c r="A168" s="22" t="s">
        <v>2513</v>
      </c>
      <c r="B168" s="69" t="s">
        <v>2584</v>
      </c>
      <c r="C168" s="22">
        <v>63</v>
      </c>
      <c r="D168" s="98">
        <v>21</v>
      </c>
      <c r="E168" s="101">
        <v>77</v>
      </c>
      <c r="F168" s="98">
        <v>21</v>
      </c>
      <c r="G168" s="101">
        <v>77</v>
      </c>
      <c r="H168" s="98">
        <v>21</v>
      </c>
      <c r="I168" s="101">
        <v>77</v>
      </c>
      <c r="J168" s="98">
        <v>21</v>
      </c>
      <c r="K168" s="101">
        <v>77</v>
      </c>
      <c r="L168" s="98">
        <v>21</v>
      </c>
      <c r="M168" s="101">
        <v>77</v>
      </c>
      <c r="N168" s="22" t="s">
        <v>2582</v>
      </c>
      <c r="O168" s="100" t="str">
        <f t="shared" si="31"/>
        <v>龙晶碎片3133/元宝3133000</v>
      </c>
    </row>
    <row r="169" spans="1:15" ht="15.75" x14ac:dyDescent="0.3">
      <c r="A169" s="22" t="s">
        <v>2513</v>
      </c>
      <c r="B169" s="69" t="s">
        <v>2585</v>
      </c>
      <c r="C169" s="22">
        <v>64</v>
      </c>
      <c r="D169" s="98">
        <v>21</v>
      </c>
      <c r="E169" s="101">
        <v>79</v>
      </c>
      <c r="F169" s="98">
        <v>21</v>
      </c>
      <c r="G169" s="101">
        <v>79</v>
      </c>
      <c r="H169" s="98">
        <v>21</v>
      </c>
      <c r="I169" s="101">
        <v>79</v>
      </c>
      <c r="J169" s="98">
        <v>21</v>
      </c>
      <c r="K169" s="101">
        <v>79</v>
      </c>
      <c r="L169" s="98">
        <v>21</v>
      </c>
      <c r="M169" s="101">
        <v>79</v>
      </c>
      <c r="N169" s="22" t="s">
        <v>2582</v>
      </c>
      <c r="O169" s="100" t="str">
        <f t="shared" si="31"/>
        <v>龙晶碎片3133/元宝3133000</v>
      </c>
    </row>
    <row r="170" spans="1:15" ht="15.75" x14ac:dyDescent="0.3">
      <c r="A170" s="22" t="s">
        <v>2513</v>
      </c>
      <c r="B170" s="69" t="s">
        <v>2586</v>
      </c>
      <c r="C170" s="22">
        <v>65</v>
      </c>
      <c r="D170" s="98">
        <v>22</v>
      </c>
      <c r="E170" s="101">
        <v>81</v>
      </c>
      <c r="F170" s="98">
        <v>22</v>
      </c>
      <c r="G170" s="101">
        <v>81</v>
      </c>
      <c r="H170" s="98">
        <v>22</v>
      </c>
      <c r="I170" s="101">
        <v>81</v>
      </c>
      <c r="J170" s="98">
        <v>22</v>
      </c>
      <c r="K170" s="101">
        <v>81</v>
      </c>
      <c r="L170" s="98">
        <v>22</v>
      </c>
      <c r="M170" s="101">
        <v>81</v>
      </c>
      <c r="N170" s="22" t="s">
        <v>2582</v>
      </c>
      <c r="O170" s="100" t="str">
        <f t="shared" ref="O170:O204" si="32">"龙晶碎片"&amp;Z69&amp;"/元宝"&amp;AA69</f>
        <v>龙晶碎片3133/元宝3133000</v>
      </c>
    </row>
    <row r="171" spans="1:15" ht="15.75" x14ac:dyDescent="0.3">
      <c r="A171" s="22" t="s">
        <v>2513</v>
      </c>
      <c r="B171" s="69" t="s">
        <v>2587</v>
      </c>
      <c r="C171" s="22">
        <v>66</v>
      </c>
      <c r="D171" s="98">
        <v>22</v>
      </c>
      <c r="E171" s="101">
        <v>83</v>
      </c>
      <c r="F171" s="98">
        <v>22</v>
      </c>
      <c r="G171" s="101">
        <v>83</v>
      </c>
      <c r="H171" s="98">
        <v>22</v>
      </c>
      <c r="I171" s="101">
        <v>83</v>
      </c>
      <c r="J171" s="98">
        <v>22</v>
      </c>
      <c r="K171" s="101">
        <v>83</v>
      </c>
      <c r="L171" s="98">
        <v>22</v>
      </c>
      <c r="M171" s="101">
        <v>83</v>
      </c>
      <c r="N171" s="22" t="s">
        <v>2582</v>
      </c>
      <c r="O171" s="100" t="str">
        <f t="shared" si="32"/>
        <v>龙晶碎片3133/元宝3133000</v>
      </c>
    </row>
    <row r="172" spans="1:15" ht="15.75" x14ac:dyDescent="0.3">
      <c r="A172" s="22" t="s">
        <v>2513</v>
      </c>
      <c r="B172" s="69" t="s">
        <v>2588</v>
      </c>
      <c r="C172" s="22">
        <v>67</v>
      </c>
      <c r="D172" s="98">
        <v>22</v>
      </c>
      <c r="E172" s="101">
        <v>85</v>
      </c>
      <c r="F172" s="98">
        <v>22</v>
      </c>
      <c r="G172" s="101">
        <v>85</v>
      </c>
      <c r="H172" s="98">
        <v>22</v>
      </c>
      <c r="I172" s="101">
        <v>85</v>
      </c>
      <c r="J172" s="98">
        <v>22</v>
      </c>
      <c r="K172" s="101">
        <v>85</v>
      </c>
      <c r="L172" s="98">
        <v>22</v>
      </c>
      <c r="M172" s="101">
        <v>85</v>
      </c>
      <c r="N172" s="22" t="s">
        <v>2582</v>
      </c>
      <c r="O172" s="100" t="str">
        <f t="shared" si="32"/>
        <v>龙晶碎片3133/元宝3133000</v>
      </c>
    </row>
    <row r="173" spans="1:15" ht="15.75" x14ac:dyDescent="0.3">
      <c r="A173" s="22" t="s">
        <v>2513</v>
      </c>
      <c r="B173" s="69" t="s">
        <v>2589</v>
      </c>
      <c r="C173" s="22">
        <v>68</v>
      </c>
      <c r="D173" s="98">
        <v>23</v>
      </c>
      <c r="E173" s="101">
        <v>87</v>
      </c>
      <c r="F173" s="98">
        <v>23</v>
      </c>
      <c r="G173" s="101">
        <v>87</v>
      </c>
      <c r="H173" s="98">
        <v>23</v>
      </c>
      <c r="I173" s="101">
        <v>87</v>
      </c>
      <c r="J173" s="98">
        <v>23</v>
      </c>
      <c r="K173" s="101">
        <v>87</v>
      </c>
      <c r="L173" s="98">
        <v>23</v>
      </c>
      <c r="M173" s="101">
        <v>87</v>
      </c>
      <c r="N173" s="22" t="s">
        <v>2582</v>
      </c>
      <c r="O173" s="100" t="str">
        <f t="shared" si="32"/>
        <v>龙晶碎片3133/元宝3133000</v>
      </c>
    </row>
    <row r="174" spans="1:15" ht="15.75" x14ac:dyDescent="0.3">
      <c r="A174" s="22" t="s">
        <v>2513</v>
      </c>
      <c r="B174" s="69" t="s">
        <v>2590</v>
      </c>
      <c r="C174" s="22">
        <v>69</v>
      </c>
      <c r="D174" s="98">
        <v>23</v>
      </c>
      <c r="E174" s="101">
        <v>89</v>
      </c>
      <c r="F174" s="98">
        <v>23</v>
      </c>
      <c r="G174" s="101">
        <v>89</v>
      </c>
      <c r="H174" s="98">
        <v>23</v>
      </c>
      <c r="I174" s="101">
        <v>89</v>
      </c>
      <c r="J174" s="98">
        <v>23</v>
      </c>
      <c r="K174" s="101">
        <v>89</v>
      </c>
      <c r="L174" s="98">
        <v>23</v>
      </c>
      <c r="M174" s="101">
        <v>89</v>
      </c>
      <c r="N174" s="22" t="s">
        <v>2582</v>
      </c>
      <c r="O174" s="100" t="str">
        <f t="shared" si="32"/>
        <v>龙晶碎片3133/元宝3133000</v>
      </c>
    </row>
    <row r="175" spans="1:15" ht="15.75" x14ac:dyDescent="0.3">
      <c r="A175" s="22" t="s">
        <v>2513</v>
      </c>
      <c r="B175" s="69" t="s">
        <v>2591</v>
      </c>
      <c r="C175" s="22">
        <v>70</v>
      </c>
      <c r="D175" s="98">
        <v>23</v>
      </c>
      <c r="E175" s="101">
        <v>91</v>
      </c>
      <c r="F175" s="98">
        <v>23</v>
      </c>
      <c r="G175" s="101">
        <v>91</v>
      </c>
      <c r="H175" s="98">
        <v>23</v>
      </c>
      <c r="I175" s="101">
        <v>91</v>
      </c>
      <c r="J175" s="98">
        <v>23</v>
      </c>
      <c r="K175" s="101">
        <v>91</v>
      </c>
      <c r="L175" s="98">
        <v>23</v>
      </c>
      <c r="M175" s="101">
        <v>91</v>
      </c>
      <c r="N175" s="22" t="s">
        <v>2582</v>
      </c>
      <c r="O175" s="100" t="str">
        <f t="shared" si="32"/>
        <v>龙晶碎片3644/元宝3644000</v>
      </c>
    </row>
    <row r="176" spans="1:15" ht="15.75" x14ac:dyDescent="0.3">
      <c r="A176" s="22" t="s">
        <v>2513</v>
      </c>
      <c r="B176" s="69" t="s">
        <v>2592</v>
      </c>
      <c r="C176" s="22">
        <v>71</v>
      </c>
      <c r="D176" s="98">
        <v>25</v>
      </c>
      <c r="E176" s="101">
        <v>92</v>
      </c>
      <c r="F176" s="98">
        <v>25</v>
      </c>
      <c r="G176" s="101">
        <v>92</v>
      </c>
      <c r="H176" s="98">
        <v>25</v>
      </c>
      <c r="I176" s="101">
        <v>92</v>
      </c>
      <c r="J176" s="98">
        <v>25</v>
      </c>
      <c r="K176" s="101">
        <v>92</v>
      </c>
      <c r="L176" s="98">
        <v>25</v>
      </c>
      <c r="M176" s="101">
        <v>92</v>
      </c>
      <c r="N176" s="22" t="s">
        <v>2593</v>
      </c>
      <c r="O176" s="100" t="str">
        <f t="shared" si="32"/>
        <v>龙晶碎片3644/元宝3644000</v>
      </c>
    </row>
    <row r="177" spans="1:15" ht="15.75" x14ac:dyDescent="0.3">
      <c r="A177" s="22" t="s">
        <v>2513</v>
      </c>
      <c r="B177" s="69" t="s">
        <v>2594</v>
      </c>
      <c r="C177" s="22">
        <v>72</v>
      </c>
      <c r="D177" s="98">
        <v>25</v>
      </c>
      <c r="E177" s="101">
        <v>95</v>
      </c>
      <c r="F177" s="98">
        <v>25</v>
      </c>
      <c r="G177" s="101">
        <v>95</v>
      </c>
      <c r="H177" s="98">
        <v>25</v>
      </c>
      <c r="I177" s="101">
        <v>95</v>
      </c>
      <c r="J177" s="98">
        <v>25</v>
      </c>
      <c r="K177" s="101">
        <v>95</v>
      </c>
      <c r="L177" s="98">
        <v>25</v>
      </c>
      <c r="M177" s="101">
        <v>95</v>
      </c>
      <c r="N177" s="22" t="s">
        <v>2593</v>
      </c>
      <c r="O177" s="100" t="str">
        <f t="shared" si="32"/>
        <v>龙晶碎片3644/元宝3644000</v>
      </c>
    </row>
    <row r="178" spans="1:15" ht="15.75" x14ac:dyDescent="0.3">
      <c r="A178" s="22" t="s">
        <v>2513</v>
      </c>
      <c r="B178" s="69" t="s">
        <v>2595</v>
      </c>
      <c r="C178" s="22">
        <v>73</v>
      </c>
      <c r="D178" s="98">
        <v>25</v>
      </c>
      <c r="E178" s="101">
        <v>97</v>
      </c>
      <c r="F178" s="98">
        <v>25</v>
      </c>
      <c r="G178" s="101">
        <v>97</v>
      </c>
      <c r="H178" s="98">
        <v>25</v>
      </c>
      <c r="I178" s="101">
        <v>97</v>
      </c>
      <c r="J178" s="98">
        <v>25</v>
      </c>
      <c r="K178" s="101">
        <v>97</v>
      </c>
      <c r="L178" s="98">
        <v>25</v>
      </c>
      <c r="M178" s="101">
        <v>97</v>
      </c>
      <c r="N178" s="22" t="s">
        <v>2593</v>
      </c>
      <c r="O178" s="100" t="str">
        <f t="shared" si="32"/>
        <v>龙晶碎片3644/元宝3644000</v>
      </c>
    </row>
    <row r="179" spans="1:15" ht="15.75" x14ac:dyDescent="0.3">
      <c r="A179" s="22" t="s">
        <v>2513</v>
      </c>
      <c r="B179" s="69" t="s">
        <v>2596</v>
      </c>
      <c r="C179" s="22">
        <v>74</v>
      </c>
      <c r="D179" s="98">
        <v>25</v>
      </c>
      <c r="E179" s="101">
        <v>99</v>
      </c>
      <c r="F179" s="98">
        <v>25</v>
      </c>
      <c r="G179" s="101">
        <v>99</v>
      </c>
      <c r="H179" s="98">
        <v>25</v>
      </c>
      <c r="I179" s="101">
        <v>99</v>
      </c>
      <c r="J179" s="98">
        <v>25</v>
      </c>
      <c r="K179" s="101">
        <v>99</v>
      </c>
      <c r="L179" s="98">
        <v>25</v>
      </c>
      <c r="M179" s="101">
        <v>99</v>
      </c>
      <c r="N179" s="22" t="s">
        <v>2593</v>
      </c>
      <c r="O179" s="100" t="str">
        <f t="shared" si="32"/>
        <v>龙晶碎片3644/元宝3644000</v>
      </c>
    </row>
    <row r="180" spans="1:15" ht="15.75" x14ac:dyDescent="0.3">
      <c r="A180" s="22" t="s">
        <v>2513</v>
      </c>
      <c r="B180" s="69" t="s">
        <v>2597</v>
      </c>
      <c r="C180" s="22">
        <v>75</v>
      </c>
      <c r="D180" s="98">
        <v>26</v>
      </c>
      <c r="E180" s="101">
        <v>101</v>
      </c>
      <c r="F180" s="98">
        <v>26</v>
      </c>
      <c r="G180" s="101">
        <v>101</v>
      </c>
      <c r="H180" s="98">
        <v>26</v>
      </c>
      <c r="I180" s="101">
        <v>101</v>
      </c>
      <c r="J180" s="98">
        <v>26</v>
      </c>
      <c r="K180" s="101">
        <v>101</v>
      </c>
      <c r="L180" s="98">
        <v>26</v>
      </c>
      <c r="M180" s="101">
        <v>101</v>
      </c>
      <c r="N180" s="22" t="s">
        <v>2593</v>
      </c>
      <c r="O180" s="100" t="str">
        <f t="shared" si="32"/>
        <v>龙晶碎片3644/元宝3644000</v>
      </c>
    </row>
    <row r="181" spans="1:15" ht="15.75" x14ac:dyDescent="0.3">
      <c r="A181" s="22" t="s">
        <v>2513</v>
      </c>
      <c r="B181" s="69" t="s">
        <v>2598</v>
      </c>
      <c r="C181" s="22">
        <v>76</v>
      </c>
      <c r="D181" s="98">
        <v>26</v>
      </c>
      <c r="E181" s="101">
        <v>103</v>
      </c>
      <c r="F181" s="98">
        <v>26</v>
      </c>
      <c r="G181" s="101">
        <v>103</v>
      </c>
      <c r="H181" s="98">
        <v>26</v>
      </c>
      <c r="I181" s="101">
        <v>103</v>
      </c>
      <c r="J181" s="98">
        <v>26</v>
      </c>
      <c r="K181" s="101">
        <v>103</v>
      </c>
      <c r="L181" s="98">
        <v>26</v>
      </c>
      <c r="M181" s="101">
        <v>103</v>
      </c>
      <c r="N181" s="22" t="s">
        <v>2593</v>
      </c>
      <c r="O181" s="100" t="str">
        <f t="shared" si="32"/>
        <v>龙晶碎片3644/元宝3644000</v>
      </c>
    </row>
    <row r="182" spans="1:15" ht="15.75" x14ac:dyDescent="0.3">
      <c r="A182" s="22" t="s">
        <v>2513</v>
      </c>
      <c r="B182" s="69" t="s">
        <v>2599</v>
      </c>
      <c r="C182" s="22">
        <v>77</v>
      </c>
      <c r="D182" s="98">
        <v>26</v>
      </c>
      <c r="E182" s="101">
        <v>105</v>
      </c>
      <c r="F182" s="98">
        <v>26</v>
      </c>
      <c r="G182" s="101">
        <v>105</v>
      </c>
      <c r="H182" s="98">
        <v>26</v>
      </c>
      <c r="I182" s="101">
        <v>105</v>
      </c>
      <c r="J182" s="98">
        <v>26</v>
      </c>
      <c r="K182" s="101">
        <v>105</v>
      </c>
      <c r="L182" s="98">
        <v>26</v>
      </c>
      <c r="M182" s="101">
        <v>105</v>
      </c>
      <c r="N182" s="22" t="s">
        <v>2593</v>
      </c>
      <c r="O182" s="100" t="str">
        <f t="shared" si="32"/>
        <v>龙晶碎片3644/元宝3644000</v>
      </c>
    </row>
    <row r="183" spans="1:15" ht="15.75" x14ac:dyDescent="0.3">
      <c r="A183" s="22" t="s">
        <v>2513</v>
      </c>
      <c r="B183" s="69" t="s">
        <v>2600</v>
      </c>
      <c r="C183" s="22">
        <v>78</v>
      </c>
      <c r="D183" s="98">
        <v>27</v>
      </c>
      <c r="E183" s="101">
        <v>107</v>
      </c>
      <c r="F183" s="98">
        <v>27</v>
      </c>
      <c r="G183" s="101">
        <v>107</v>
      </c>
      <c r="H183" s="98">
        <v>27</v>
      </c>
      <c r="I183" s="101">
        <v>107</v>
      </c>
      <c r="J183" s="98">
        <v>27</v>
      </c>
      <c r="K183" s="101">
        <v>107</v>
      </c>
      <c r="L183" s="98">
        <v>27</v>
      </c>
      <c r="M183" s="101">
        <v>107</v>
      </c>
      <c r="N183" s="22" t="s">
        <v>2593</v>
      </c>
      <c r="O183" s="100" t="str">
        <f t="shared" si="32"/>
        <v>龙晶碎片3644/元宝3644000</v>
      </c>
    </row>
    <row r="184" spans="1:15" ht="15.75" x14ac:dyDescent="0.3">
      <c r="A184" s="22" t="s">
        <v>2513</v>
      </c>
      <c r="B184" s="69" t="s">
        <v>2601</v>
      </c>
      <c r="C184" s="22">
        <v>79</v>
      </c>
      <c r="D184" s="98">
        <v>27</v>
      </c>
      <c r="E184" s="101">
        <v>109</v>
      </c>
      <c r="F184" s="98">
        <v>27</v>
      </c>
      <c r="G184" s="101">
        <v>109</v>
      </c>
      <c r="H184" s="98">
        <v>27</v>
      </c>
      <c r="I184" s="101">
        <v>109</v>
      </c>
      <c r="J184" s="98">
        <v>27</v>
      </c>
      <c r="K184" s="101">
        <v>109</v>
      </c>
      <c r="L184" s="98">
        <v>27</v>
      </c>
      <c r="M184" s="101">
        <v>109</v>
      </c>
      <c r="N184" s="22" t="s">
        <v>2593</v>
      </c>
      <c r="O184" s="100" t="str">
        <f t="shared" si="32"/>
        <v>龙晶碎片3644/元宝3644000</v>
      </c>
    </row>
    <row r="185" spans="1:15" ht="15.75" x14ac:dyDescent="0.3">
      <c r="A185" s="22" t="s">
        <v>2513</v>
      </c>
      <c r="B185" s="69" t="s">
        <v>2602</v>
      </c>
      <c r="C185" s="22">
        <v>80</v>
      </c>
      <c r="D185" s="98">
        <v>27</v>
      </c>
      <c r="E185" s="101">
        <v>111</v>
      </c>
      <c r="F185" s="98">
        <v>27</v>
      </c>
      <c r="G185" s="101">
        <v>111</v>
      </c>
      <c r="H185" s="98">
        <v>27</v>
      </c>
      <c r="I185" s="101">
        <v>111</v>
      </c>
      <c r="J185" s="98">
        <v>27</v>
      </c>
      <c r="K185" s="101">
        <v>111</v>
      </c>
      <c r="L185" s="98">
        <v>27</v>
      </c>
      <c r="M185" s="101">
        <v>111</v>
      </c>
      <c r="N185" s="22" t="s">
        <v>2593</v>
      </c>
      <c r="O185" s="100" t="str">
        <f t="shared" si="32"/>
        <v>龙晶碎片5328/元宝5328000</v>
      </c>
    </row>
    <row r="186" spans="1:15" ht="15.75" x14ac:dyDescent="0.3">
      <c r="A186" s="22" t="s">
        <v>2513</v>
      </c>
      <c r="B186" s="69" t="s">
        <v>2603</v>
      </c>
      <c r="C186" s="22">
        <v>81</v>
      </c>
      <c r="D186" s="98">
        <v>30</v>
      </c>
      <c r="E186" s="101">
        <v>113</v>
      </c>
      <c r="F186" s="98">
        <v>30</v>
      </c>
      <c r="G186" s="101">
        <v>113</v>
      </c>
      <c r="H186" s="98">
        <v>30</v>
      </c>
      <c r="I186" s="101">
        <v>113</v>
      </c>
      <c r="J186" s="98">
        <v>30</v>
      </c>
      <c r="K186" s="101">
        <v>113</v>
      </c>
      <c r="L186" s="98">
        <v>30</v>
      </c>
      <c r="M186" s="101">
        <v>113</v>
      </c>
      <c r="N186" s="22" t="s">
        <v>2604</v>
      </c>
      <c r="O186" s="100" t="str">
        <f t="shared" si="32"/>
        <v>龙晶碎片5328/元宝5328000</v>
      </c>
    </row>
    <row r="187" spans="1:15" ht="15.75" x14ac:dyDescent="0.3">
      <c r="A187" s="22" t="s">
        <v>2513</v>
      </c>
      <c r="B187" s="69" t="s">
        <v>2605</v>
      </c>
      <c r="C187" s="22">
        <v>82</v>
      </c>
      <c r="D187" s="98">
        <v>31</v>
      </c>
      <c r="E187" s="101">
        <v>117</v>
      </c>
      <c r="F187" s="98">
        <v>31</v>
      </c>
      <c r="G187" s="101">
        <v>117</v>
      </c>
      <c r="H187" s="98">
        <v>31</v>
      </c>
      <c r="I187" s="101">
        <v>117</v>
      </c>
      <c r="J187" s="98">
        <v>31</v>
      </c>
      <c r="K187" s="101">
        <v>117</v>
      </c>
      <c r="L187" s="98">
        <v>31</v>
      </c>
      <c r="M187" s="101">
        <v>117</v>
      </c>
      <c r="N187" s="22" t="s">
        <v>2604</v>
      </c>
      <c r="O187" s="100" t="str">
        <f t="shared" si="32"/>
        <v>龙晶碎片5328/元宝5328000</v>
      </c>
    </row>
    <row r="188" spans="1:15" ht="15.75" x14ac:dyDescent="0.3">
      <c r="A188" s="22" t="s">
        <v>2513</v>
      </c>
      <c r="B188" s="69" t="s">
        <v>2606</v>
      </c>
      <c r="C188" s="22">
        <v>83</v>
      </c>
      <c r="D188" s="98">
        <v>32</v>
      </c>
      <c r="E188" s="101">
        <v>120</v>
      </c>
      <c r="F188" s="98">
        <v>32</v>
      </c>
      <c r="G188" s="101">
        <v>120</v>
      </c>
      <c r="H188" s="98">
        <v>32</v>
      </c>
      <c r="I188" s="101">
        <v>120</v>
      </c>
      <c r="J188" s="98">
        <v>32</v>
      </c>
      <c r="K188" s="101">
        <v>120</v>
      </c>
      <c r="L188" s="98">
        <v>32</v>
      </c>
      <c r="M188" s="101">
        <v>120</v>
      </c>
      <c r="N188" s="22" t="s">
        <v>2604</v>
      </c>
      <c r="O188" s="100" t="str">
        <f t="shared" si="32"/>
        <v>龙晶碎片5328/元宝5328000</v>
      </c>
    </row>
    <row r="189" spans="1:15" ht="15.75" x14ac:dyDescent="0.3">
      <c r="A189" s="22" t="s">
        <v>2513</v>
      </c>
      <c r="B189" s="69" t="s">
        <v>2607</v>
      </c>
      <c r="C189" s="22">
        <v>84</v>
      </c>
      <c r="D189" s="98">
        <v>33</v>
      </c>
      <c r="E189" s="101">
        <v>123</v>
      </c>
      <c r="F189" s="98">
        <v>33</v>
      </c>
      <c r="G189" s="101">
        <v>123</v>
      </c>
      <c r="H189" s="98">
        <v>33</v>
      </c>
      <c r="I189" s="101">
        <v>123</v>
      </c>
      <c r="J189" s="98">
        <v>33</v>
      </c>
      <c r="K189" s="101">
        <v>123</v>
      </c>
      <c r="L189" s="98">
        <v>33</v>
      </c>
      <c r="M189" s="101">
        <v>123</v>
      </c>
      <c r="N189" s="22" t="s">
        <v>2604</v>
      </c>
      <c r="O189" s="100" t="str">
        <f t="shared" si="32"/>
        <v>龙晶碎片5328/元宝5328000</v>
      </c>
    </row>
    <row r="190" spans="1:15" ht="15.75" x14ac:dyDescent="0.3">
      <c r="A190" s="22" t="s">
        <v>2513</v>
      </c>
      <c r="B190" s="69" t="s">
        <v>2608</v>
      </c>
      <c r="C190" s="22">
        <v>85</v>
      </c>
      <c r="D190" s="98">
        <v>34</v>
      </c>
      <c r="E190" s="101">
        <v>126</v>
      </c>
      <c r="F190" s="98">
        <v>34</v>
      </c>
      <c r="G190" s="101">
        <v>126</v>
      </c>
      <c r="H190" s="98">
        <v>34</v>
      </c>
      <c r="I190" s="101">
        <v>126</v>
      </c>
      <c r="J190" s="98">
        <v>34</v>
      </c>
      <c r="K190" s="101">
        <v>126</v>
      </c>
      <c r="L190" s="98">
        <v>34</v>
      </c>
      <c r="M190" s="101">
        <v>126</v>
      </c>
      <c r="N190" s="22" t="s">
        <v>2604</v>
      </c>
      <c r="O190" s="100" t="str">
        <f t="shared" si="32"/>
        <v>龙晶碎片5328/元宝5328000</v>
      </c>
    </row>
    <row r="191" spans="1:15" ht="15.75" x14ac:dyDescent="0.3">
      <c r="A191" s="22" t="s">
        <v>2513</v>
      </c>
      <c r="B191" s="69" t="s">
        <v>2609</v>
      </c>
      <c r="C191" s="22">
        <v>86</v>
      </c>
      <c r="D191" s="98">
        <v>35</v>
      </c>
      <c r="E191" s="101">
        <v>129</v>
      </c>
      <c r="F191" s="98">
        <v>35</v>
      </c>
      <c r="G191" s="101">
        <v>129</v>
      </c>
      <c r="H191" s="98">
        <v>35</v>
      </c>
      <c r="I191" s="101">
        <v>129</v>
      </c>
      <c r="J191" s="98">
        <v>35</v>
      </c>
      <c r="K191" s="101">
        <v>129</v>
      </c>
      <c r="L191" s="98">
        <v>35</v>
      </c>
      <c r="M191" s="101">
        <v>129</v>
      </c>
      <c r="N191" s="22" t="s">
        <v>2604</v>
      </c>
      <c r="O191" s="100" t="str">
        <f t="shared" si="32"/>
        <v>龙晶碎片5328/元宝5328000</v>
      </c>
    </row>
    <row r="192" spans="1:15" ht="15.75" x14ac:dyDescent="0.3">
      <c r="A192" s="22" t="s">
        <v>2513</v>
      </c>
      <c r="B192" s="69" t="s">
        <v>2610</v>
      </c>
      <c r="C192" s="22">
        <v>87</v>
      </c>
      <c r="D192" s="98">
        <v>36</v>
      </c>
      <c r="E192" s="101">
        <v>132</v>
      </c>
      <c r="F192" s="98">
        <v>36</v>
      </c>
      <c r="G192" s="101">
        <v>132</v>
      </c>
      <c r="H192" s="98">
        <v>36</v>
      </c>
      <c r="I192" s="101">
        <v>132</v>
      </c>
      <c r="J192" s="98">
        <v>36</v>
      </c>
      <c r="K192" s="101">
        <v>132</v>
      </c>
      <c r="L192" s="98">
        <v>36</v>
      </c>
      <c r="M192" s="101">
        <v>132</v>
      </c>
      <c r="N192" s="22" t="s">
        <v>2604</v>
      </c>
      <c r="O192" s="100" t="str">
        <f t="shared" si="32"/>
        <v>龙晶碎片5328/元宝5328000</v>
      </c>
    </row>
    <row r="193" spans="1:15" ht="15.75" x14ac:dyDescent="0.3">
      <c r="A193" s="22" t="s">
        <v>2513</v>
      </c>
      <c r="B193" s="69" t="s">
        <v>2611</v>
      </c>
      <c r="C193" s="22">
        <v>88</v>
      </c>
      <c r="D193" s="98">
        <v>37</v>
      </c>
      <c r="E193" s="101">
        <v>135</v>
      </c>
      <c r="F193" s="98">
        <v>37</v>
      </c>
      <c r="G193" s="101">
        <v>135</v>
      </c>
      <c r="H193" s="98">
        <v>37</v>
      </c>
      <c r="I193" s="101">
        <v>135</v>
      </c>
      <c r="J193" s="98">
        <v>37</v>
      </c>
      <c r="K193" s="101">
        <v>135</v>
      </c>
      <c r="L193" s="98">
        <v>37</v>
      </c>
      <c r="M193" s="101">
        <v>135</v>
      </c>
      <c r="N193" s="22" t="s">
        <v>2604</v>
      </c>
      <c r="O193" s="100" t="str">
        <f t="shared" si="32"/>
        <v>龙晶碎片5328/元宝5328000</v>
      </c>
    </row>
    <row r="194" spans="1:15" ht="15.75" x14ac:dyDescent="0.3">
      <c r="A194" s="22" t="s">
        <v>2513</v>
      </c>
      <c r="B194" s="69" t="s">
        <v>2612</v>
      </c>
      <c r="C194" s="22">
        <v>89</v>
      </c>
      <c r="D194" s="98">
        <v>38</v>
      </c>
      <c r="E194" s="101">
        <v>138</v>
      </c>
      <c r="F194" s="98">
        <v>38</v>
      </c>
      <c r="G194" s="101">
        <v>138</v>
      </c>
      <c r="H194" s="98">
        <v>38</v>
      </c>
      <c r="I194" s="101">
        <v>138</v>
      </c>
      <c r="J194" s="98">
        <v>38</v>
      </c>
      <c r="K194" s="101">
        <v>138</v>
      </c>
      <c r="L194" s="98">
        <v>38</v>
      </c>
      <c r="M194" s="101">
        <v>138</v>
      </c>
      <c r="N194" s="22" t="s">
        <v>2604</v>
      </c>
      <c r="O194" s="100" t="str">
        <f t="shared" si="32"/>
        <v>龙晶碎片5328/元宝5328000</v>
      </c>
    </row>
    <row r="195" spans="1:15" ht="15.75" x14ac:dyDescent="0.3">
      <c r="A195" s="22" t="s">
        <v>2513</v>
      </c>
      <c r="B195" s="69" t="s">
        <v>2613</v>
      </c>
      <c r="C195" s="22">
        <v>90</v>
      </c>
      <c r="D195" s="98">
        <v>39</v>
      </c>
      <c r="E195" s="101">
        <v>141</v>
      </c>
      <c r="F195" s="98">
        <v>39</v>
      </c>
      <c r="G195" s="101">
        <v>141</v>
      </c>
      <c r="H195" s="98">
        <v>39</v>
      </c>
      <c r="I195" s="101">
        <v>141</v>
      </c>
      <c r="J195" s="98">
        <v>39</v>
      </c>
      <c r="K195" s="101">
        <v>141</v>
      </c>
      <c r="L195" s="98">
        <v>39</v>
      </c>
      <c r="M195" s="101">
        <v>141</v>
      </c>
      <c r="N195" s="22" t="s">
        <v>2604</v>
      </c>
      <c r="O195" s="100" t="str">
        <f t="shared" si="32"/>
        <v>龙晶碎片5839/元宝5839000</v>
      </c>
    </row>
    <row r="196" spans="1:15" ht="15.75" x14ac:dyDescent="0.3">
      <c r="A196" s="22" t="s">
        <v>2513</v>
      </c>
      <c r="B196" s="69" t="s">
        <v>2614</v>
      </c>
      <c r="C196" s="22">
        <v>91</v>
      </c>
      <c r="D196" s="98">
        <v>40</v>
      </c>
      <c r="E196" s="101">
        <v>143</v>
      </c>
      <c r="F196" s="98">
        <v>40</v>
      </c>
      <c r="G196" s="101">
        <v>143</v>
      </c>
      <c r="H196" s="98">
        <v>40</v>
      </c>
      <c r="I196" s="101">
        <v>143</v>
      </c>
      <c r="J196" s="98">
        <v>40</v>
      </c>
      <c r="K196" s="101">
        <v>143</v>
      </c>
      <c r="L196" s="98">
        <v>40</v>
      </c>
      <c r="M196" s="101">
        <v>143</v>
      </c>
      <c r="N196" s="22" t="s">
        <v>2615</v>
      </c>
      <c r="O196" s="100" t="str">
        <f t="shared" si="32"/>
        <v>龙晶碎片5839/元宝5839000</v>
      </c>
    </row>
    <row r="197" spans="1:15" ht="15.75" x14ac:dyDescent="0.3">
      <c r="A197" s="22" t="s">
        <v>2513</v>
      </c>
      <c r="B197" s="69" t="s">
        <v>2616</v>
      </c>
      <c r="C197" s="22">
        <v>92</v>
      </c>
      <c r="D197" s="98">
        <v>41</v>
      </c>
      <c r="E197" s="101">
        <v>147</v>
      </c>
      <c r="F197" s="98">
        <v>41</v>
      </c>
      <c r="G197" s="101">
        <v>147</v>
      </c>
      <c r="H197" s="98">
        <v>41</v>
      </c>
      <c r="I197" s="101">
        <v>147</v>
      </c>
      <c r="J197" s="98">
        <v>41</v>
      </c>
      <c r="K197" s="101">
        <v>147</v>
      </c>
      <c r="L197" s="98">
        <v>41</v>
      </c>
      <c r="M197" s="101">
        <v>147</v>
      </c>
      <c r="N197" s="22" t="s">
        <v>2615</v>
      </c>
      <c r="O197" s="100" t="str">
        <f t="shared" si="32"/>
        <v>龙晶碎片5839/元宝5839000</v>
      </c>
    </row>
    <row r="198" spans="1:15" ht="15.75" x14ac:dyDescent="0.3">
      <c r="A198" s="22" t="s">
        <v>2513</v>
      </c>
      <c r="B198" s="69" t="s">
        <v>2617</v>
      </c>
      <c r="C198" s="22">
        <v>93</v>
      </c>
      <c r="D198" s="98">
        <v>42</v>
      </c>
      <c r="E198" s="101">
        <v>150</v>
      </c>
      <c r="F198" s="98">
        <v>42</v>
      </c>
      <c r="G198" s="101">
        <v>150</v>
      </c>
      <c r="H198" s="98">
        <v>42</v>
      </c>
      <c r="I198" s="101">
        <v>150</v>
      </c>
      <c r="J198" s="98">
        <v>42</v>
      </c>
      <c r="K198" s="101">
        <v>150</v>
      </c>
      <c r="L198" s="98">
        <v>42</v>
      </c>
      <c r="M198" s="101">
        <v>150</v>
      </c>
      <c r="N198" s="22" t="s">
        <v>2615</v>
      </c>
      <c r="O198" s="100" t="str">
        <f t="shared" si="32"/>
        <v>龙晶碎片5839/元宝5839000</v>
      </c>
    </row>
    <row r="199" spans="1:15" ht="15.75" x14ac:dyDescent="0.3">
      <c r="A199" s="22" t="s">
        <v>2513</v>
      </c>
      <c r="B199" s="69" t="s">
        <v>2618</v>
      </c>
      <c r="C199" s="22">
        <v>94</v>
      </c>
      <c r="D199" s="98">
        <v>43</v>
      </c>
      <c r="E199" s="101">
        <v>153</v>
      </c>
      <c r="F199" s="98">
        <v>43</v>
      </c>
      <c r="G199" s="101">
        <v>153</v>
      </c>
      <c r="H199" s="98">
        <v>43</v>
      </c>
      <c r="I199" s="101">
        <v>153</v>
      </c>
      <c r="J199" s="98">
        <v>43</v>
      </c>
      <c r="K199" s="101">
        <v>153</v>
      </c>
      <c r="L199" s="98">
        <v>43</v>
      </c>
      <c r="M199" s="101">
        <v>153</v>
      </c>
      <c r="N199" s="22" t="s">
        <v>2615</v>
      </c>
      <c r="O199" s="100" t="str">
        <f t="shared" si="32"/>
        <v>龙晶碎片5839/元宝5839000</v>
      </c>
    </row>
    <row r="200" spans="1:15" ht="15.75" x14ac:dyDescent="0.3">
      <c r="A200" s="22" t="s">
        <v>2513</v>
      </c>
      <c r="B200" s="69" t="s">
        <v>2619</v>
      </c>
      <c r="C200" s="22">
        <v>95</v>
      </c>
      <c r="D200" s="98">
        <v>44</v>
      </c>
      <c r="E200" s="101">
        <v>156</v>
      </c>
      <c r="F200" s="98">
        <v>44</v>
      </c>
      <c r="G200" s="101">
        <v>156</v>
      </c>
      <c r="H200" s="98">
        <v>44</v>
      </c>
      <c r="I200" s="101">
        <v>156</v>
      </c>
      <c r="J200" s="98">
        <v>44</v>
      </c>
      <c r="K200" s="101">
        <v>156</v>
      </c>
      <c r="L200" s="98">
        <v>44</v>
      </c>
      <c r="M200" s="101">
        <v>156</v>
      </c>
      <c r="N200" s="22" t="s">
        <v>2615</v>
      </c>
      <c r="O200" s="100" t="str">
        <f t="shared" si="32"/>
        <v>龙晶碎片5839/元宝5839000</v>
      </c>
    </row>
    <row r="201" spans="1:15" ht="15.75" x14ac:dyDescent="0.3">
      <c r="A201" s="22" t="s">
        <v>2513</v>
      </c>
      <c r="B201" s="69" t="s">
        <v>2620</v>
      </c>
      <c r="C201" s="22">
        <v>96</v>
      </c>
      <c r="D201" s="98">
        <v>45</v>
      </c>
      <c r="E201" s="101">
        <v>159</v>
      </c>
      <c r="F201" s="98">
        <v>45</v>
      </c>
      <c r="G201" s="101">
        <v>159</v>
      </c>
      <c r="H201" s="98">
        <v>45</v>
      </c>
      <c r="I201" s="101">
        <v>159</v>
      </c>
      <c r="J201" s="98">
        <v>45</v>
      </c>
      <c r="K201" s="101">
        <v>159</v>
      </c>
      <c r="L201" s="98">
        <v>45</v>
      </c>
      <c r="M201" s="101">
        <v>159</v>
      </c>
      <c r="N201" s="22" t="s">
        <v>2615</v>
      </c>
      <c r="O201" s="100" t="str">
        <f t="shared" si="32"/>
        <v>龙晶碎片5839/元宝5839000</v>
      </c>
    </row>
    <row r="202" spans="1:15" ht="15.75" x14ac:dyDescent="0.3">
      <c r="A202" s="22" t="s">
        <v>2513</v>
      </c>
      <c r="B202" s="69" t="s">
        <v>2621</v>
      </c>
      <c r="C202" s="22">
        <v>97</v>
      </c>
      <c r="D202" s="98">
        <v>46</v>
      </c>
      <c r="E202" s="101">
        <v>162</v>
      </c>
      <c r="F202" s="98">
        <v>46</v>
      </c>
      <c r="G202" s="101">
        <v>162</v>
      </c>
      <c r="H202" s="98">
        <v>46</v>
      </c>
      <c r="I202" s="101">
        <v>162</v>
      </c>
      <c r="J202" s="98">
        <v>46</v>
      </c>
      <c r="K202" s="101">
        <v>162</v>
      </c>
      <c r="L202" s="98">
        <v>46</v>
      </c>
      <c r="M202" s="101">
        <v>162</v>
      </c>
      <c r="N202" s="22" t="s">
        <v>2615</v>
      </c>
      <c r="O202" s="100" t="str">
        <f t="shared" si="32"/>
        <v>龙晶碎片5839/元宝5839000</v>
      </c>
    </row>
    <row r="203" spans="1:15" ht="15.75" x14ac:dyDescent="0.3">
      <c r="A203" s="22" t="s">
        <v>2513</v>
      </c>
      <c r="B203" s="69" t="s">
        <v>2622</v>
      </c>
      <c r="C203" s="22">
        <v>98</v>
      </c>
      <c r="D203" s="98">
        <v>47</v>
      </c>
      <c r="E203" s="101">
        <v>165</v>
      </c>
      <c r="F203" s="98">
        <v>47</v>
      </c>
      <c r="G203" s="101">
        <v>165</v>
      </c>
      <c r="H203" s="98">
        <v>47</v>
      </c>
      <c r="I203" s="101">
        <v>165</v>
      </c>
      <c r="J203" s="98">
        <v>47</v>
      </c>
      <c r="K203" s="101">
        <v>165</v>
      </c>
      <c r="L203" s="98">
        <v>47</v>
      </c>
      <c r="M203" s="101">
        <v>165</v>
      </c>
      <c r="N203" s="22" t="s">
        <v>2615</v>
      </c>
      <c r="O203" s="100" t="str">
        <f t="shared" si="32"/>
        <v>龙晶碎片5839/元宝5839000</v>
      </c>
    </row>
    <row r="204" spans="1:15" ht="15.75" x14ac:dyDescent="0.3">
      <c r="A204" s="22" t="s">
        <v>2513</v>
      </c>
      <c r="B204" s="69" t="s">
        <v>2623</v>
      </c>
      <c r="C204" s="22">
        <v>99</v>
      </c>
      <c r="D204" s="98">
        <v>48</v>
      </c>
      <c r="E204" s="101">
        <v>168</v>
      </c>
      <c r="F204" s="98">
        <v>48</v>
      </c>
      <c r="G204" s="101">
        <v>168</v>
      </c>
      <c r="H204" s="98">
        <v>48</v>
      </c>
      <c r="I204" s="101">
        <v>168</v>
      </c>
      <c r="J204" s="98">
        <v>48</v>
      </c>
      <c r="K204" s="101">
        <v>168</v>
      </c>
      <c r="L204" s="98">
        <v>48</v>
      </c>
      <c r="M204" s="101">
        <v>168</v>
      </c>
      <c r="N204" s="22" t="s">
        <v>2615</v>
      </c>
      <c r="O204" s="100" t="str">
        <f t="shared" si="32"/>
        <v>龙晶碎片5839/元宝5839000</v>
      </c>
    </row>
    <row r="205" spans="1:15" ht="15.75" x14ac:dyDescent="0.3">
      <c r="A205" s="22" t="s">
        <v>2513</v>
      </c>
      <c r="B205" s="69" t="s">
        <v>2624</v>
      </c>
      <c r="C205" s="22">
        <v>100</v>
      </c>
      <c r="D205" s="98">
        <v>50</v>
      </c>
      <c r="E205" s="102">
        <v>168</v>
      </c>
      <c r="F205" s="98">
        <v>50</v>
      </c>
      <c r="G205" s="102">
        <v>168</v>
      </c>
      <c r="H205" s="98">
        <v>50</v>
      </c>
      <c r="I205" s="102">
        <v>168</v>
      </c>
      <c r="J205" s="98">
        <v>50</v>
      </c>
      <c r="K205" s="102">
        <v>168</v>
      </c>
      <c r="L205" s="98">
        <v>50</v>
      </c>
      <c r="M205" s="102">
        <v>168</v>
      </c>
      <c r="N205" s="22" t="s">
        <v>2615</v>
      </c>
      <c r="O205" s="22"/>
    </row>
    <row r="206" spans="1:15" ht="15.75" x14ac:dyDescent="0.3">
      <c r="A206" s="22" t="s">
        <v>2625</v>
      </c>
      <c r="B206" s="23" t="s">
        <v>2626</v>
      </c>
      <c r="C206" s="22">
        <v>0</v>
      </c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22"/>
      <c r="O206" s="100" t="str">
        <f>"龙晶碎片"&amp;Z4&amp;"/元宝"&amp;AA4</f>
        <v>龙晶碎片6/元宝6000</v>
      </c>
    </row>
    <row r="207" spans="1:15" ht="15.75" x14ac:dyDescent="0.3">
      <c r="A207" s="22" t="s">
        <v>2625</v>
      </c>
      <c r="B207" s="23" t="s">
        <v>2627</v>
      </c>
      <c r="C207" s="22">
        <v>1</v>
      </c>
      <c r="D207" s="101"/>
      <c r="E207" s="101"/>
      <c r="F207" s="101"/>
      <c r="G207" s="101"/>
      <c r="H207" s="101"/>
      <c r="I207" s="101"/>
      <c r="J207" s="98">
        <v>1</v>
      </c>
      <c r="K207" s="101">
        <v>2</v>
      </c>
      <c r="L207" s="98">
        <v>1</v>
      </c>
      <c r="M207" s="101">
        <v>2</v>
      </c>
      <c r="N207" s="22" t="s">
        <v>2628</v>
      </c>
      <c r="O207" s="100" t="str">
        <f t="shared" ref="O207:O270" si="33">"龙晶碎片"&amp;Z5&amp;"/元宝"&amp;AA5</f>
        <v>龙晶碎片6/元宝6000</v>
      </c>
    </row>
    <row r="208" spans="1:15" ht="15.75" x14ac:dyDescent="0.3">
      <c r="A208" s="22" t="s">
        <v>2625</v>
      </c>
      <c r="B208" s="23" t="s">
        <v>2629</v>
      </c>
      <c r="C208" s="22">
        <v>2</v>
      </c>
      <c r="D208" s="101"/>
      <c r="E208" s="101"/>
      <c r="F208" s="101"/>
      <c r="G208" s="101"/>
      <c r="H208" s="101"/>
      <c r="I208" s="101"/>
      <c r="J208" s="98">
        <v>1</v>
      </c>
      <c r="K208" s="101">
        <v>3</v>
      </c>
      <c r="L208" s="98">
        <v>1</v>
      </c>
      <c r="M208" s="101">
        <v>3</v>
      </c>
      <c r="N208" s="22" t="s">
        <v>2628</v>
      </c>
      <c r="O208" s="100" t="str">
        <f t="shared" si="33"/>
        <v>龙晶碎片6/元宝6000</v>
      </c>
    </row>
    <row r="209" spans="1:15" ht="15.75" x14ac:dyDescent="0.3">
      <c r="A209" s="22" t="s">
        <v>2625</v>
      </c>
      <c r="B209" s="23" t="s">
        <v>2630</v>
      </c>
      <c r="C209" s="22">
        <v>3</v>
      </c>
      <c r="D209" s="101"/>
      <c r="E209" s="101"/>
      <c r="F209" s="101"/>
      <c r="G209" s="101"/>
      <c r="H209" s="101"/>
      <c r="I209" s="101"/>
      <c r="J209" s="98">
        <v>1</v>
      </c>
      <c r="K209" s="101">
        <v>4</v>
      </c>
      <c r="L209" s="98">
        <v>1</v>
      </c>
      <c r="M209" s="101">
        <v>4</v>
      </c>
      <c r="N209" s="22" t="s">
        <v>2628</v>
      </c>
      <c r="O209" s="100" t="str">
        <f t="shared" si="33"/>
        <v>龙晶碎片6/元宝6000</v>
      </c>
    </row>
    <row r="210" spans="1:15" ht="15.75" x14ac:dyDescent="0.3">
      <c r="A210" s="22" t="s">
        <v>2625</v>
      </c>
      <c r="B210" s="23" t="s">
        <v>2631</v>
      </c>
      <c r="C210" s="22">
        <v>4</v>
      </c>
      <c r="D210" s="101"/>
      <c r="E210" s="101"/>
      <c r="F210" s="101"/>
      <c r="G210" s="101"/>
      <c r="H210" s="101"/>
      <c r="I210" s="101"/>
      <c r="J210" s="98">
        <v>1</v>
      </c>
      <c r="K210" s="101">
        <v>5</v>
      </c>
      <c r="L210" s="98">
        <v>1</v>
      </c>
      <c r="M210" s="101">
        <v>5</v>
      </c>
      <c r="N210" s="22" t="s">
        <v>2628</v>
      </c>
      <c r="O210" s="100" t="str">
        <f t="shared" si="33"/>
        <v>龙晶碎片6/元宝6000</v>
      </c>
    </row>
    <row r="211" spans="1:15" ht="15.75" x14ac:dyDescent="0.3">
      <c r="A211" s="22" t="s">
        <v>2625</v>
      </c>
      <c r="B211" s="23" t="s">
        <v>2632</v>
      </c>
      <c r="C211" s="22">
        <v>5</v>
      </c>
      <c r="D211" s="101"/>
      <c r="E211" s="101"/>
      <c r="F211" s="101"/>
      <c r="G211" s="101"/>
      <c r="H211" s="101"/>
      <c r="I211" s="101"/>
      <c r="J211" s="98">
        <v>2</v>
      </c>
      <c r="K211" s="101">
        <v>6</v>
      </c>
      <c r="L211" s="98">
        <v>2</v>
      </c>
      <c r="M211" s="101">
        <v>6</v>
      </c>
      <c r="N211" s="22" t="s">
        <v>2628</v>
      </c>
      <c r="O211" s="100" t="str">
        <f t="shared" si="33"/>
        <v>龙晶碎片6/元宝6000</v>
      </c>
    </row>
    <row r="212" spans="1:15" ht="15.75" x14ac:dyDescent="0.3">
      <c r="A212" s="22" t="s">
        <v>2625</v>
      </c>
      <c r="B212" s="23" t="s">
        <v>2633</v>
      </c>
      <c r="C212" s="22">
        <v>6</v>
      </c>
      <c r="D212" s="101"/>
      <c r="E212" s="101"/>
      <c r="F212" s="101"/>
      <c r="G212" s="101"/>
      <c r="H212" s="101"/>
      <c r="I212" s="101"/>
      <c r="J212" s="98">
        <v>2</v>
      </c>
      <c r="K212" s="101">
        <v>7</v>
      </c>
      <c r="L212" s="98">
        <v>2</v>
      </c>
      <c r="M212" s="101">
        <v>7</v>
      </c>
      <c r="N212" s="22" t="s">
        <v>2628</v>
      </c>
      <c r="O212" s="100" t="str">
        <f t="shared" si="33"/>
        <v>龙晶碎片6/元宝6000</v>
      </c>
    </row>
    <row r="213" spans="1:15" ht="15.75" x14ac:dyDescent="0.3">
      <c r="A213" s="22" t="s">
        <v>2625</v>
      </c>
      <c r="B213" s="23" t="s">
        <v>2634</v>
      </c>
      <c r="C213" s="22">
        <v>7</v>
      </c>
      <c r="D213" s="101"/>
      <c r="E213" s="101"/>
      <c r="F213" s="101"/>
      <c r="G213" s="101"/>
      <c r="H213" s="101"/>
      <c r="I213" s="101"/>
      <c r="J213" s="98">
        <v>2</v>
      </c>
      <c r="K213" s="101">
        <v>8</v>
      </c>
      <c r="L213" s="98">
        <v>2</v>
      </c>
      <c r="M213" s="101">
        <v>8</v>
      </c>
      <c r="N213" s="22" t="s">
        <v>2628</v>
      </c>
      <c r="O213" s="100" t="str">
        <f t="shared" si="33"/>
        <v>龙晶碎片6/元宝6000</v>
      </c>
    </row>
    <row r="214" spans="1:15" ht="15.75" x14ac:dyDescent="0.3">
      <c r="A214" s="22" t="s">
        <v>2625</v>
      </c>
      <c r="B214" s="23" t="s">
        <v>2635</v>
      </c>
      <c r="C214" s="22">
        <v>8</v>
      </c>
      <c r="D214" s="101"/>
      <c r="E214" s="101"/>
      <c r="F214" s="101"/>
      <c r="G214" s="101"/>
      <c r="H214" s="101"/>
      <c r="I214" s="101"/>
      <c r="J214" s="98">
        <v>3</v>
      </c>
      <c r="K214" s="101">
        <v>9</v>
      </c>
      <c r="L214" s="98">
        <v>3</v>
      </c>
      <c r="M214" s="101">
        <v>9</v>
      </c>
      <c r="N214" s="22" t="s">
        <v>2628</v>
      </c>
      <c r="O214" s="100" t="str">
        <f t="shared" si="33"/>
        <v>龙晶碎片6/元宝6000</v>
      </c>
    </row>
    <row r="215" spans="1:15" ht="15.75" x14ac:dyDescent="0.3">
      <c r="A215" s="22" t="s">
        <v>2625</v>
      </c>
      <c r="B215" s="23" t="s">
        <v>2636</v>
      </c>
      <c r="C215" s="22">
        <v>9</v>
      </c>
      <c r="D215" s="101"/>
      <c r="E215" s="101"/>
      <c r="F215" s="101"/>
      <c r="G215" s="101"/>
      <c r="H215" s="101"/>
      <c r="I215" s="101"/>
      <c r="J215" s="98">
        <v>3</v>
      </c>
      <c r="K215" s="101">
        <v>10</v>
      </c>
      <c r="L215" s="98">
        <v>3</v>
      </c>
      <c r="M215" s="101">
        <v>10</v>
      </c>
      <c r="N215" s="22" t="s">
        <v>2628</v>
      </c>
      <c r="O215" s="100" t="str">
        <f t="shared" si="33"/>
        <v>龙晶碎片6/元宝6000</v>
      </c>
    </row>
    <row r="216" spans="1:15" ht="15.75" x14ac:dyDescent="0.3">
      <c r="A216" s="22" t="s">
        <v>2625</v>
      </c>
      <c r="B216" s="23" t="s">
        <v>2637</v>
      </c>
      <c r="C216" s="22">
        <v>10</v>
      </c>
      <c r="D216" s="101"/>
      <c r="E216" s="101"/>
      <c r="F216" s="101"/>
      <c r="G216" s="101"/>
      <c r="H216" s="101"/>
      <c r="I216" s="101"/>
      <c r="J216" s="98">
        <v>3</v>
      </c>
      <c r="K216" s="101">
        <v>11</v>
      </c>
      <c r="L216" s="98">
        <v>3</v>
      </c>
      <c r="M216" s="101">
        <v>11</v>
      </c>
      <c r="N216" s="22" t="s">
        <v>2628</v>
      </c>
      <c r="O216" s="100" t="str">
        <f t="shared" si="33"/>
        <v>龙晶碎片10/元宝10000</v>
      </c>
    </row>
    <row r="217" spans="1:15" ht="15.75" x14ac:dyDescent="0.3">
      <c r="A217" s="22" t="s">
        <v>2625</v>
      </c>
      <c r="B217" s="23" t="s">
        <v>2638</v>
      </c>
      <c r="C217" s="22">
        <v>11</v>
      </c>
      <c r="D217" s="101"/>
      <c r="E217" s="101"/>
      <c r="F217" s="101"/>
      <c r="G217" s="101"/>
      <c r="H217" s="101"/>
      <c r="I217" s="101"/>
      <c r="J217" s="98">
        <v>4</v>
      </c>
      <c r="K217" s="101">
        <v>12</v>
      </c>
      <c r="L217" s="98">
        <v>4</v>
      </c>
      <c r="M217" s="101">
        <v>12</v>
      </c>
      <c r="N217" s="22" t="s">
        <v>2639</v>
      </c>
      <c r="O217" s="100" t="str">
        <f t="shared" si="33"/>
        <v>龙晶碎片10/元宝10000</v>
      </c>
    </row>
    <row r="218" spans="1:15" ht="15.75" x14ac:dyDescent="0.3">
      <c r="A218" s="22" t="s">
        <v>2625</v>
      </c>
      <c r="B218" s="23" t="s">
        <v>2640</v>
      </c>
      <c r="C218" s="22">
        <v>12</v>
      </c>
      <c r="D218" s="101"/>
      <c r="E218" s="101"/>
      <c r="F218" s="101"/>
      <c r="G218" s="101"/>
      <c r="H218" s="101"/>
      <c r="I218" s="101"/>
      <c r="J218" s="98">
        <v>4</v>
      </c>
      <c r="K218" s="101">
        <v>13</v>
      </c>
      <c r="L218" s="98">
        <v>4</v>
      </c>
      <c r="M218" s="101">
        <v>13</v>
      </c>
      <c r="N218" s="22" t="s">
        <v>2639</v>
      </c>
      <c r="O218" s="100" t="str">
        <f t="shared" si="33"/>
        <v>龙晶碎片10/元宝10000</v>
      </c>
    </row>
    <row r="219" spans="1:15" ht="15.75" x14ac:dyDescent="0.3">
      <c r="A219" s="22" t="s">
        <v>2625</v>
      </c>
      <c r="B219" s="23" t="s">
        <v>2641</v>
      </c>
      <c r="C219" s="22">
        <v>13</v>
      </c>
      <c r="D219" s="101"/>
      <c r="E219" s="101"/>
      <c r="F219" s="101"/>
      <c r="G219" s="101"/>
      <c r="H219" s="101"/>
      <c r="I219" s="101"/>
      <c r="J219" s="98">
        <v>4</v>
      </c>
      <c r="K219" s="101">
        <v>14</v>
      </c>
      <c r="L219" s="98">
        <v>4</v>
      </c>
      <c r="M219" s="101">
        <v>14</v>
      </c>
      <c r="N219" s="22" t="s">
        <v>2639</v>
      </c>
      <c r="O219" s="100" t="str">
        <f t="shared" si="33"/>
        <v>龙晶碎片10/元宝10000</v>
      </c>
    </row>
    <row r="220" spans="1:15" ht="15.75" x14ac:dyDescent="0.3">
      <c r="A220" s="22" t="s">
        <v>2625</v>
      </c>
      <c r="B220" s="23" t="s">
        <v>2642</v>
      </c>
      <c r="C220" s="22">
        <v>14</v>
      </c>
      <c r="D220" s="101"/>
      <c r="E220" s="101"/>
      <c r="F220" s="101"/>
      <c r="G220" s="101"/>
      <c r="H220" s="101"/>
      <c r="I220" s="101"/>
      <c r="J220" s="98">
        <v>4</v>
      </c>
      <c r="K220" s="101">
        <v>15</v>
      </c>
      <c r="L220" s="98">
        <v>4</v>
      </c>
      <c r="M220" s="101">
        <v>15</v>
      </c>
      <c r="N220" s="22" t="s">
        <v>2639</v>
      </c>
      <c r="O220" s="100" t="str">
        <f t="shared" si="33"/>
        <v>龙晶碎片10/元宝10000</v>
      </c>
    </row>
    <row r="221" spans="1:15" ht="15.75" x14ac:dyDescent="0.3">
      <c r="A221" s="22" t="s">
        <v>2625</v>
      </c>
      <c r="B221" s="23" t="s">
        <v>2643</v>
      </c>
      <c r="C221" s="22">
        <v>15</v>
      </c>
      <c r="D221" s="101"/>
      <c r="E221" s="101"/>
      <c r="F221" s="101"/>
      <c r="G221" s="101"/>
      <c r="H221" s="101"/>
      <c r="I221" s="101"/>
      <c r="J221" s="98">
        <v>5</v>
      </c>
      <c r="K221" s="101">
        <v>16</v>
      </c>
      <c r="L221" s="98">
        <v>5</v>
      </c>
      <c r="M221" s="101">
        <v>16</v>
      </c>
      <c r="N221" s="22" t="s">
        <v>2639</v>
      </c>
      <c r="O221" s="100" t="str">
        <f t="shared" si="33"/>
        <v>龙晶碎片10/元宝10000</v>
      </c>
    </row>
    <row r="222" spans="1:15" ht="15.75" x14ac:dyDescent="0.3">
      <c r="A222" s="22" t="s">
        <v>2625</v>
      </c>
      <c r="B222" s="23" t="s">
        <v>2644</v>
      </c>
      <c r="C222" s="22">
        <v>16</v>
      </c>
      <c r="D222" s="101"/>
      <c r="E222" s="101"/>
      <c r="F222" s="101"/>
      <c r="G222" s="101"/>
      <c r="H222" s="101"/>
      <c r="I222" s="101"/>
      <c r="J222" s="98">
        <v>5</v>
      </c>
      <c r="K222" s="101">
        <v>17</v>
      </c>
      <c r="L222" s="98">
        <v>5</v>
      </c>
      <c r="M222" s="101">
        <v>17</v>
      </c>
      <c r="N222" s="22" t="s">
        <v>2639</v>
      </c>
      <c r="O222" s="100" t="str">
        <f t="shared" si="33"/>
        <v>龙晶碎片10/元宝10000</v>
      </c>
    </row>
    <row r="223" spans="1:15" ht="15.75" x14ac:dyDescent="0.3">
      <c r="A223" s="22" t="s">
        <v>2625</v>
      </c>
      <c r="B223" s="23" t="s">
        <v>2645</v>
      </c>
      <c r="C223" s="22">
        <v>17</v>
      </c>
      <c r="D223" s="101"/>
      <c r="E223" s="101"/>
      <c r="F223" s="101"/>
      <c r="G223" s="101"/>
      <c r="H223" s="101"/>
      <c r="I223" s="101"/>
      <c r="J223" s="98">
        <v>5</v>
      </c>
      <c r="K223" s="101">
        <v>18</v>
      </c>
      <c r="L223" s="98">
        <v>5</v>
      </c>
      <c r="M223" s="101">
        <v>18</v>
      </c>
      <c r="N223" s="22" t="s">
        <v>2639</v>
      </c>
      <c r="O223" s="100" t="str">
        <f t="shared" si="33"/>
        <v>龙晶碎片10/元宝10000</v>
      </c>
    </row>
    <row r="224" spans="1:15" ht="15.75" x14ac:dyDescent="0.3">
      <c r="A224" s="22" t="s">
        <v>2625</v>
      </c>
      <c r="B224" s="23" t="s">
        <v>2646</v>
      </c>
      <c r="C224" s="22">
        <v>18</v>
      </c>
      <c r="D224" s="101"/>
      <c r="E224" s="101"/>
      <c r="F224" s="101"/>
      <c r="G224" s="101"/>
      <c r="H224" s="101"/>
      <c r="I224" s="101"/>
      <c r="J224" s="98">
        <v>6</v>
      </c>
      <c r="K224" s="101">
        <v>19</v>
      </c>
      <c r="L224" s="98">
        <v>6</v>
      </c>
      <c r="M224" s="101">
        <v>19</v>
      </c>
      <c r="N224" s="22" t="s">
        <v>2639</v>
      </c>
      <c r="O224" s="100" t="str">
        <f t="shared" si="33"/>
        <v>龙晶碎片10/元宝10000</v>
      </c>
    </row>
    <row r="225" spans="1:15" ht="15.75" x14ac:dyDescent="0.3">
      <c r="A225" s="22" t="s">
        <v>2625</v>
      </c>
      <c r="B225" s="23" t="s">
        <v>2647</v>
      </c>
      <c r="C225" s="22">
        <v>19</v>
      </c>
      <c r="D225" s="101"/>
      <c r="E225" s="101"/>
      <c r="F225" s="101"/>
      <c r="G225" s="101"/>
      <c r="H225" s="101"/>
      <c r="I225" s="101"/>
      <c r="J225" s="98">
        <v>6</v>
      </c>
      <c r="K225" s="101">
        <v>20</v>
      </c>
      <c r="L225" s="98">
        <v>6</v>
      </c>
      <c r="M225" s="101">
        <v>20</v>
      </c>
      <c r="N225" s="22" t="s">
        <v>2639</v>
      </c>
      <c r="O225" s="100" t="str">
        <f t="shared" si="33"/>
        <v>龙晶碎片10/元宝10000</v>
      </c>
    </row>
    <row r="226" spans="1:15" ht="15.75" x14ac:dyDescent="0.3">
      <c r="A226" s="22" t="s">
        <v>2625</v>
      </c>
      <c r="B226" s="23" t="s">
        <v>2648</v>
      </c>
      <c r="C226" s="22">
        <v>20</v>
      </c>
      <c r="D226" s="101"/>
      <c r="E226" s="101"/>
      <c r="F226" s="101"/>
      <c r="G226" s="101"/>
      <c r="H226" s="101"/>
      <c r="I226" s="101"/>
      <c r="J226" s="98">
        <v>6</v>
      </c>
      <c r="K226" s="101">
        <v>21</v>
      </c>
      <c r="L226" s="98">
        <v>6</v>
      </c>
      <c r="M226" s="101">
        <v>21</v>
      </c>
      <c r="N226" s="22" t="s">
        <v>2639</v>
      </c>
      <c r="O226" s="100" t="str">
        <f t="shared" si="33"/>
        <v>龙晶碎片26/元宝26000</v>
      </c>
    </row>
    <row r="227" spans="1:15" ht="15.75" x14ac:dyDescent="0.3">
      <c r="A227" s="22" t="s">
        <v>2625</v>
      </c>
      <c r="B227" s="23" t="s">
        <v>2649</v>
      </c>
      <c r="C227" s="22">
        <v>21</v>
      </c>
      <c r="D227" s="101"/>
      <c r="E227" s="101"/>
      <c r="F227" s="101"/>
      <c r="G227" s="101"/>
      <c r="H227" s="101"/>
      <c r="I227" s="101"/>
      <c r="J227" s="98">
        <v>7</v>
      </c>
      <c r="K227" s="101">
        <v>21</v>
      </c>
      <c r="L227" s="98">
        <v>7</v>
      </c>
      <c r="M227" s="101">
        <v>21</v>
      </c>
      <c r="N227" s="22" t="s">
        <v>2650</v>
      </c>
      <c r="O227" s="100" t="str">
        <f t="shared" si="33"/>
        <v>龙晶碎片26/元宝26000</v>
      </c>
    </row>
    <row r="228" spans="1:15" ht="15.75" x14ac:dyDescent="0.3">
      <c r="A228" s="22" t="s">
        <v>2625</v>
      </c>
      <c r="B228" s="23" t="s">
        <v>2651</v>
      </c>
      <c r="C228" s="22">
        <v>22</v>
      </c>
      <c r="D228" s="101"/>
      <c r="E228" s="101"/>
      <c r="F228" s="101"/>
      <c r="G228" s="101"/>
      <c r="H228" s="101"/>
      <c r="I228" s="101"/>
      <c r="J228" s="98">
        <v>7</v>
      </c>
      <c r="K228" s="101">
        <v>23</v>
      </c>
      <c r="L228" s="98">
        <v>7</v>
      </c>
      <c r="M228" s="101">
        <v>23</v>
      </c>
      <c r="N228" s="22" t="s">
        <v>2650</v>
      </c>
      <c r="O228" s="100" t="str">
        <f t="shared" si="33"/>
        <v>龙晶碎片26/元宝26000</v>
      </c>
    </row>
    <row r="229" spans="1:15" ht="15.75" x14ac:dyDescent="0.3">
      <c r="A229" s="22" t="s">
        <v>2625</v>
      </c>
      <c r="B229" s="23" t="s">
        <v>2652</v>
      </c>
      <c r="C229" s="22">
        <v>23</v>
      </c>
      <c r="D229" s="101"/>
      <c r="E229" s="101"/>
      <c r="F229" s="101"/>
      <c r="G229" s="101"/>
      <c r="H229" s="101"/>
      <c r="I229" s="101"/>
      <c r="J229" s="98">
        <v>7</v>
      </c>
      <c r="K229" s="101">
        <v>24</v>
      </c>
      <c r="L229" s="98">
        <v>7</v>
      </c>
      <c r="M229" s="101">
        <v>24</v>
      </c>
      <c r="N229" s="22" t="s">
        <v>2650</v>
      </c>
      <c r="O229" s="100" t="str">
        <f t="shared" si="33"/>
        <v>龙晶碎片26/元宝26000</v>
      </c>
    </row>
    <row r="230" spans="1:15" ht="15.75" x14ac:dyDescent="0.3">
      <c r="A230" s="22" t="s">
        <v>2625</v>
      </c>
      <c r="B230" s="23" t="s">
        <v>2653</v>
      </c>
      <c r="C230" s="22">
        <v>24</v>
      </c>
      <c r="D230" s="101"/>
      <c r="E230" s="101"/>
      <c r="F230" s="101"/>
      <c r="G230" s="101"/>
      <c r="H230" s="101"/>
      <c r="I230" s="101"/>
      <c r="J230" s="98">
        <v>7</v>
      </c>
      <c r="K230" s="101">
        <v>25</v>
      </c>
      <c r="L230" s="98">
        <v>7</v>
      </c>
      <c r="M230" s="101">
        <v>25</v>
      </c>
      <c r="N230" s="22" t="s">
        <v>2650</v>
      </c>
      <c r="O230" s="100" t="str">
        <f t="shared" si="33"/>
        <v>龙晶碎片26/元宝26000</v>
      </c>
    </row>
    <row r="231" spans="1:15" ht="15.75" x14ac:dyDescent="0.3">
      <c r="A231" s="22" t="s">
        <v>2625</v>
      </c>
      <c r="B231" s="23" t="s">
        <v>2654</v>
      </c>
      <c r="C231" s="22">
        <v>25</v>
      </c>
      <c r="D231" s="101"/>
      <c r="E231" s="101"/>
      <c r="F231" s="101"/>
      <c r="G231" s="101"/>
      <c r="H231" s="101"/>
      <c r="I231" s="101"/>
      <c r="J231" s="98">
        <v>8</v>
      </c>
      <c r="K231" s="101">
        <v>26</v>
      </c>
      <c r="L231" s="98">
        <v>8</v>
      </c>
      <c r="M231" s="101">
        <v>26</v>
      </c>
      <c r="N231" s="22" t="s">
        <v>2650</v>
      </c>
      <c r="O231" s="100" t="str">
        <f t="shared" si="33"/>
        <v>龙晶碎片26/元宝26000</v>
      </c>
    </row>
    <row r="232" spans="1:15" ht="15.75" x14ac:dyDescent="0.3">
      <c r="A232" s="22" t="s">
        <v>2625</v>
      </c>
      <c r="B232" s="23" t="s">
        <v>2655</v>
      </c>
      <c r="C232" s="22">
        <v>26</v>
      </c>
      <c r="D232" s="101"/>
      <c r="E232" s="101"/>
      <c r="F232" s="101"/>
      <c r="G232" s="101"/>
      <c r="H232" s="101"/>
      <c r="I232" s="101"/>
      <c r="J232" s="98">
        <v>8</v>
      </c>
      <c r="K232" s="101">
        <v>27</v>
      </c>
      <c r="L232" s="98">
        <v>8</v>
      </c>
      <c r="M232" s="101">
        <v>27</v>
      </c>
      <c r="N232" s="22" t="s">
        <v>2650</v>
      </c>
      <c r="O232" s="100" t="str">
        <f t="shared" si="33"/>
        <v>龙晶碎片26/元宝26000</v>
      </c>
    </row>
    <row r="233" spans="1:15" ht="15.75" x14ac:dyDescent="0.3">
      <c r="A233" s="22" t="s">
        <v>2625</v>
      </c>
      <c r="B233" s="23" t="s">
        <v>2656</v>
      </c>
      <c r="C233" s="22">
        <v>27</v>
      </c>
      <c r="D233" s="101"/>
      <c r="E233" s="101"/>
      <c r="F233" s="101"/>
      <c r="G233" s="101"/>
      <c r="H233" s="101"/>
      <c r="I233" s="101"/>
      <c r="J233" s="98">
        <v>8</v>
      </c>
      <c r="K233" s="101">
        <v>28</v>
      </c>
      <c r="L233" s="98">
        <v>8</v>
      </c>
      <c r="M233" s="101">
        <v>28</v>
      </c>
      <c r="N233" s="22" t="s">
        <v>2650</v>
      </c>
      <c r="O233" s="100" t="str">
        <f t="shared" si="33"/>
        <v>龙晶碎片26/元宝26000</v>
      </c>
    </row>
    <row r="234" spans="1:15" ht="15.75" x14ac:dyDescent="0.3">
      <c r="A234" s="22" t="s">
        <v>2625</v>
      </c>
      <c r="B234" s="23" t="s">
        <v>2657</v>
      </c>
      <c r="C234" s="22">
        <v>28</v>
      </c>
      <c r="D234" s="101"/>
      <c r="E234" s="101"/>
      <c r="F234" s="101"/>
      <c r="G234" s="101"/>
      <c r="H234" s="101"/>
      <c r="I234" s="101"/>
      <c r="J234" s="98">
        <v>9</v>
      </c>
      <c r="K234" s="101">
        <v>29</v>
      </c>
      <c r="L234" s="98">
        <v>9</v>
      </c>
      <c r="M234" s="101">
        <v>29</v>
      </c>
      <c r="N234" s="22" t="s">
        <v>2650</v>
      </c>
      <c r="O234" s="100" t="str">
        <f t="shared" si="33"/>
        <v>龙晶碎片26/元宝26000</v>
      </c>
    </row>
    <row r="235" spans="1:15" ht="15.75" x14ac:dyDescent="0.3">
      <c r="A235" s="22" t="s">
        <v>2625</v>
      </c>
      <c r="B235" s="23" t="s">
        <v>2658</v>
      </c>
      <c r="C235" s="22">
        <v>29</v>
      </c>
      <c r="D235" s="101"/>
      <c r="E235" s="101"/>
      <c r="F235" s="101"/>
      <c r="G235" s="101"/>
      <c r="H235" s="101"/>
      <c r="I235" s="101"/>
      <c r="J235" s="98">
        <v>9</v>
      </c>
      <c r="K235" s="101">
        <v>30</v>
      </c>
      <c r="L235" s="98">
        <v>9</v>
      </c>
      <c r="M235" s="101">
        <v>30</v>
      </c>
      <c r="N235" s="22" t="s">
        <v>2650</v>
      </c>
      <c r="O235" s="100" t="str">
        <f t="shared" si="33"/>
        <v>龙晶碎片26/元宝26000</v>
      </c>
    </row>
    <row r="236" spans="1:15" ht="15.75" x14ac:dyDescent="0.3">
      <c r="A236" s="22" t="s">
        <v>2625</v>
      </c>
      <c r="B236" s="23" t="s">
        <v>2659</v>
      </c>
      <c r="C236" s="22">
        <v>30</v>
      </c>
      <c r="D236" s="101"/>
      <c r="E236" s="101"/>
      <c r="F236" s="101"/>
      <c r="G236" s="101"/>
      <c r="H236" s="101"/>
      <c r="I236" s="101"/>
      <c r="J236" s="98">
        <v>9</v>
      </c>
      <c r="K236" s="101">
        <v>31</v>
      </c>
      <c r="L236" s="98">
        <v>9</v>
      </c>
      <c r="M236" s="101">
        <v>31</v>
      </c>
      <c r="N236" s="22" t="s">
        <v>2650</v>
      </c>
      <c r="O236" s="100" t="str">
        <f t="shared" si="33"/>
        <v>龙晶碎片129/元宝129000</v>
      </c>
    </row>
    <row r="237" spans="1:15" ht="15.75" x14ac:dyDescent="0.3">
      <c r="A237" s="22" t="s">
        <v>2625</v>
      </c>
      <c r="B237" s="23" t="s">
        <v>2660</v>
      </c>
      <c r="C237" s="22">
        <v>31</v>
      </c>
      <c r="D237" s="101"/>
      <c r="E237" s="101"/>
      <c r="F237" s="101"/>
      <c r="G237" s="101"/>
      <c r="H237" s="101"/>
      <c r="I237" s="101"/>
      <c r="J237" s="98">
        <v>10</v>
      </c>
      <c r="K237" s="101">
        <v>31</v>
      </c>
      <c r="L237" s="98">
        <v>10</v>
      </c>
      <c r="M237" s="101">
        <v>31</v>
      </c>
      <c r="N237" s="22" t="s">
        <v>2661</v>
      </c>
      <c r="O237" s="100" t="str">
        <f t="shared" si="33"/>
        <v>龙晶碎片129/元宝129000</v>
      </c>
    </row>
    <row r="238" spans="1:15" ht="15.75" x14ac:dyDescent="0.3">
      <c r="A238" s="22" t="s">
        <v>2625</v>
      </c>
      <c r="B238" s="23" t="s">
        <v>2662</v>
      </c>
      <c r="C238" s="22">
        <v>32</v>
      </c>
      <c r="D238" s="101"/>
      <c r="E238" s="101"/>
      <c r="F238" s="101"/>
      <c r="G238" s="101"/>
      <c r="H238" s="101"/>
      <c r="I238" s="101"/>
      <c r="J238" s="98">
        <v>10</v>
      </c>
      <c r="K238" s="101">
        <v>33</v>
      </c>
      <c r="L238" s="98">
        <v>10</v>
      </c>
      <c r="M238" s="101">
        <v>33</v>
      </c>
      <c r="N238" s="22" t="s">
        <v>2661</v>
      </c>
      <c r="O238" s="100" t="str">
        <f t="shared" si="33"/>
        <v>龙晶碎片129/元宝129000</v>
      </c>
    </row>
    <row r="239" spans="1:15" ht="15.75" x14ac:dyDescent="0.3">
      <c r="A239" s="22" t="s">
        <v>2625</v>
      </c>
      <c r="B239" s="23" t="s">
        <v>2663</v>
      </c>
      <c r="C239" s="22">
        <v>33</v>
      </c>
      <c r="D239" s="101"/>
      <c r="E239" s="101"/>
      <c r="F239" s="101"/>
      <c r="G239" s="101"/>
      <c r="H239" s="101"/>
      <c r="I239" s="101"/>
      <c r="J239" s="98">
        <v>10</v>
      </c>
      <c r="K239" s="101">
        <v>34</v>
      </c>
      <c r="L239" s="98">
        <v>10</v>
      </c>
      <c r="M239" s="101">
        <v>34</v>
      </c>
      <c r="N239" s="22" t="s">
        <v>2661</v>
      </c>
      <c r="O239" s="100" t="str">
        <f t="shared" si="33"/>
        <v>龙晶碎片129/元宝129000</v>
      </c>
    </row>
    <row r="240" spans="1:15" ht="15.75" x14ac:dyDescent="0.3">
      <c r="A240" s="22" t="s">
        <v>2625</v>
      </c>
      <c r="B240" s="23" t="s">
        <v>2664</v>
      </c>
      <c r="C240" s="22">
        <v>34</v>
      </c>
      <c r="D240" s="101"/>
      <c r="E240" s="101"/>
      <c r="F240" s="101"/>
      <c r="G240" s="101"/>
      <c r="H240" s="101"/>
      <c r="I240" s="101"/>
      <c r="J240" s="98">
        <v>10</v>
      </c>
      <c r="K240" s="101">
        <v>35</v>
      </c>
      <c r="L240" s="98">
        <v>10</v>
      </c>
      <c r="M240" s="101">
        <v>35</v>
      </c>
      <c r="N240" s="22" t="s">
        <v>2661</v>
      </c>
      <c r="O240" s="100" t="str">
        <f t="shared" si="33"/>
        <v>龙晶碎片129/元宝129000</v>
      </c>
    </row>
    <row r="241" spans="1:15" ht="15.75" x14ac:dyDescent="0.3">
      <c r="A241" s="22" t="s">
        <v>2625</v>
      </c>
      <c r="B241" s="23" t="s">
        <v>2665</v>
      </c>
      <c r="C241" s="22">
        <v>35</v>
      </c>
      <c r="D241" s="101"/>
      <c r="E241" s="101"/>
      <c r="F241" s="101"/>
      <c r="G241" s="101"/>
      <c r="H241" s="101"/>
      <c r="I241" s="101"/>
      <c r="J241" s="98">
        <v>11</v>
      </c>
      <c r="K241" s="101">
        <v>36</v>
      </c>
      <c r="L241" s="98">
        <v>11</v>
      </c>
      <c r="M241" s="101">
        <v>36</v>
      </c>
      <c r="N241" s="22" t="s">
        <v>2661</v>
      </c>
      <c r="O241" s="100" t="str">
        <f t="shared" si="33"/>
        <v>龙晶碎片129/元宝129000</v>
      </c>
    </row>
    <row r="242" spans="1:15" ht="15.75" x14ac:dyDescent="0.3">
      <c r="A242" s="22" t="s">
        <v>2625</v>
      </c>
      <c r="B242" s="23" t="s">
        <v>2666</v>
      </c>
      <c r="C242" s="22">
        <v>36</v>
      </c>
      <c r="D242" s="101"/>
      <c r="E242" s="101"/>
      <c r="F242" s="101"/>
      <c r="G242" s="101"/>
      <c r="H242" s="101"/>
      <c r="I242" s="101"/>
      <c r="J242" s="98">
        <v>11</v>
      </c>
      <c r="K242" s="101">
        <v>37</v>
      </c>
      <c r="L242" s="98">
        <v>11</v>
      </c>
      <c r="M242" s="101">
        <v>37</v>
      </c>
      <c r="N242" s="22" t="s">
        <v>2661</v>
      </c>
      <c r="O242" s="100" t="str">
        <f t="shared" si="33"/>
        <v>龙晶碎片129/元宝129000</v>
      </c>
    </row>
    <row r="243" spans="1:15" ht="15.75" x14ac:dyDescent="0.3">
      <c r="A243" s="22" t="s">
        <v>2625</v>
      </c>
      <c r="B243" s="23" t="s">
        <v>2667</v>
      </c>
      <c r="C243" s="22">
        <v>37</v>
      </c>
      <c r="D243" s="101"/>
      <c r="E243" s="101"/>
      <c r="F243" s="101"/>
      <c r="G243" s="101"/>
      <c r="H243" s="101"/>
      <c r="I243" s="101"/>
      <c r="J243" s="98">
        <v>11</v>
      </c>
      <c r="K243" s="101">
        <v>38</v>
      </c>
      <c r="L243" s="98">
        <v>11</v>
      </c>
      <c r="M243" s="101">
        <v>38</v>
      </c>
      <c r="N243" s="22" t="s">
        <v>2661</v>
      </c>
      <c r="O243" s="100" t="str">
        <f t="shared" si="33"/>
        <v>龙晶碎片129/元宝129000</v>
      </c>
    </row>
    <row r="244" spans="1:15" ht="15.75" x14ac:dyDescent="0.3">
      <c r="A244" s="22" t="s">
        <v>2625</v>
      </c>
      <c r="B244" s="23" t="s">
        <v>2668</v>
      </c>
      <c r="C244" s="22">
        <v>38</v>
      </c>
      <c r="D244" s="101"/>
      <c r="E244" s="101"/>
      <c r="F244" s="101"/>
      <c r="G244" s="101"/>
      <c r="H244" s="101"/>
      <c r="I244" s="101"/>
      <c r="J244" s="98">
        <v>12</v>
      </c>
      <c r="K244" s="101">
        <v>39</v>
      </c>
      <c r="L244" s="98">
        <v>12</v>
      </c>
      <c r="M244" s="101">
        <v>39</v>
      </c>
      <c r="N244" s="22" t="s">
        <v>2661</v>
      </c>
      <c r="O244" s="100" t="str">
        <f t="shared" si="33"/>
        <v>龙晶碎片129/元宝129000</v>
      </c>
    </row>
    <row r="245" spans="1:15" ht="15.75" x14ac:dyDescent="0.3">
      <c r="A245" s="22" t="s">
        <v>2625</v>
      </c>
      <c r="B245" s="23" t="s">
        <v>2669</v>
      </c>
      <c r="C245" s="22">
        <v>39</v>
      </c>
      <c r="D245" s="101"/>
      <c r="E245" s="101"/>
      <c r="F245" s="101"/>
      <c r="G245" s="101"/>
      <c r="H245" s="101"/>
      <c r="I245" s="101"/>
      <c r="J245" s="98">
        <v>12</v>
      </c>
      <c r="K245" s="101">
        <v>40</v>
      </c>
      <c r="L245" s="98">
        <v>12</v>
      </c>
      <c r="M245" s="101">
        <v>40</v>
      </c>
      <c r="N245" s="22" t="s">
        <v>2661</v>
      </c>
      <c r="O245" s="100" t="str">
        <f t="shared" si="33"/>
        <v>龙晶碎片129/元宝129000</v>
      </c>
    </row>
    <row r="246" spans="1:15" ht="15.75" x14ac:dyDescent="0.3">
      <c r="A246" s="22" t="s">
        <v>2625</v>
      </c>
      <c r="B246" s="23" t="s">
        <v>2670</v>
      </c>
      <c r="C246" s="22">
        <v>40</v>
      </c>
      <c r="D246" s="101"/>
      <c r="E246" s="101"/>
      <c r="F246" s="101"/>
      <c r="G246" s="101"/>
      <c r="H246" s="101"/>
      <c r="I246" s="101"/>
      <c r="J246" s="98">
        <v>12</v>
      </c>
      <c r="K246" s="101">
        <v>41</v>
      </c>
      <c r="L246" s="98">
        <v>12</v>
      </c>
      <c r="M246" s="101">
        <v>41</v>
      </c>
      <c r="N246" s="22" t="s">
        <v>2661</v>
      </c>
      <c r="O246" s="100" t="str">
        <f t="shared" si="33"/>
        <v>龙晶碎片384/元宝384000</v>
      </c>
    </row>
    <row r="247" spans="1:15" ht="15.75" x14ac:dyDescent="0.3">
      <c r="A247" s="22" t="s">
        <v>2625</v>
      </c>
      <c r="B247" s="23" t="s">
        <v>2671</v>
      </c>
      <c r="C247" s="22">
        <v>41</v>
      </c>
      <c r="D247" s="101"/>
      <c r="E247" s="101"/>
      <c r="F247" s="101"/>
      <c r="G247" s="101"/>
      <c r="H247" s="101"/>
      <c r="I247" s="101"/>
      <c r="J247" s="98">
        <v>13</v>
      </c>
      <c r="K247" s="101">
        <v>41</v>
      </c>
      <c r="L247" s="98">
        <v>13</v>
      </c>
      <c r="M247" s="101">
        <v>41</v>
      </c>
      <c r="N247" s="22" t="s">
        <v>2672</v>
      </c>
      <c r="O247" s="100" t="str">
        <f t="shared" si="33"/>
        <v>龙晶碎片384/元宝384000</v>
      </c>
    </row>
    <row r="248" spans="1:15" ht="15.75" x14ac:dyDescent="0.3">
      <c r="A248" s="22" t="s">
        <v>2625</v>
      </c>
      <c r="B248" s="23" t="s">
        <v>2673</v>
      </c>
      <c r="C248" s="22">
        <v>42</v>
      </c>
      <c r="D248" s="101"/>
      <c r="E248" s="101"/>
      <c r="F248" s="101"/>
      <c r="G248" s="101"/>
      <c r="H248" s="101"/>
      <c r="I248" s="101"/>
      <c r="J248" s="98">
        <v>13</v>
      </c>
      <c r="K248" s="101">
        <v>43</v>
      </c>
      <c r="L248" s="98">
        <v>13</v>
      </c>
      <c r="M248" s="101">
        <v>43</v>
      </c>
      <c r="N248" s="22" t="s">
        <v>2672</v>
      </c>
      <c r="O248" s="100" t="str">
        <f t="shared" si="33"/>
        <v>龙晶碎片384/元宝384000</v>
      </c>
    </row>
    <row r="249" spans="1:15" ht="15.75" x14ac:dyDescent="0.3">
      <c r="A249" s="22" t="s">
        <v>2625</v>
      </c>
      <c r="B249" s="23" t="s">
        <v>2674</v>
      </c>
      <c r="C249" s="22">
        <v>43</v>
      </c>
      <c r="D249" s="101"/>
      <c r="E249" s="101"/>
      <c r="F249" s="101"/>
      <c r="G249" s="101"/>
      <c r="H249" s="101"/>
      <c r="I249" s="101"/>
      <c r="J249" s="98">
        <v>13</v>
      </c>
      <c r="K249" s="101">
        <v>44</v>
      </c>
      <c r="L249" s="98">
        <v>13</v>
      </c>
      <c r="M249" s="101">
        <v>44</v>
      </c>
      <c r="N249" s="22" t="s">
        <v>2672</v>
      </c>
      <c r="O249" s="100" t="str">
        <f t="shared" si="33"/>
        <v>龙晶碎片384/元宝384000</v>
      </c>
    </row>
    <row r="250" spans="1:15" ht="15.75" x14ac:dyDescent="0.3">
      <c r="A250" s="22" t="s">
        <v>2625</v>
      </c>
      <c r="B250" s="23" t="s">
        <v>2675</v>
      </c>
      <c r="C250" s="22">
        <v>44</v>
      </c>
      <c r="D250" s="101"/>
      <c r="E250" s="101"/>
      <c r="F250" s="101"/>
      <c r="G250" s="101"/>
      <c r="H250" s="101"/>
      <c r="I250" s="101"/>
      <c r="J250" s="98">
        <v>13</v>
      </c>
      <c r="K250" s="101">
        <v>45</v>
      </c>
      <c r="L250" s="98">
        <v>13</v>
      </c>
      <c r="M250" s="101">
        <v>45</v>
      </c>
      <c r="N250" s="22" t="s">
        <v>2672</v>
      </c>
      <c r="O250" s="100" t="str">
        <f t="shared" si="33"/>
        <v>龙晶碎片384/元宝384000</v>
      </c>
    </row>
    <row r="251" spans="1:15" ht="15.75" x14ac:dyDescent="0.3">
      <c r="A251" s="22" t="s">
        <v>2625</v>
      </c>
      <c r="B251" s="23" t="s">
        <v>2676</v>
      </c>
      <c r="C251" s="22">
        <v>45</v>
      </c>
      <c r="D251" s="101"/>
      <c r="E251" s="101"/>
      <c r="F251" s="101"/>
      <c r="G251" s="101"/>
      <c r="H251" s="101"/>
      <c r="I251" s="101"/>
      <c r="J251" s="98">
        <v>14</v>
      </c>
      <c r="K251" s="101">
        <v>46</v>
      </c>
      <c r="L251" s="98">
        <v>14</v>
      </c>
      <c r="M251" s="101">
        <v>46</v>
      </c>
      <c r="N251" s="22" t="s">
        <v>2672</v>
      </c>
      <c r="O251" s="100" t="str">
        <f t="shared" si="33"/>
        <v>龙晶碎片384/元宝384000</v>
      </c>
    </row>
    <row r="252" spans="1:15" ht="15.75" x14ac:dyDescent="0.3">
      <c r="A252" s="22" t="s">
        <v>2625</v>
      </c>
      <c r="B252" s="23" t="s">
        <v>2677</v>
      </c>
      <c r="C252" s="22">
        <v>46</v>
      </c>
      <c r="D252" s="101"/>
      <c r="E252" s="101"/>
      <c r="F252" s="101"/>
      <c r="G252" s="101"/>
      <c r="H252" s="101"/>
      <c r="I252" s="101"/>
      <c r="J252" s="98">
        <v>14</v>
      </c>
      <c r="K252" s="101">
        <v>47</v>
      </c>
      <c r="L252" s="98">
        <v>14</v>
      </c>
      <c r="M252" s="101">
        <v>47</v>
      </c>
      <c r="N252" s="22" t="s">
        <v>2672</v>
      </c>
      <c r="O252" s="100" t="str">
        <f t="shared" si="33"/>
        <v>龙晶碎片384/元宝384000</v>
      </c>
    </row>
    <row r="253" spans="1:15" ht="15.75" x14ac:dyDescent="0.3">
      <c r="A253" s="22" t="s">
        <v>2625</v>
      </c>
      <c r="B253" s="23" t="s">
        <v>2678</v>
      </c>
      <c r="C253" s="22">
        <v>47</v>
      </c>
      <c r="D253" s="101"/>
      <c r="E253" s="101"/>
      <c r="F253" s="101"/>
      <c r="G253" s="101"/>
      <c r="H253" s="101"/>
      <c r="I253" s="101"/>
      <c r="J253" s="98">
        <v>14</v>
      </c>
      <c r="K253" s="101">
        <v>48</v>
      </c>
      <c r="L253" s="98">
        <v>14</v>
      </c>
      <c r="M253" s="101">
        <v>48</v>
      </c>
      <c r="N253" s="22" t="s">
        <v>2672</v>
      </c>
      <c r="O253" s="100" t="str">
        <f t="shared" si="33"/>
        <v>龙晶碎片384/元宝384000</v>
      </c>
    </row>
    <row r="254" spans="1:15" ht="15.75" x14ac:dyDescent="0.3">
      <c r="A254" s="22" t="s">
        <v>2625</v>
      </c>
      <c r="B254" s="23" t="s">
        <v>2679</v>
      </c>
      <c r="C254" s="22">
        <v>48</v>
      </c>
      <c r="D254" s="101"/>
      <c r="E254" s="101"/>
      <c r="F254" s="101"/>
      <c r="G254" s="101"/>
      <c r="H254" s="101"/>
      <c r="I254" s="101"/>
      <c r="J254" s="98">
        <v>15</v>
      </c>
      <c r="K254" s="101">
        <v>49</v>
      </c>
      <c r="L254" s="98">
        <v>15</v>
      </c>
      <c r="M254" s="101">
        <v>49</v>
      </c>
      <c r="N254" s="22" t="s">
        <v>2672</v>
      </c>
      <c r="O254" s="100" t="str">
        <f t="shared" si="33"/>
        <v>龙晶碎片384/元宝384000</v>
      </c>
    </row>
    <row r="255" spans="1:15" ht="15.75" x14ac:dyDescent="0.3">
      <c r="A255" s="22" t="s">
        <v>2625</v>
      </c>
      <c r="B255" s="23" t="s">
        <v>2680</v>
      </c>
      <c r="C255" s="22">
        <v>49</v>
      </c>
      <c r="D255" s="101"/>
      <c r="E255" s="101"/>
      <c r="F255" s="101"/>
      <c r="G255" s="101"/>
      <c r="H255" s="101"/>
      <c r="I255" s="101"/>
      <c r="J255" s="98">
        <v>15</v>
      </c>
      <c r="K255" s="101">
        <v>50</v>
      </c>
      <c r="L255" s="98">
        <v>15</v>
      </c>
      <c r="M255" s="101">
        <v>50</v>
      </c>
      <c r="N255" s="22" t="s">
        <v>2672</v>
      </c>
      <c r="O255" s="100" t="str">
        <f t="shared" si="33"/>
        <v>龙晶碎片384/元宝384000</v>
      </c>
    </row>
    <row r="256" spans="1:15" ht="15.75" x14ac:dyDescent="0.3">
      <c r="A256" s="22" t="s">
        <v>2625</v>
      </c>
      <c r="B256" s="23" t="s">
        <v>2681</v>
      </c>
      <c r="C256" s="22">
        <v>50</v>
      </c>
      <c r="D256" s="101"/>
      <c r="E256" s="101"/>
      <c r="F256" s="101"/>
      <c r="G256" s="101"/>
      <c r="H256" s="101"/>
      <c r="I256" s="101"/>
      <c r="J256" s="98">
        <v>15</v>
      </c>
      <c r="K256" s="101">
        <v>51</v>
      </c>
      <c r="L256" s="98">
        <v>15</v>
      </c>
      <c r="M256" s="101">
        <v>51</v>
      </c>
      <c r="N256" s="22" t="s">
        <v>2672</v>
      </c>
      <c r="O256" s="100" t="str">
        <f t="shared" si="33"/>
        <v>龙晶碎片1245/元宝1245000</v>
      </c>
    </row>
    <row r="257" spans="1:15" ht="15.75" x14ac:dyDescent="0.3">
      <c r="A257" s="22" t="s">
        <v>2625</v>
      </c>
      <c r="B257" s="23" t="s">
        <v>2682</v>
      </c>
      <c r="C257" s="22">
        <v>51</v>
      </c>
      <c r="D257" s="101"/>
      <c r="E257" s="101"/>
      <c r="F257" s="101"/>
      <c r="G257" s="101"/>
      <c r="H257" s="101"/>
      <c r="I257" s="101"/>
      <c r="J257" s="98">
        <v>17</v>
      </c>
      <c r="K257" s="101">
        <v>52</v>
      </c>
      <c r="L257" s="98">
        <v>17</v>
      </c>
      <c r="M257" s="101">
        <v>52</v>
      </c>
      <c r="N257" s="22" t="s">
        <v>2683</v>
      </c>
      <c r="O257" s="100" t="str">
        <f t="shared" si="33"/>
        <v>龙晶碎片1245/元宝1245000</v>
      </c>
    </row>
    <row r="258" spans="1:15" ht="15.75" x14ac:dyDescent="0.3">
      <c r="A258" s="22" t="s">
        <v>2625</v>
      </c>
      <c r="B258" s="23" t="s">
        <v>2684</v>
      </c>
      <c r="C258" s="22">
        <v>52</v>
      </c>
      <c r="D258" s="101"/>
      <c r="E258" s="101"/>
      <c r="F258" s="101"/>
      <c r="G258" s="101"/>
      <c r="H258" s="101"/>
      <c r="I258" s="101"/>
      <c r="J258" s="98">
        <v>17</v>
      </c>
      <c r="K258" s="101">
        <v>55</v>
      </c>
      <c r="L258" s="98">
        <v>17</v>
      </c>
      <c r="M258" s="101">
        <v>55</v>
      </c>
      <c r="N258" s="22" t="s">
        <v>2683</v>
      </c>
      <c r="O258" s="100" t="str">
        <f t="shared" si="33"/>
        <v>龙晶碎片1245/元宝1245000</v>
      </c>
    </row>
    <row r="259" spans="1:15" ht="15.75" x14ac:dyDescent="0.3">
      <c r="A259" s="22" t="s">
        <v>2625</v>
      </c>
      <c r="B259" s="23" t="s">
        <v>2685</v>
      </c>
      <c r="C259" s="22">
        <v>53</v>
      </c>
      <c r="D259" s="101"/>
      <c r="E259" s="101"/>
      <c r="F259" s="101"/>
      <c r="G259" s="101"/>
      <c r="H259" s="101"/>
      <c r="I259" s="101"/>
      <c r="J259" s="98">
        <v>17</v>
      </c>
      <c r="K259" s="101">
        <v>57</v>
      </c>
      <c r="L259" s="98">
        <v>17</v>
      </c>
      <c r="M259" s="101">
        <v>57</v>
      </c>
      <c r="N259" s="22" t="s">
        <v>2683</v>
      </c>
      <c r="O259" s="100" t="str">
        <f t="shared" si="33"/>
        <v>龙晶碎片1245/元宝1245000</v>
      </c>
    </row>
    <row r="260" spans="1:15" ht="15.75" x14ac:dyDescent="0.3">
      <c r="A260" s="22" t="s">
        <v>2625</v>
      </c>
      <c r="B260" s="23" t="s">
        <v>2686</v>
      </c>
      <c r="C260" s="22">
        <v>54</v>
      </c>
      <c r="D260" s="101"/>
      <c r="E260" s="101"/>
      <c r="F260" s="101"/>
      <c r="G260" s="101"/>
      <c r="H260" s="101"/>
      <c r="I260" s="101"/>
      <c r="J260" s="98">
        <v>17</v>
      </c>
      <c r="K260" s="101">
        <v>59</v>
      </c>
      <c r="L260" s="98">
        <v>17</v>
      </c>
      <c r="M260" s="101">
        <v>59</v>
      </c>
      <c r="N260" s="22" t="s">
        <v>2683</v>
      </c>
      <c r="O260" s="100" t="str">
        <f t="shared" si="33"/>
        <v>龙晶碎片1245/元宝1245000</v>
      </c>
    </row>
    <row r="261" spans="1:15" ht="15.75" x14ac:dyDescent="0.3">
      <c r="A261" s="22" t="s">
        <v>2625</v>
      </c>
      <c r="B261" s="23" t="s">
        <v>2687</v>
      </c>
      <c r="C261" s="22">
        <v>55</v>
      </c>
      <c r="D261" s="101"/>
      <c r="E261" s="101"/>
      <c r="F261" s="101"/>
      <c r="G261" s="101"/>
      <c r="H261" s="101"/>
      <c r="I261" s="101"/>
      <c r="J261" s="98">
        <v>18</v>
      </c>
      <c r="K261" s="101">
        <v>61</v>
      </c>
      <c r="L261" s="98">
        <v>18</v>
      </c>
      <c r="M261" s="101">
        <v>61</v>
      </c>
      <c r="N261" s="22" t="s">
        <v>2683</v>
      </c>
      <c r="O261" s="100" t="str">
        <f t="shared" si="33"/>
        <v>龙晶碎片1245/元宝1245000</v>
      </c>
    </row>
    <row r="262" spans="1:15" ht="15.75" x14ac:dyDescent="0.3">
      <c r="A262" s="22" t="s">
        <v>2625</v>
      </c>
      <c r="B262" s="23" t="s">
        <v>2688</v>
      </c>
      <c r="C262" s="22">
        <v>56</v>
      </c>
      <c r="D262" s="101"/>
      <c r="E262" s="101"/>
      <c r="F262" s="101"/>
      <c r="G262" s="101"/>
      <c r="H262" s="101"/>
      <c r="I262" s="101"/>
      <c r="J262" s="98">
        <v>18</v>
      </c>
      <c r="K262" s="101">
        <v>63</v>
      </c>
      <c r="L262" s="98">
        <v>18</v>
      </c>
      <c r="M262" s="101">
        <v>63</v>
      </c>
      <c r="N262" s="22" t="s">
        <v>2683</v>
      </c>
      <c r="O262" s="100" t="str">
        <f t="shared" si="33"/>
        <v>龙晶碎片1245/元宝1245000</v>
      </c>
    </row>
    <row r="263" spans="1:15" ht="15.75" x14ac:dyDescent="0.3">
      <c r="A263" s="22" t="s">
        <v>2625</v>
      </c>
      <c r="B263" s="23" t="s">
        <v>2689</v>
      </c>
      <c r="C263" s="22">
        <v>57</v>
      </c>
      <c r="D263" s="101"/>
      <c r="E263" s="101"/>
      <c r="F263" s="101"/>
      <c r="G263" s="101"/>
      <c r="H263" s="101"/>
      <c r="I263" s="101"/>
      <c r="J263" s="98">
        <v>18</v>
      </c>
      <c r="K263" s="101">
        <v>65</v>
      </c>
      <c r="L263" s="98">
        <v>18</v>
      </c>
      <c r="M263" s="101">
        <v>65</v>
      </c>
      <c r="N263" s="22" t="s">
        <v>2683</v>
      </c>
      <c r="O263" s="100" t="str">
        <f t="shared" si="33"/>
        <v>龙晶碎片1245/元宝1245000</v>
      </c>
    </row>
    <row r="264" spans="1:15" ht="15.75" x14ac:dyDescent="0.3">
      <c r="A264" s="22" t="s">
        <v>2625</v>
      </c>
      <c r="B264" s="23" t="s">
        <v>2690</v>
      </c>
      <c r="C264" s="22">
        <v>58</v>
      </c>
      <c r="D264" s="101"/>
      <c r="E264" s="101"/>
      <c r="F264" s="101"/>
      <c r="G264" s="101"/>
      <c r="H264" s="101"/>
      <c r="I264" s="101"/>
      <c r="J264" s="98">
        <v>19</v>
      </c>
      <c r="K264" s="101">
        <v>67</v>
      </c>
      <c r="L264" s="98">
        <v>19</v>
      </c>
      <c r="M264" s="101">
        <v>67</v>
      </c>
      <c r="N264" s="22" t="s">
        <v>2683</v>
      </c>
      <c r="O264" s="100" t="str">
        <f t="shared" si="33"/>
        <v>龙晶碎片1245/元宝1245000</v>
      </c>
    </row>
    <row r="265" spans="1:15" ht="15.75" x14ac:dyDescent="0.3">
      <c r="A265" s="22" t="s">
        <v>2625</v>
      </c>
      <c r="B265" s="23" t="s">
        <v>2691</v>
      </c>
      <c r="C265" s="22">
        <v>59</v>
      </c>
      <c r="D265" s="101"/>
      <c r="E265" s="101"/>
      <c r="F265" s="101"/>
      <c r="G265" s="101"/>
      <c r="H265" s="101"/>
      <c r="I265" s="101"/>
      <c r="J265" s="98">
        <v>19</v>
      </c>
      <c r="K265" s="101">
        <v>69</v>
      </c>
      <c r="L265" s="98">
        <v>19</v>
      </c>
      <c r="M265" s="101">
        <v>69</v>
      </c>
      <c r="N265" s="22" t="s">
        <v>2683</v>
      </c>
      <c r="O265" s="100" t="str">
        <f t="shared" si="33"/>
        <v>龙晶碎片1245/元宝1245000</v>
      </c>
    </row>
    <row r="266" spans="1:15" ht="15.75" x14ac:dyDescent="0.3">
      <c r="A266" s="22" t="s">
        <v>2625</v>
      </c>
      <c r="B266" s="23" t="s">
        <v>2692</v>
      </c>
      <c r="C266" s="22">
        <v>60</v>
      </c>
      <c r="D266" s="101"/>
      <c r="E266" s="101"/>
      <c r="F266" s="101"/>
      <c r="G266" s="101"/>
      <c r="H266" s="101"/>
      <c r="I266" s="101"/>
      <c r="J266" s="98">
        <v>19</v>
      </c>
      <c r="K266" s="101">
        <v>71</v>
      </c>
      <c r="L266" s="98">
        <v>19</v>
      </c>
      <c r="M266" s="101">
        <v>71</v>
      </c>
      <c r="N266" s="22" t="s">
        <v>2683</v>
      </c>
      <c r="O266" s="100" t="str">
        <f t="shared" si="33"/>
        <v>龙晶碎片3133/元宝3133000</v>
      </c>
    </row>
    <row r="267" spans="1:15" ht="15.75" x14ac:dyDescent="0.3">
      <c r="A267" s="22" t="s">
        <v>2625</v>
      </c>
      <c r="B267" s="23" t="s">
        <v>2693</v>
      </c>
      <c r="C267" s="22">
        <v>61</v>
      </c>
      <c r="D267" s="101"/>
      <c r="E267" s="101"/>
      <c r="F267" s="101"/>
      <c r="G267" s="101"/>
      <c r="H267" s="101"/>
      <c r="I267" s="101"/>
      <c r="J267" s="98">
        <v>21</v>
      </c>
      <c r="K267" s="101">
        <v>72</v>
      </c>
      <c r="L267" s="98">
        <v>21</v>
      </c>
      <c r="M267" s="101">
        <v>72</v>
      </c>
      <c r="N267" s="22" t="s">
        <v>2694</v>
      </c>
      <c r="O267" s="100" t="str">
        <f t="shared" si="33"/>
        <v>龙晶碎片3133/元宝3133000</v>
      </c>
    </row>
    <row r="268" spans="1:15" ht="15.75" x14ac:dyDescent="0.3">
      <c r="A268" s="22" t="s">
        <v>2625</v>
      </c>
      <c r="B268" s="23" t="s">
        <v>2695</v>
      </c>
      <c r="C268" s="22">
        <v>62</v>
      </c>
      <c r="D268" s="101"/>
      <c r="E268" s="101"/>
      <c r="F268" s="101"/>
      <c r="G268" s="101"/>
      <c r="H268" s="101"/>
      <c r="I268" s="101"/>
      <c r="J268" s="98">
        <v>21</v>
      </c>
      <c r="K268" s="101">
        <v>75</v>
      </c>
      <c r="L268" s="98">
        <v>21</v>
      </c>
      <c r="M268" s="101">
        <v>75</v>
      </c>
      <c r="N268" s="22" t="s">
        <v>2694</v>
      </c>
      <c r="O268" s="100" t="str">
        <f t="shared" si="33"/>
        <v>龙晶碎片3133/元宝3133000</v>
      </c>
    </row>
    <row r="269" spans="1:15" ht="15.75" x14ac:dyDescent="0.3">
      <c r="A269" s="22" t="s">
        <v>2625</v>
      </c>
      <c r="B269" s="23" t="s">
        <v>2696</v>
      </c>
      <c r="C269" s="22">
        <v>63</v>
      </c>
      <c r="D269" s="101"/>
      <c r="E269" s="101"/>
      <c r="F269" s="101"/>
      <c r="G269" s="101"/>
      <c r="H269" s="101"/>
      <c r="I269" s="101"/>
      <c r="J269" s="98">
        <v>21</v>
      </c>
      <c r="K269" s="101">
        <v>77</v>
      </c>
      <c r="L269" s="98">
        <v>21</v>
      </c>
      <c r="M269" s="101">
        <v>77</v>
      </c>
      <c r="N269" s="22" t="s">
        <v>2694</v>
      </c>
      <c r="O269" s="100" t="str">
        <f t="shared" si="33"/>
        <v>龙晶碎片3133/元宝3133000</v>
      </c>
    </row>
    <row r="270" spans="1:15" ht="15.75" x14ac:dyDescent="0.3">
      <c r="A270" s="22" t="s">
        <v>2625</v>
      </c>
      <c r="B270" s="23" t="s">
        <v>2697</v>
      </c>
      <c r="C270" s="22">
        <v>64</v>
      </c>
      <c r="D270" s="101"/>
      <c r="E270" s="101"/>
      <c r="F270" s="101"/>
      <c r="G270" s="101"/>
      <c r="H270" s="101"/>
      <c r="I270" s="101"/>
      <c r="J270" s="98">
        <v>21</v>
      </c>
      <c r="K270" s="101">
        <v>79</v>
      </c>
      <c r="L270" s="98">
        <v>21</v>
      </c>
      <c r="M270" s="101">
        <v>79</v>
      </c>
      <c r="N270" s="22" t="s">
        <v>2694</v>
      </c>
      <c r="O270" s="100" t="str">
        <f t="shared" si="33"/>
        <v>龙晶碎片3133/元宝3133000</v>
      </c>
    </row>
    <row r="271" spans="1:15" ht="15.75" x14ac:dyDescent="0.3">
      <c r="A271" s="22" t="s">
        <v>2625</v>
      </c>
      <c r="B271" s="23" t="s">
        <v>2698</v>
      </c>
      <c r="C271" s="22">
        <v>65</v>
      </c>
      <c r="D271" s="101"/>
      <c r="E271" s="101"/>
      <c r="F271" s="101"/>
      <c r="G271" s="101"/>
      <c r="H271" s="101"/>
      <c r="I271" s="101"/>
      <c r="J271" s="98">
        <v>22</v>
      </c>
      <c r="K271" s="101">
        <v>81</v>
      </c>
      <c r="L271" s="98">
        <v>22</v>
      </c>
      <c r="M271" s="101">
        <v>81</v>
      </c>
      <c r="N271" s="22" t="s">
        <v>2694</v>
      </c>
      <c r="O271" s="100" t="str">
        <f t="shared" ref="O271:O305" si="34">"龙晶碎片"&amp;Z69&amp;"/元宝"&amp;AA69</f>
        <v>龙晶碎片3133/元宝3133000</v>
      </c>
    </row>
    <row r="272" spans="1:15" ht="15.75" x14ac:dyDescent="0.3">
      <c r="A272" s="22" t="s">
        <v>2625</v>
      </c>
      <c r="B272" s="23" t="s">
        <v>2699</v>
      </c>
      <c r="C272" s="22">
        <v>66</v>
      </c>
      <c r="D272" s="101"/>
      <c r="E272" s="101"/>
      <c r="F272" s="101"/>
      <c r="G272" s="101"/>
      <c r="H272" s="101"/>
      <c r="I272" s="101"/>
      <c r="J272" s="98">
        <v>22</v>
      </c>
      <c r="K272" s="101">
        <v>83</v>
      </c>
      <c r="L272" s="98">
        <v>22</v>
      </c>
      <c r="M272" s="101">
        <v>83</v>
      </c>
      <c r="N272" s="22" t="s">
        <v>2694</v>
      </c>
      <c r="O272" s="100" t="str">
        <f t="shared" si="34"/>
        <v>龙晶碎片3133/元宝3133000</v>
      </c>
    </row>
    <row r="273" spans="1:15" ht="15.75" x14ac:dyDescent="0.3">
      <c r="A273" s="22" t="s">
        <v>2625</v>
      </c>
      <c r="B273" s="23" t="s">
        <v>2700</v>
      </c>
      <c r="C273" s="22">
        <v>67</v>
      </c>
      <c r="D273" s="101"/>
      <c r="E273" s="101"/>
      <c r="F273" s="101"/>
      <c r="G273" s="101"/>
      <c r="H273" s="101"/>
      <c r="I273" s="101"/>
      <c r="J273" s="98">
        <v>22</v>
      </c>
      <c r="K273" s="101">
        <v>85</v>
      </c>
      <c r="L273" s="98">
        <v>22</v>
      </c>
      <c r="M273" s="101">
        <v>85</v>
      </c>
      <c r="N273" s="22" t="s">
        <v>2694</v>
      </c>
      <c r="O273" s="100" t="str">
        <f t="shared" si="34"/>
        <v>龙晶碎片3133/元宝3133000</v>
      </c>
    </row>
    <row r="274" spans="1:15" ht="15.75" x14ac:dyDescent="0.3">
      <c r="A274" s="22" t="s">
        <v>2625</v>
      </c>
      <c r="B274" s="23" t="s">
        <v>2701</v>
      </c>
      <c r="C274" s="22">
        <v>68</v>
      </c>
      <c r="D274" s="101"/>
      <c r="E274" s="101"/>
      <c r="F274" s="101"/>
      <c r="G274" s="101"/>
      <c r="H274" s="101"/>
      <c r="I274" s="101"/>
      <c r="J274" s="98">
        <v>23</v>
      </c>
      <c r="K274" s="101">
        <v>87</v>
      </c>
      <c r="L274" s="98">
        <v>23</v>
      </c>
      <c r="M274" s="101">
        <v>87</v>
      </c>
      <c r="N274" s="22" t="s">
        <v>2694</v>
      </c>
      <c r="O274" s="100" t="str">
        <f t="shared" si="34"/>
        <v>龙晶碎片3133/元宝3133000</v>
      </c>
    </row>
    <row r="275" spans="1:15" ht="15.75" x14ac:dyDescent="0.3">
      <c r="A275" s="22" t="s">
        <v>2625</v>
      </c>
      <c r="B275" s="23" t="s">
        <v>2702</v>
      </c>
      <c r="C275" s="22">
        <v>69</v>
      </c>
      <c r="D275" s="101"/>
      <c r="E275" s="101"/>
      <c r="F275" s="101"/>
      <c r="G275" s="101"/>
      <c r="H275" s="101"/>
      <c r="I275" s="101"/>
      <c r="J275" s="98">
        <v>23</v>
      </c>
      <c r="K275" s="101">
        <v>89</v>
      </c>
      <c r="L275" s="98">
        <v>23</v>
      </c>
      <c r="M275" s="101">
        <v>89</v>
      </c>
      <c r="N275" s="22" t="s">
        <v>2694</v>
      </c>
      <c r="O275" s="100" t="str">
        <f t="shared" si="34"/>
        <v>龙晶碎片3133/元宝3133000</v>
      </c>
    </row>
    <row r="276" spans="1:15" ht="15.75" x14ac:dyDescent="0.3">
      <c r="A276" s="22" t="s">
        <v>2625</v>
      </c>
      <c r="B276" s="23" t="s">
        <v>2703</v>
      </c>
      <c r="C276" s="22">
        <v>70</v>
      </c>
      <c r="D276" s="101"/>
      <c r="E276" s="101"/>
      <c r="F276" s="101"/>
      <c r="G276" s="101"/>
      <c r="H276" s="101"/>
      <c r="I276" s="101"/>
      <c r="J276" s="98">
        <v>23</v>
      </c>
      <c r="K276" s="101">
        <v>91</v>
      </c>
      <c r="L276" s="98">
        <v>23</v>
      </c>
      <c r="M276" s="101">
        <v>91</v>
      </c>
      <c r="N276" s="22" t="s">
        <v>2694</v>
      </c>
      <c r="O276" s="100" t="str">
        <f t="shared" si="34"/>
        <v>龙晶碎片3644/元宝3644000</v>
      </c>
    </row>
    <row r="277" spans="1:15" ht="15.75" x14ac:dyDescent="0.3">
      <c r="A277" s="22" t="s">
        <v>2625</v>
      </c>
      <c r="B277" s="23" t="s">
        <v>2704</v>
      </c>
      <c r="C277" s="22">
        <v>71</v>
      </c>
      <c r="D277" s="101"/>
      <c r="E277" s="101"/>
      <c r="F277" s="101"/>
      <c r="G277" s="101"/>
      <c r="H277" s="101"/>
      <c r="I277" s="101"/>
      <c r="J277" s="98">
        <v>25</v>
      </c>
      <c r="K277" s="101">
        <v>92</v>
      </c>
      <c r="L277" s="98">
        <v>25</v>
      </c>
      <c r="M277" s="101">
        <v>92</v>
      </c>
      <c r="N277" s="22" t="s">
        <v>2705</v>
      </c>
      <c r="O277" s="100" t="str">
        <f t="shared" si="34"/>
        <v>龙晶碎片3644/元宝3644000</v>
      </c>
    </row>
    <row r="278" spans="1:15" ht="15.75" x14ac:dyDescent="0.3">
      <c r="A278" s="22" t="s">
        <v>2625</v>
      </c>
      <c r="B278" s="23" t="s">
        <v>2706</v>
      </c>
      <c r="C278" s="22">
        <v>72</v>
      </c>
      <c r="D278" s="101"/>
      <c r="E278" s="101"/>
      <c r="F278" s="101"/>
      <c r="G278" s="101"/>
      <c r="H278" s="101"/>
      <c r="I278" s="101"/>
      <c r="J278" s="98">
        <v>25</v>
      </c>
      <c r="K278" s="101">
        <v>95</v>
      </c>
      <c r="L278" s="98">
        <v>25</v>
      </c>
      <c r="M278" s="101">
        <v>95</v>
      </c>
      <c r="N278" s="22" t="s">
        <v>2705</v>
      </c>
      <c r="O278" s="100" t="str">
        <f t="shared" si="34"/>
        <v>龙晶碎片3644/元宝3644000</v>
      </c>
    </row>
    <row r="279" spans="1:15" ht="15.75" x14ac:dyDescent="0.3">
      <c r="A279" s="22" t="s">
        <v>2625</v>
      </c>
      <c r="B279" s="23" t="s">
        <v>2707</v>
      </c>
      <c r="C279" s="22">
        <v>73</v>
      </c>
      <c r="D279" s="101"/>
      <c r="E279" s="101"/>
      <c r="F279" s="101"/>
      <c r="G279" s="101"/>
      <c r="H279" s="101"/>
      <c r="I279" s="101"/>
      <c r="J279" s="98">
        <v>25</v>
      </c>
      <c r="K279" s="101">
        <v>97</v>
      </c>
      <c r="L279" s="98">
        <v>25</v>
      </c>
      <c r="M279" s="101">
        <v>97</v>
      </c>
      <c r="N279" s="22" t="s">
        <v>2705</v>
      </c>
      <c r="O279" s="100" t="str">
        <f t="shared" si="34"/>
        <v>龙晶碎片3644/元宝3644000</v>
      </c>
    </row>
    <row r="280" spans="1:15" ht="15.75" x14ac:dyDescent="0.3">
      <c r="A280" s="22" t="s">
        <v>2625</v>
      </c>
      <c r="B280" s="23" t="s">
        <v>2708</v>
      </c>
      <c r="C280" s="22">
        <v>74</v>
      </c>
      <c r="D280" s="101"/>
      <c r="E280" s="101"/>
      <c r="F280" s="101"/>
      <c r="G280" s="101"/>
      <c r="H280" s="101"/>
      <c r="I280" s="101"/>
      <c r="J280" s="98">
        <v>25</v>
      </c>
      <c r="K280" s="101">
        <v>99</v>
      </c>
      <c r="L280" s="98">
        <v>25</v>
      </c>
      <c r="M280" s="101">
        <v>99</v>
      </c>
      <c r="N280" s="22" t="s">
        <v>2705</v>
      </c>
      <c r="O280" s="100" t="str">
        <f t="shared" si="34"/>
        <v>龙晶碎片3644/元宝3644000</v>
      </c>
    </row>
    <row r="281" spans="1:15" ht="15.75" x14ac:dyDescent="0.3">
      <c r="A281" s="22" t="s">
        <v>2625</v>
      </c>
      <c r="B281" s="23" t="s">
        <v>2709</v>
      </c>
      <c r="C281" s="22">
        <v>75</v>
      </c>
      <c r="D281" s="101"/>
      <c r="E281" s="101"/>
      <c r="F281" s="101"/>
      <c r="G281" s="101"/>
      <c r="H281" s="101"/>
      <c r="I281" s="101"/>
      <c r="J281" s="98">
        <v>26</v>
      </c>
      <c r="K281" s="101">
        <v>101</v>
      </c>
      <c r="L281" s="98">
        <v>26</v>
      </c>
      <c r="M281" s="101">
        <v>101</v>
      </c>
      <c r="N281" s="22" t="s">
        <v>2705</v>
      </c>
      <c r="O281" s="100" t="str">
        <f t="shared" si="34"/>
        <v>龙晶碎片3644/元宝3644000</v>
      </c>
    </row>
    <row r="282" spans="1:15" ht="15.75" x14ac:dyDescent="0.3">
      <c r="A282" s="22" t="s">
        <v>2625</v>
      </c>
      <c r="B282" s="23" t="s">
        <v>2710</v>
      </c>
      <c r="C282" s="22">
        <v>76</v>
      </c>
      <c r="D282" s="101"/>
      <c r="E282" s="101"/>
      <c r="F282" s="101"/>
      <c r="G282" s="101"/>
      <c r="H282" s="101"/>
      <c r="I282" s="101"/>
      <c r="J282" s="98">
        <v>26</v>
      </c>
      <c r="K282" s="101">
        <v>103</v>
      </c>
      <c r="L282" s="98">
        <v>26</v>
      </c>
      <c r="M282" s="101">
        <v>103</v>
      </c>
      <c r="N282" s="22" t="s">
        <v>2705</v>
      </c>
      <c r="O282" s="100" t="str">
        <f t="shared" si="34"/>
        <v>龙晶碎片3644/元宝3644000</v>
      </c>
    </row>
    <row r="283" spans="1:15" ht="15.75" x14ac:dyDescent="0.3">
      <c r="A283" s="22" t="s">
        <v>2625</v>
      </c>
      <c r="B283" s="23" t="s">
        <v>2711</v>
      </c>
      <c r="C283" s="22">
        <v>77</v>
      </c>
      <c r="D283" s="101"/>
      <c r="E283" s="101"/>
      <c r="F283" s="101"/>
      <c r="G283" s="101"/>
      <c r="H283" s="101"/>
      <c r="I283" s="101"/>
      <c r="J283" s="98">
        <v>26</v>
      </c>
      <c r="K283" s="101">
        <v>105</v>
      </c>
      <c r="L283" s="98">
        <v>26</v>
      </c>
      <c r="M283" s="101">
        <v>105</v>
      </c>
      <c r="N283" s="22" t="s">
        <v>2705</v>
      </c>
      <c r="O283" s="100" t="str">
        <f t="shared" si="34"/>
        <v>龙晶碎片3644/元宝3644000</v>
      </c>
    </row>
    <row r="284" spans="1:15" ht="15.75" x14ac:dyDescent="0.3">
      <c r="A284" s="22" t="s">
        <v>2625</v>
      </c>
      <c r="B284" s="23" t="s">
        <v>2712</v>
      </c>
      <c r="C284" s="22">
        <v>78</v>
      </c>
      <c r="D284" s="101"/>
      <c r="E284" s="101"/>
      <c r="F284" s="101"/>
      <c r="G284" s="101"/>
      <c r="H284" s="101"/>
      <c r="I284" s="101"/>
      <c r="J284" s="98">
        <v>27</v>
      </c>
      <c r="K284" s="101">
        <v>107</v>
      </c>
      <c r="L284" s="98">
        <v>27</v>
      </c>
      <c r="M284" s="101">
        <v>107</v>
      </c>
      <c r="N284" s="22" t="s">
        <v>2705</v>
      </c>
      <c r="O284" s="100" t="str">
        <f t="shared" si="34"/>
        <v>龙晶碎片3644/元宝3644000</v>
      </c>
    </row>
    <row r="285" spans="1:15" ht="15.75" x14ac:dyDescent="0.3">
      <c r="A285" s="22" t="s">
        <v>2625</v>
      </c>
      <c r="B285" s="23" t="s">
        <v>2713</v>
      </c>
      <c r="C285" s="22">
        <v>79</v>
      </c>
      <c r="D285" s="101"/>
      <c r="E285" s="101"/>
      <c r="F285" s="101"/>
      <c r="G285" s="101"/>
      <c r="H285" s="101"/>
      <c r="I285" s="101"/>
      <c r="J285" s="98">
        <v>27</v>
      </c>
      <c r="K285" s="101">
        <v>109</v>
      </c>
      <c r="L285" s="98">
        <v>27</v>
      </c>
      <c r="M285" s="101">
        <v>109</v>
      </c>
      <c r="N285" s="22" t="s">
        <v>2705</v>
      </c>
      <c r="O285" s="100" t="str">
        <f t="shared" si="34"/>
        <v>龙晶碎片3644/元宝3644000</v>
      </c>
    </row>
    <row r="286" spans="1:15" ht="15.75" x14ac:dyDescent="0.3">
      <c r="A286" s="22" t="s">
        <v>2625</v>
      </c>
      <c r="B286" s="23" t="s">
        <v>2714</v>
      </c>
      <c r="C286" s="22">
        <v>80</v>
      </c>
      <c r="D286" s="101"/>
      <c r="E286" s="101"/>
      <c r="F286" s="101"/>
      <c r="G286" s="101"/>
      <c r="H286" s="101"/>
      <c r="I286" s="101"/>
      <c r="J286" s="98">
        <v>27</v>
      </c>
      <c r="K286" s="101">
        <v>111</v>
      </c>
      <c r="L286" s="98">
        <v>27</v>
      </c>
      <c r="M286" s="101">
        <v>111</v>
      </c>
      <c r="N286" s="22" t="s">
        <v>2705</v>
      </c>
      <c r="O286" s="100" t="str">
        <f t="shared" si="34"/>
        <v>龙晶碎片5328/元宝5328000</v>
      </c>
    </row>
    <row r="287" spans="1:15" ht="15.75" x14ac:dyDescent="0.3">
      <c r="A287" s="22" t="s">
        <v>2625</v>
      </c>
      <c r="B287" s="23" t="s">
        <v>2715</v>
      </c>
      <c r="C287" s="22">
        <v>81</v>
      </c>
      <c r="D287" s="101"/>
      <c r="E287" s="101"/>
      <c r="F287" s="101"/>
      <c r="G287" s="101"/>
      <c r="H287" s="101"/>
      <c r="I287" s="101"/>
      <c r="J287" s="98">
        <v>30</v>
      </c>
      <c r="K287" s="101">
        <v>113</v>
      </c>
      <c r="L287" s="98">
        <v>30</v>
      </c>
      <c r="M287" s="101">
        <v>113</v>
      </c>
      <c r="N287" s="22" t="s">
        <v>2716</v>
      </c>
      <c r="O287" s="100" t="str">
        <f t="shared" si="34"/>
        <v>龙晶碎片5328/元宝5328000</v>
      </c>
    </row>
    <row r="288" spans="1:15" ht="15.75" x14ac:dyDescent="0.3">
      <c r="A288" s="22" t="s">
        <v>2625</v>
      </c>
      <c r="B288" s="23" t="s">
        <v>2717</v>
      </c>
      <c r="C288" s="22">
        <v>82</v>
      </c>
      <c r="D288" s="101"/>
      <c r="E288" s="101"/>
      <c r="F288" s="101"/>
      <c r="G288" s="101"/>
      <c r="H288" s="101"/>
      <c r="I288" s="101"/>
      <c r="J288" s="98">
        <v>31</v>
      </c>
      <c r="K288" s="101">
        <v>117</v>
      </c>
      <c r="L288" s="98">
        <v>31</v>
      </c>
      <c r="M288" s="101">
        <v>117</v>
      </c>
      <c r="N288" s="22" t="s">
        <v>2716</v>
      </c>
      <c r="O288" s="100" t="str">
        <f t="shared" si="34"/>
        <v>龙晶碎片5328/元宝5328000</v>
      </c>
    </row>
    <row r="289" spans="1:15" ht="15.75" x14ac:dyDescent="0.3">
      <c r="A289" s="22" t="s">
        <v>2625</v>
      </c>
      <c r="B289" s="23" t="s">
        <v>2718</v>
      </c>
      <c r="C289" s="22">
        <v>83</v>
      </c>
      <c r="D289" s="101"/>
      <c r="E289" s="101"/>
      <c r="F289" s="101"/>
      <c r="G289" s="101"/>
      <c r="H289" s="101"/>
      <c r="I289" s="101"/>
      <c r="J289" s="98">
        <v>32</v>
      </c>
      <c r="K289" s="101">
        <v>120</v>
      </c>
      <c r="L289" s="98">
        <v>32</v>
      </c>
      <c r="M289" s="101">
        <v>120</v>
      </c>
      <c r="N289" s="22" t="s">
        <v>2716</v>
      </c>
      <c r="O289" s="100" t="str">
        <f t="shared" si="34"/>
        <v>龙晶碎片5328/元宝5328000</v>
      </c>
    </row>
    <row r="290" spans="1:15" ht="15.75" x14ac:dyDescent="0.3">
      <c r="A290" s="22" t="s">
        <v>2625</v>
      </c>
      <c r="B290" s="23" t="s">
        <v>2719</v>
      </c>
      <c r="C290" s="22">
        <v>84</v>
      </c>
      <c r="D290" s="101"/>
      <c r="E290" s="101"/>
      <c r="F290" s="101"/>
      <c r="G290" s="101"/>
      <c r="H290" s="101"/>
      <c r="I290" s="101"/>
      <c r="J290" s="98">
        <v>33</v>
      </c>
      <c r="K290" s="101">
        <v>123</v>
      </c>
      <c r="L290" s="98">
        <v>33</v>
      </c>
      <c r="M290" s="101">
        <v>123</v>
      </c>
      <c r="N290" s="22" t="s">
        <v>2716</v>
      </c>
      <c r="O290" s="100" t="str">
        <f t="shared" si="34"/>
        <v>龙晶碎片5328/元宝5328000</v>
      </c>
    </row>
    <row r="291" spans="1:15" ht="15.75" x14ac:dyDescent="0.3">
      <c r="A291" s="22" t="s">
        <v>2625</v>
      </c>
      <c r="B291" s="23" t="s">
        <v>2720</v>
      </c>
      <c r="C291" s="22">
        <v>85</v>
      </c>
      <c r="D291" s="101"/>
      <c r="E291" s="101"/>
      <c r="F291" s="101"/>
      <c r="G291" s="101"/>
      <c r="H291" s="101"/>
      <c r="I291" s="101"/>
      <c r="J291" s="98">
        <v>34</v>
      </c>
      <c r="K291" s="101">
        <v>126</v>
      </c>
      <c r="L291" s="98">
        <v>34</v>
      </c>
      <c r="M291" s="101">
        <v>126</v>
      </c>
      <c r="N291" s="22" t="s">
        <v>2716</v>
      </c>
      <c r="O291" s="100" t="str">
        <f t="shared" si="34"/>
        <v>龙晶碎片5328/元宝5328000</v>
      </c>
    </row>
    <row r="292" spans="1:15" ht="15.75" x14ac:dyDescent="0.3">
      <c r="A292" s="22" t="s">
        <v>2625</v>
      </c>
      <c r="B292" s="23" t="s">
        <v>2721</v>
      </c>
      <c r="C292" s="22">
        <v>86</v>
      </c>
      <c r="D292" s="101"/>
      <c r="E292" s="101"/>
      <c r="F292" s="101"/>
      <c r="G292" s="101"/>
      <c r="H292" s="101"/>
      <c r="I292" s="101"/>
      <c r="J292" s="98">
        <v>35</v>
      </c>
      <c r="K292" s="101">
        <v>129</v>
      </c>
      <c r="L292" s="98">
        <v>35</v>
      </c>
      <c r="M292" s="101">
        <v>129</v>
      </c>
      <c r="N292" s="22" t="s">
        <v>2716</v>
      </c>
      <c r="O292" s="100" t="str">
        <f t="shared" si="34"/>
        <v>龙晶碎片5328/元宝5328000</v>
      </c>
    </row>
    <row r="293" spans="1:15" ht="15.75" x14ac:dyDescent="0.3">
      <c r="A293" s="22" t="s">
        <v>2625</v>
      </c>
      <c r="B293" s="23" t="s">
        <v>2722</v>
      </c>
      <c r="C293" s="22">
        <v>87</v>
      </c>
      <c r="D293" s="101"/>
      <c r="E293" s="101"/>
      <c r="F293" s="101"/>
      <c r="G293" s="101"/>
      <c r="H293" s="101"/>
      <c r="I293" s="101"/>
      <c r="J293" s="98">
        <v>36</v>
      </c>
      <c r="K293" s="101">
        <v>132</v>
      </c>
      <c r="L293" s="98">
        <v>36</v>
      </c>
      <c r="M293" s="101">
        <v>132</v>
      </c>
      <c r="N293" s="22" t="s">
        <v>2716</v>
      </c>
      <c r="O293" s="100" t="str">
        <f t="shared" si="34"/>
        <v>龙晶碎片5328/元宝5328000</v>
      </c>
    </row>
    <row r="294" spans="1:15" ht="15.75" x14ac:dyDescent="0.3">
      <c r="A294" s="22" t="s">
        <v>2625</v>
      </c>
      <c r="B294" s="23" t="s">
        <v>2723</v>
      </c>
      <c r="C294" s="22">
        <v>88</v>
      </c>
      <c r="D294" s="101"/>
      <c r="E294" s="101"/>
      <c r="F294" s="101"/>
      <c r="G294" s="101"/>
      <c r="H294" s="101"/>
      <c r="I294" s="101"/>
      <c r="J294" s="98">
        <v>37</v>
      </c>
      <c r="K294" s="101">
        <v>135</v>
      </c>
      <c r="L294" s="98">
        <v>37</v>
      </c>
      <c r="M294" s="101">
        <v>135</v>
      </c>
      <c r="N294" s="22" t="s">
        <v>2716</v>
      </c>
      <c r="O294" s="100" t="str">
        <f t="shared" si="34"/>
        <v>龙晶碎片5328/元宝5328000</v>
      </c>
    </row>
    <row r="295" spans="1:15" ht="15.75" x14ac:dyDescent="0.3">
      <c r="A295" s="22" t="s">
        <v>2625</v>
      </c>
      <c r="B295" s="23" t="s">
        <v>2724</v>
      </c>
      <c r="C295" s="22">
        <v>89</v>
      </c>
      <c r="D295" s="101"/>
      <c r="E295" s="101"/>
      <c r="F295" s="101"/>
      <c r="G295" s="101"/>
      <c r="H295" s="101"/>
      <c r="I295" s="101"/>
      <c r="J295" s="98">
        <v>38</v>
      </c>
      <c r="K295" s="101">
        <v>138</v>
      </c>
      <c r="L295" s="98">
        <v>38</v>
      </c>
      <c r="M295" s="101">
        <v>138</v>
      </c>
      <c r="N295" s="22" t="s">
        <v>2716</v>
      </c>
      <c r="O295" s="100" t="str">
        <f t="shared" si="34"/>
        <v>龙晶碎片5328/元宝5328000</v>
      </c>
    </row>
    <row r="296" spans="1:15" ht="15.75" x14ac:dyDescent="0.3">
      <c r="A296" s="22" t="s">
        <v>2625</v>
      </c>
      <c r="B296" s="23" t="s">
        <v>2725</v>
      </c>
      <c r="C296" s="22">
        <v>90</v>
      </c>
      <c r="D296" s="101"/>
      <c r="E296" s="101"/>
      <c r="F296" s="101"/>
      <c r="G296" s="101"/>
      <c r="H296" s="101"/>
      <c r="I296" s="101"/>
      <c r="J296" s="98">
        <v>39</v>
      </c>
      <c r="K296" s="101">
        <v>141</v>
      </c>
      <c r="L296" s="98">
        <v>39</v>
      </c>
      <c r="M296" s="101">
        <v>141</v>
      </c>
      <c r="N296" s="22" t="s">
        <v>2716</v>
      </c>
      <c r="O296" s="100" t="str">
        <f t="shared" si="34"/>
        <v>龙晶碎片5839/元宝5839000</v>
      </c>
    </row>
    <row r="297" spans="1:15" ht="15.75" x14ac:dyDescent="0.3">
      <c r="A297" s="22" t="s">
        <v>2625</v>
      </c>
      <c r="B297" s="23" t="s">
        <v>2726</v>
      </c>
      <c r="C297" s="22">
        <v>91</v>
      </c>
      <c r="D297" s="101"/>
      <c r="E297" s="101"/>
      <c r="F297" s="101"/>
      <c r="G297" s="101"/>
      <c r="H297" s="101"/>
      <c r="I297" s="101"/>
      <c r="J297" s="98">
        <v>40</v>
      </c>
      <c r="K297" s="101">
        <v>143</v>
      </c>
      <c r="L297" s="98">
        <v>40</v>
      </c>
      <c r="M297" s="101">
        <v>143</v>
      </c>
      <c r="N297" s="22" t="s">
        <v>2727</v>
      </c>
      <c r="O297" s="100" t="str">
        <f t="shared" si="34"/>
        <v>龙晶碎片5839/元宝5839000</v>
      </c>
    </row>
    <row r="298" spans="1:15" ht="15.75" x14ac:dyDescent="0.3">
      <c r="A298" s="22" t="s">
        <v>2625</v>
      </c>
      <c r="B298" s="23" t="s">
        <v>2728</v>
      </c>
      <c r="C298" s="22">
        <v>92</v>
      </c>
      <c r="D298" s="101"/>
      <c r="E298" s="101"/>
      <c r="F298" s="101"/>
      <c r="G298" s="101"/>
      <c r="H298" s="101"/>
      <c r="I298" s="101"/>
      <c r="J298" s="98">
        <v>41</v>
      </c>
      <c r="K298" s="101">
        <v>147</v>
      </c>
      <c r="L298" s="98">
        <v>41</v>
      </c>
      <c r="M298" s="101">
        <v>147</v>
      </c>
      <c r="N298" s="22" t="s">
        <v>2727</v>
      </c>
      <c r="O298" s="100" t="str">
        <f t="shared" si="34"/>
        <v>龙晶碎片5839/元宝5839000</v>
      </c>
    </row>
    <row r="299" spans="1:15" ht="15.75" x14ac:dyDescent="0.3">
      <c r="A299" s="22" t="s">
        <v>2625</v>
      </c>
      <c r="B299" s="23" t="s">
        <v>2729</v>
      </c>
      <c r="C299" s="22">
        <v>93</v>
      </c>
      <c r="D299" s="101"/>
      <c r="E299" s="101"/>
      <c r="F299" s="101"/>
      <c r="G299" s="101"/>
      <c r="H299" s="101"/>
      <c r="I299" s="101"/>
      <c r="J299" s="98">
        <v>42</v>
      </c>
      <c r="K299" s="101">
        <v>150</v>
      </c>
      <c r="L299" s="98">
        <v>42</v>
      </c>
      <c r="M299" s="101">
        <v>150</v>
      </c>
      <c r="N299" s="22" t="s">
        <v>2727</v>
      </c>
      <c r="O299" s="100" t="str">
        <f t="shared" si="34"/>
        <v>龙晶碎片5839/元宝5839000</v>
      </c>
    </row>
    <row r="300" spans="1:15" ht="15.75" x14ac:dyDescent="0.3">
      <c r="A300" s="22" t="s">
        <v>2625</v>
      </c>
      <c r="B300" s="23" t="s">
        <v>2730</v>
      </c>
      <c r="C300" s="22">
        <v>94</v>
      </c>
      <c r="D300" s="101"/>
      <c r="E300" s="101"/>
      <c r="F300" s="101"/>
      <c r="G300" s="101"/>
      <c r="H300" s="101"/>
      <c r="I300" s="101"/>
      <c r="J300" s="98">
        <v>43</v>
      </c>
      <c r="K300" s="101">
        <v>153</v>
      </c>
      <c r="L300" s="98">
        <v>43</v>
      </c>
      <c r="M300" s="101">
        <v>153</v>
      </c>
      <c r="N300" s="22" t="s">
        <v>2727</v>
      </c>
      <c r="O300" s="100" t="str">
        <f t="shared" si="34"/>
        <v>龙晶碎片5839/元宝5839000</v>
      </c>
    </row>
    <row r="301" spans="1:15" ht="15.75" x14ac:dyDescent="0.3">
      <c r="A301" s="22" t="s">
        <v>2625</v>
      </c>
      <c r="B301" s="23" t="s">
        <v>2731</v>
      </c>
      <c r="C301" s="22">
        <v>95</v>
      </c>
      <c r="D301" s="101"/>
      <c r="E301" s="101"/>
      <c r="F301" s="101"/>
      <c r="G301" s="101"/>
      <c r="H301" s="101"/>
      <c r="I301" s="101"/>
      <c r="J301" s="98">
        <v>44</v>
      </c>
      <c r="K301" s="101">
        <v>156</v>
      </c>
      <c r="L301" s="98">
        <v>44</v>
      </c>
      <c r="M301" s="101">
        <v>156</v>
      </c>
      <c r="N301" s="22" t="s">
        <v>2727</v>
      </c>
      <c r="O301" s="100" t="str">
        <f t="shared" si="34"/>
        <v>龙晶碎片5839/元宝5839000</v>
      </c>
    </row>
    <row r="302" spans="1:15" ht="15.75" x14ac:dyDescent="0.3">
      <c r="A302" s="22" t="s">
        <v>2625</v>
      </c>
      <c r="B302" s="23" t="s">
        <v>2732</v>
      </c>
      <c r="C302" s="22">
        <v>96</v>
      </c>
      <c r="D302" s="101"/>
      <c r="E302" s="101"/>
      <c r="F302" s="101"/>
      <c r="G302" s="101"/>
      <c r="H302" s="101"/>
      <c r="I302" s="101"/>
      <c r="J302" s="98">
        <v>45</v>
      </c>
      <c r="K302" s="101">
        <v>159</v>
      </c>
      <c r="L302" s="98">
        <v>45</v>
      </c>
      <c r="M302" s="101">
        <v>159</v>
      </c>
      <c r="N302" s="22" t="s">
        <v>2727</v>
      </c>
      <c r="O302" s="100" t="str">
        <f t="shared" si="34"/>
        <v>龙晶碎片5839/元宝5839000</v>
      </c>
    </row>
    <row r="303" spans="1:15" ht="15.75" x14ac:dyDescent="0.3">
      <c r="A303" s="22" t="s">
        <v>2625</v>
      </c>
      <c r="B303" s="23" t="s">
        <v>2733</v>
      </c>
      <c r="C303" s="22">
        <v>97</v>
      </c>
      <c r="D303" s="101"/>
      <c r="E303" s="101"/>
      <c r="F303" s="101"/>
      <c r="G303" s="101"/>
      <c r="H303" s="101"/>
      <c r="I303" s="101"/>
      <c r="J303" s="98">
        <v>46</v>
      </c>
      <c r="K303" s="101">
        <v>162</v>
      </c>
      <c r="L303" s="98">
        <v>46</v>
      </c>
      <c r="M303" s="101">
        <v>162</v>
      </c>
      <c r="N303" s="22" t="s">
        <v>2727</v>
      </c>
      <c r="O303" s="100" t="str">
        <f t="shared" si="34"/>
        <v>龙晶碎片5839/元宝5839000</v>
      </c>
    </row>
    <row r="304" spans="1:15" ht="15.75" x14ac:dyDescent="0.3">
      <c r="A304" s="22" t="s">
        <v>2625</v>
      </c>
      <c r="B304" s="23" t="s">
        <v>2734</v>
      </c>
      <c r="C304" s="22">
        <v>98</v>
      </c>
      <c r="D304" s="101"/>
      <c r="E304" s="101"/>
      <c r="F304" s="101"/>
      <c r="G304" s="101"/>
      <c r="H304" s="101"/>
      <c r="I304" s="101"/>
      <c r="J304" s="98">
        <v>47</v>
      </c>
      <c r="K304" s="101">
        <v>165</v>
      </c>
      <c r="L304" s="98">
        <v>47</v>
      </c>
      <c r="M304" s="101">
        <v>165</v>
      </c>
      <c r="N304" s="22" t="s">
        <v>2727</v>
      </c>
      <c r="O304" s="100" t="str">
        <f t="shared" si="34"/>
        <v>龙晶碎片5839/元宝5839000</v>
      </c>
    </row>
    <row r="305" spans="1:15" ht="15.75" x14ac:dyDescent="0.3">
      <c r="A305" s="22" t="s">
        <v>2625</v>
      </c>
      <c r="B305" s="23" t="s">
        <v>2735</v>
      </c>
      <c r="C305" s="22">
        <v>99</v>
      </c>
      <c r="D305" s="101"/>
      <c r="E305" s="101"/>
      <c r="F305" s="101"/>
      <c r="G305" s="101"/>
      <c r="H305" s="101"/>
      <c r="I305" s="101"/>
      <c r="J305" s="98">
        <v>48</v>
      </c>
      <c r="K305" s="101">
        <v>168</v>
      </c>
      <c r="L305" s="98">
        <v>48</v>
      </c>
      <c r="M305" s="101">
        <v>168</v>
      </c>
      <c r="N305" s="22" t="s">
        <v>2727</v>
      </c>
      <c r="O305" s="100" t="str">
        <f t="shared" si="34"/>
        <v>龙晶碎片5839/元宝5839000</v>
      </c>
    </row>
    <row r="306" spans="1:15" ht="15.75" x14ac:dyDescent="0.3">
      <c r="A306" s="22" t="s">
        <v>2625</v>
      </c>
      <c r="B306" s="23" t="s">
        <v>2736</v>
      </c>
      <c r="C306" s="22">
        <v>100</v>
      </c>
      <c r="D306" s="101"/>
      <c r="E306" s="101"/>
      <c r="F306" s="101"/>
      <c r="G306" s="101"/>
      <c r="H306" s="101"/>
      <c r="I306" s="101"/>
      <c r="J306" s="98">
        <v>50</v>
      </c>
      <c r="K306" s="102">
        <v>168</v>
      </c>
      <c r="L306" s="98">
        <v>50</v>
      </c>
      <c r="M306" s="102">
        <v>168</v>
      </c>
      <c r="N306" s="22" t="s">
        <v>2727</v>
      </c>
      <c r="O306" s="22"/>
    </row>
    <row r="307" spans="1:15" ht="15.75" x14ac:dyDescent="0.3">
      <c r="A307" s="22" t="s">
        <v>2737</v>
      </c>
      <c r="B307" s="23" t="s">
        <v>2738</v>
      </c>
      <c r="C307" s="22">
        <v>0</v>
      </c>
      <c r="D307" s="98"/>
      <c r="E307" s="101"/>
      <c r="F307" s="98"/>
      <c r="G307" s="101"/>
      <c r="H307" s="98"/>
      <c r="I307" s="101"/>
      <c r="J307" s="98"/>
      <c r="K307" s="101"/>
      <c r="L307" s="98"/>
      <c r="M307" s="101"/>
      <c r="N307" s="22"/>
      <c r="O307" s="100" t="str">
        <f>"龙晶碎片"&amp;Z4&amp;"/元宝"&amp;AA4</f>
        <v>龙晶碎片6/元宝6000</v>
      </c>
    </row>
    <row r="308" spans="1:15" ht="15.75" x14ac:dyDescent="0.3">
      <c r="A308" s="22" t="s">
        <v>2737</v>
      </c>
      <c r="B308" s="23" t="s">
        <v>2739</v>
      </c>
      <c r="C308" s="22">
        <v>1</v>
      </c>
      <c r="D308" s="98">
        <v>1</v>
      </c>
      <c r="E308" s="101">
        <v>2</v>
      </c>
      <c r="F308" s="98">
        <v>1</v>
      </c>
      <c r="G308" s="101">
        <v>2</v>
      </c>
      <c r="H308" s="98">
        <v>1</v>
      </c>
      <c r="I308" s="101">
        <v>2</v>
      </c>
      <c r="J308" s="98">
        <v>1</v>
      </c>
      <c r="K308" s="101">
        <v>2</v>
      </c>
      <c r="L308" s="98">
        <v>1</v>
      </c>
      <c r="M308" s="101">
        <v>2</v>
      </c>
      <c r="N308" s="22" t="s">
        <v>2740</v>
      </c>
      <c r="O308" s="100" t="str">
        <f t="shared" ref="O308:O371" si="35">"龙晶碎片"&amp;Z5&amp;"/元宝"&amp;AA5</f>
        <v>龙晶碎片6/元宝6000</v>
      </c>
    </row>
    <row r="309" spans="1:15" ht="15.75" x14ac:dyDescent="0.3">
      <c r="A309" s="22" t="s">
        <v>2737</v>
      </c>
      <c r="B309" s="23" t="s">
        <v>2741</v>
      </c>
      <c r="C309" s="22">
        <v>2</v>
      </c>
      <c r="D309" s="98">
        <v>1</v>
      </c>
      <c r="E309" s="101">
        <v>3</v>
      </c>
      <c r="F309" s="98">
        <v>1</v>
      </c>
      <c r="G309" s="101">
        <v>3</v>
      </c>
      <c r="H309" s="98">
        <v>1</v>
      </c>
      <c r="I309" s="101">
        <v>3</v>
      </c>
      <c r="J309" s="98">
        <v>1</v>
      </c>
      <c r="K309" s="101">
        <v>3</v>
      </c>
      <c r="L309" s="98">
        <v>1</v>
      </c>
      <c r="M309" s="101">
        <v>3</v>
      </c>
      <c r="N309" s="22" t="s">
        <v>2740</v>
      </c>
      <c r="O309" s="100" t="str">
        <f t="shared" si="35"/>
        <v>龙晶碎片6/元宝6000</v>
      </c>
    </row>
    <row r="310" spans="1:15" ht="15.75" x14ac:dyDescent="0.3">
      <c r="A310" s="22" t="s">
        <v>2737</v>
      </c>
      <c r="B310" s="23" t="s">
        <v>2742</v>
      </c>
      <c r="C310" s="22">
        <v>3</v>
      </c>
      <c r="D310" s="98">
        <v>1</v>
      </c>
      <c r="E310" s="101">
        <v>4</v>
      </c>
      <c r="F310" s="98">
        <v>1</v>
      </c>
      <c r="G310" s="101">
        <v>4</v>
      </c>
      <c r="H310" s="98">
        <v>1</v>
      </c>
      <c r="I310" s="101">
        <v>4</v>
      </c>
      <c r="J310" s="98">
        <v>1</v>
      </c>
      <c r="K310" s="101">
        <v>4</v>
      </c>
      <c r="L310" s="98">
        <v>1</v>
      </c>
      <c r="M310" s="101">
        <v>4</v>
      </c>
      <c r="N310" s="22" t="s">
        <v>2740</v>
      </c>
      <c r="O310" s="100" t="str">
        <f t="shared" si="35"/>
        <v>龙晶碎片6/元宝6000</v>
      </c>
    </row>
    <row r="311" spans="1:15" ht="15.75" x14ac:dyDescent="0.3">
      <c r="A311" s="22" t="s">
        <v>2737</v>
      </c>
      <c r="B311" s="23" t="s">
        <v>2743</v>
      </c>
      <c r="C311" s="22">
        <v>4</v>
      </c>
      <c r="D311" s="98">
        <v>1</v>
      </c>
      <c r="E311" s="101">
        <v>5</v>
      </c>
      <c r="F311" s="98">
        <v>1</v>
      </c>
      <c r="G311" s="101">
        <v>5</v>
      </c>
      <c r="H311" s="98">
        <v>1</v>
      </c>
      <c r="I311" s="101">
        <v>5</v>
      </c>
      <c r="J311" s="98">
        <v>1</v>
      </c>
      <c r="K311" s="101">
        <v>5</v>
      </c>
      <c r="L311" s="98">
        <v>1</v>
      </c>
      <c r="M311" s="101">
        <v>5</v>
      </c>
      <c r="N311" s="22" t="s">
        <v>2740</v>
      </c>
      <c r="O311" s="100" t="str">
        <f t="shared" si="35"/>
        <v>龙晶碎片6/元宝6000</v>
      </c>
    </row>
    <row r="312" spans="1:15" ht="15.75" x14ac:dyDescent="0.3">
      <c r="A312" s="22" t="s">
        <v>2737</v>
      </c>
      <c r="B312" s="23" t="s">
        <v>2744</v>
      </c>
      <c r="C312" s="22">
        <v>5</v>
      </c>
      <c r="D312" s="98">
        <v>2</v>
      </c>
      <c r="E312" s="101">
        <v>6</v>
      </c>
      <c r="F312" s="98">
        <v>2</v>
      </c>
      <c r="G312" s="101">
        <v>6</v>
      </c>
      <c r="H312" s="98">
        <v>2</v>
      </c>
      <c r="I312" s="101">
        <v>6</v>
      </c>
      <c r="J312" s="98">
        <v>2</v>
      </c>
      <c r="K312" s="101">
        <v>6</v>
      </c>
      <c r="L312" s="98">
        <v>2</v>
      </c>
      <c r="M312" s="101">
        <v>6</v>
      </c>
      <c r="N312" s="22" t="s">
        <v>2740</v>
      </c>
      <c r="O312" s="100" t="str">
        <f t="shared" si="35"/>
        <v>龙晶碎片6/元宝6000</v>
      </c>
    </row>
    <row r="313" spans="1:15" ht="15.75" x14ac:dyDescent="0.3">
      <c r="A313" s="22" t="s">
        <v>2737</v>
      </c>
      <c r="B313" s="23" t="s">
        <v>2745</v>
      </c>
      <c r="C313" s="22">
        <v>6</v>
      </c>
      <c r="D313" s="98">
        <v>2</v>
      </c>
      <c r="E313" s="101">
        <v>7</v>
      </c>
      <c r="F313" s="98">
        <v>2</v>
      </c>
      <c r="G313" s="101">
        <v>7</v>
      </c>
      <c r="H313" s="98">
        <v>2</v>
      </c>
      <c r="I313" s="101">
        <v>7</v>
      </c>
      <c r="J313" s="98">
        <v>2</v>
      </c>
      <c r="K313" s="101">
        <v>7</v>
      </c>
      <c r="L313" s="98">
        <v>2</v>
      </c>
      <c r="M313" s="101">
        <v>7</v>
      </c>
      <c r="N313" s="22" t="s">
        <v>2740</v>
      </c>
      <c r="O313" s="100" t="str">
        <f t="shared" si="35"/>
        <v>龙晶碎片6/元宝6000</v>
      </c>
    </row>
    <row r="314" spans="1:15" ht="15.75" x14ac:dyDescent="0.3">
      <c r="A314" s="22" t="s">
        <v>2737</v>
      </c>
      <c r="B314" s="23" t="s">
        <v>2746</v>
      </c>
      <c r="C314" s="22">
        <v>7</v>
      </c>
      <c r="D314" s="98">
        <v>2</v>
      </c>
      <c r="E314" s="101">
        <v>8</v>
      </c>
      <c r="F314" s="98">
        <v>2</v>
      </c>
      <c r="G314" s="101">
        <v>8</v>
      </c>
      <c r="H314" s="98">
        <v>2</v>
      </c>
      <c r="I314" s="101">
        <v>8</v>
      </c>
      <c r="J314" s="98">
        <v>2</v>
      </c>
      <c r="K314" s="101">
        <v>8</v>
      </c>
      <c r="L314" s="98">
        <v>2</v>
      </c>
      <c r="M314" s="101">
        <v>8</v>
      </c>
      <c r="N314" s="22" t="s">
        <v>2740</v>
      </c>
      <c r="O314" s="100" t="str">
        <f t="shared" si="35"/>
        <v>龙晶碎片6/元宝6000</v>
      </c>
    </row>
    <row r="315" spans="1:15" ht="15.75" x14ac:dyDescent="0.3">
      <c r="A315" s="22" t="s">
        <v>2737</v>
      </c>
      <c r="B315" s="23" t="s">
        <v>2747</v>
      </c>
      <c r="C315" s="22">
        <v>8</v>
      </c>
      <c r="D315" s="98">
        <v>3</v>
      </c>
      <c r="E315" s="101">
        <v>9</v>
      </c>
      <c r="F315" s="98">
        <v>3</v>
      </c>
      <c r="G315" s="101">
        <v>9</v>
      </c>
      <c r="H315" s="98">
        <v>3</v>
      </c>
      <c r="I315" s="101">
        <v>9</v>
      </c>
      <c r="J315" s="98">
        <v>3</v>
      </c>
      <c r="K315" s="101">
        <v>9</v>
      </c>
      <c r="L315" s="98">
        <v>3</v>
      </c>
      <c r="M315" s="101">
        <v>9</v>
      </c>
      <c r="N315" s="22" t="s">
        <v>2740</v>
      </c>
      <c r="O315" s="100" t="str">
        <f t="shared" si="35"/>
        <v>龙晶碎片6/元宝6000</v>
      </c>
    </row>
    <row r="316" spans="1:15" ht="15.75" x14ac:dyDescent="0.3">
      <c r="A316" s="22" t="s">
        <v>2737</v>
      </c>
      <c r="B316" s="23" t="s">
        <v>2748</v>
      </c>
      <c r="C316" s="22">
        <v>9</v>
      </c>
      <c r="D316" s="98">
        <v>3</v>
      </c>
      <c r="E316" s="101">
        <v>10</v>
      </c>
      <c r="F316" s="98">
        <v>3</v>
      </c>
      <c r="G316" s="101">
        <v>10</v>
      </c>
      <c r="H316" s="98">
        <v>3</v>
      </c>
      <c r="I316" s="101">
        <v>10</v>
      </c>
      <c r="J316" s="98">
        <v>3</v>
      </c>
      <c r="K316" s="101">
        <v>10</v>
      </c>
      <c r="L316" s="98">
        <v>3</v>
      </c>
      <c r="M316" s="101">
        <v>10</v>
      </c>
      <c r="N316" s="22" t="s">
        <v>2740</v>
      </c>
      <c r="O316" s="100" t="str">
        <f t="shared" si="35"/>
        <v>龙晶碎片6/元宝6000</v>
      </c>
    </row>
    <row r="317" spans="1:15" ht="15.75" x14ac:dyDescent="0.3">
      <c r="A317" s="22" t="s">
        <v>2737</v>
      </c>
      <c r="B317" s="23" t="s">
        <v>2749</v>
      </c>
      <c r="C317" s="22">
        <v>10</v>
      </c>
      <c r="D317" s="98">
        <v>3</v>
      </c>
      <c r="E317" s="101">
        <v>11</v>
      </c>
      <c r="F317" s="98">
        <v>3</v>
      </c>
      <c r="G317" s="101">
        <v>11</v>
      </c>
      <c r="H317" s="98">
        <v>3</v>
      </c>
      <c r="I317" s="101">
        <v>11</v>
      </c>
      <c r="J317" s="98">
        <v>3</v>
      </c>
      <c r="K317" s="101">
        <v>11</v>
      </c>
      <c r="L317" s="98">
        <v>3</v>
      </c>
      <c r="M317" s="101">
        <v>11</v>
      </c>
      <c r="N317" s="22" t="s">
        <v>2740</v>
      </c>
      <c r="O317" s="100" t="str">
        <f t="shared" si="35"/>
        <v>龙晶碎片10/元宝10000</v>
      </c>
    </row>
    <row r="318" spans="1:15" ht="15.75" x14ac:dyDescent="0.3">
      <c r="A318" s="22" t="s">
        <v>2737</v>
      </c>
      <c r="B318" s="23" t="s">
        <v>2750</v>
      </c>
      <c r="C318" s="22">
        <v>11</v>
      </c>
      <c r="D318" s="98">
        <v>4</v>
      </c>
      <c r="E318" s="101">
        <v>12</v>
      </c>
      <c r="F318" s="98">
        <v>4</v>
      </c>
      <c r="G318" s="101">
        <v>12</v>
      </c>
      <c r="H318" s="98">
        <v>4</v>
      </c>
      <c r="I318" s="101">
        <v>12</v>
      </c>
      <c r="J318" s="98">
        <v>4</v>
      </c>
      <c r="K318" s="101">
        <v>12</v>
      </c>
      <c r="L318" s="98">
        <v>4</v>
      </c>
      <c r="M318" s="101">
        <v>12</v>
      </c>
      <c r="N318" s="22" t="s">
        <v>2751</v>
      </c>
      <c r="O318" s="100" t="str">
        <f t="shared" si="35"/>
        <v>龙晶碎片10/元宝10000</v>
      </c>
    </row>
    <row r="319" spans="1:15" ht="15.75" x14ac:dyDescent="0.3">
      <c r="A319" s="22" t="s">
        <v>2737</v>
      </c>
      <c r="B319" s="23" t="s">
        <v>2752</v>
      </c>
      <c r="C319" s="22">
        <v>12</v>
      </c>
      <c r="D319" s="98">
        <v>4</v>
      </c>
      <c r="E319" s="101">
        <v>13</v>
      </c>
      <c r="F319" s="98">
        <v>4</v>
      </c>
      <c r="G319" s="101">
        <v>13</v>
      </c>
      <c r="H319" s="98">
        <v>4</v>
      </c>
      <c r="I319" s="101">
        <v>13</v>
      </c>
      <c r="J319" s="98">
        <v>4</v>
      </c>
      <c r="K319" s="101">
        <v>13</v>
      </c>
      <c r="L319" s="98">
        <v>4</v>
      </c>
      <c r="M319" s="101">
        <v>13</v>
      </c>
      <c r="N319" s="22" t="s">
        <v>2751</v>
      </c>
      <c r="O319" s="100" t="str">
        <f t="shared" si="35"/>
        <v>龙晶碎片10/元宝10000</v>
      </c>
    </row>
    <row r="320" spans="1:15" ht="15.75" x14ac:dyDescent="0.3">
      <c r="A320" s="22" t="s">
        <v>2737</v>
      </c>
      <c r="B320" s="23" t="s">
        <v>2753</v>
      </c>
      <c r="C320" s="22">
        <v>13</v>
      </c>
      <c r="D320" s="98">
        <v>4</v>
      </c>
      <c r="E320" s="101">
        <v>14</v>
      </c>
      <c r="F320" s="98">
        <v>4</v>
      </c>
      <c r="G320" s="101">
        <v>14</v>
      </c>
      <c r="H320" s="98">
        <v>4</v>
      </c>
      <c r="I320" s="101">
        <v>14</v>
      </c>
      <c r="J320" s="98">
        <v>4</v>
      </c>
      <c r="K320" s="101">
        <v>14</v>
      </c>
      <c r="L320" s="98">
        <v>4</v>
      </c>
      <c r="M320" s="101">
        <v>14</v>
      </c>
      <c r="N320" s="22" t="s">
        <v>2751</v>
      </c>
      <c r="O320" s="100" t="str">
        <f t="shared" si="35"/>
        <v>龙晶碎片10/元宝10000</v>
      </c>
    </row>
    <row r="321" spans="1:15" ht="15.75" x14ac:dyDescent="0.3">
      <c r="A321" s="22" t="s">
        <v>2737</v>
      </c>
      <c r="B321" s="23" t="s">
        <v>2754</v>
      </c>
      <c r="C321" s="22">
        <v>14</v>
      </c>
      <c r="D321" s="98">
        <v>4</v>
      </c>
      <c r="E321" s="101">
        <v>15</v>
      </c>
      <c r="F321" s="98">
        <v>4</v>
      </c>
      <c r="G321" s="101">
        <v>15</v>
      </c>
      <c r="H321" s="98">
        <v>4</v>
      </c>
      <c r="I321" s="101">
        <v>15</v>
      </c>
      <c r="J321" s="98">
        <v>4</v>
      </c>
      <c r="K321" s="101">
        <v>15</v>
      </c>
      <c r="L321" s="98">
        <v>4</v>
      </c>
      <c r="M321" s="101">
        <v>15</v>
      </c>
      <c r="N321" s="22" t="s">
        <v>2751</v>
      </c>
      <c r="O321" s="100" t="str">
        <f t="shared" si="35"/>
        <v>龙晶碎片10/元宝10000</v>
      </c>
    </row>
    <row r="322" spans="1:15" ht="15.75" x14ac:dyDescent="0.3">
      <c r="A322" s="22" t="s">
        <v>2737</v>
      </c>
      <c r="B322" s="23" t="s">
        <v>2755</v>
      </c>
      <c r="C322" s="22">
        <v>15</v>
      </c>
      <c r="D322" s="98">
        <v>5</v>
      </c>
      <c r="E322" s="101">
        <v>16</v>
      </c>
      <c r="F322" s="98">
        <v>5</v>
      </c>
      <c r="G322" s="101">
        <v>16</v>
      </c>
      <c r="H322" s="98">
        <v>5</v>
      </c>
      <c r="I322" s="101">
        <v>16</v>
      </c>
      <c r="J322" s="98">
        <v>5</v>
      </c>
      <c r="K322" s="101">
        <v>16</v>
      </c>
      <c r="L322" s="98">
        <v>5</v>
      </c>
      <c r="M322" s="101">
        <v>16</v>
      </c>
      <c r="N322" s="22" t="s">
        <v>2751</v>
      </c>
      <c r="O322" s="100" t="str">
        <f t="shared" si="35"/>
        <v>龙晶碎片10/元宝10000</v>
      </c>
    </row>
    <row r="323" spans="1:15" ht="15.75" x14ac:dyDescent="0.3">
      <c r="A323" s="22" t="s">
        <v>2737</v>
      </c>
      <c r="B323" s="23" t="s">
        <v>2756</v>
      </c>
      <c r="C323" s="22">
        <v>16</v>
      </c>
      <c r="D323" s="98">
        <v>5</v>
      </c>
      <c r="E323" s="101">
        <v>17</v>
      </c>
      <c r="F323" s="98">
        <v>5</v>
      </c>
      <c r="G323" s="101">
        <v>17</v>
      </c>
      <c r="H323" s="98">
        <v>5</v>
      </c>
      <c r="I323" s="101">
        <v>17</v>
      </c>
      <c r="J323" s="98">
        <v>5</v>
      </c>
      <c r="K323" s="101">
        <v>17</v>
      </c>
      <c r="L323" s="98">
        <v>5</v>
      </c>
      <c r="M323" s="101">
        <v>17</v>
      </c>
      <c r="N323" s="22" t="s">
        <v>2751</v>
      </c>
      <c r="O323" s="100" t="str">
        <f t="shared" si="35"/>
        <v>龙晶碎片10/元宝10000</v>
      </c>
    </row>
    <row r="324" spans="1:15" ht="15.75" x14ac:dyDescent="0.3">
      <c r="A324" s="22" t="s">
        <v>2737</v>
      </c>
      <c r="B324" s="23" t="s">
        <v>2757</v>
      </c>
      <c r="C324" s="22">
        <v>17</v>
      </c>
      <c r="D324" s="98">
        <v>5</v>
      </c>
      <c r="E324" s="101">
        <v>18</v>
      </c>
      <c r="F324" s="98">
        <v>5</v>
      </c>
      <c r="G324" s="101">
        <v>18</v>
      </c>
      <c r="H324" s="98">
        <v>5</v>
      </c>
      <c r="I324" s="101">
        <v>18</v>
      </c>
      <c r="J324" s="98">
        <v>5</v>
      </c>
      <c r="K324" s="101">
        <v>18</v>
      </c>
      <c r="L324" s="98">
        <v>5</v>
      </c>
      <c r="M324" s="101">
        <v>18</v>
      </c>
      <c r="N324" s="22" t="s">
        <v>2751</v>
      </c>
      <c r="O324" s="100" t="str">
        <f t="shared" si="35"/>
        <v>龙晶碎片10/元宝10000</v>
      </c>
    </row>
    <row r="325" spans="1:15" ht="15.75" x14ac:dyDescent="0.3">
      <c r="A325" s="22" t="s">
        <v>2737</v>
      </c>
      <c r="B325" s="23" t="s">
        <v>2758</v>
      </c>
      <c r="C325" s="22">
        <v>18</v>
      </c>
      <c r="D325" s="98">
        <v>6</v>
      </c>
      <c r="E325" s="101">
        <v>19</v>
      </c>
      <c r="F325" s="98">
        <v>6</v>
      </c>
      <c r="G325" s="101">
        <v>19</v>
      </c>
      <c r="H325" s="98">
        <v>6</v>
      </c>
      <c r="I325" s="101">
        <v>19</v>
      </c>
      <c r="J325" s="98">
        <v>6</v>
      </c>
      <c r="K325" s="101">
        <v>19</v>
      </c>
      <c r="L325" s="98">
        <v>6</v>
      </c>
      <c r="M325" s="101">
        <v>19</v>
      </c>
      <c r="N325" s="22" t="s">
        <v>2751</v>
      </c>
      <c r="O325" s="100" t="str">
        <f t="shared" si="35"/>
        <v>龙晶碎片10/元宝10000</v>
      </c>
    </row>
    <row r="326" spans="1:15" ht="15.75" x14ac:dyDescent="0.3">
      <c r="A326" s="22" t="s">
        <v>2737</v>
      </c>
      <c r="B326" s="23" t="s">
        <v>2759</v>
      </c>
      <c r="C326" s="22">
        <v>19</v>
      </c>
      <c r="D326" s="98">
        <v>6</v>
      </c>
      <c r="E326" s="101">
        <v>20</v>
      </c>
      <c r="F326" s="98">
        <v>6</v>
      </c>
      <c r="G326" s="101">
        <v>20</v>
      </c>
      <c r="H326" s="98">
        <v>6</v>
      </c>
      <c r="I326" s="101">
        <v>20</v>
      </c>
      <c r="J326" s="98">
        <v>6</v>
      </c>
      <c r="K326" s="101">
        <v>20</v>
      </c>
      <c r="L326" s="98">
        <v>6</v>
      </c>
      <c r="M326" s="101">
        <v>20</v>
      </c>
      <c r="N326" s="22" t="s">
        <v>2751</v>
      </c>
      <c r="O326" s="100" t="str">
        <f t="shared" si="35"/>
        <v>龙晶碎片10/元宝10000</v>
      </c>
    </row>
    <row r="327" spans="1:15" ht="15.75" x14ac:dyDescent="0.3">
      <c r="A327" s="22" t="s">
        <v>2737</v>
      </c>
      <c r="B327" s="23" t="s">
        <v>2760</v>
      </c>
      <c r="C327" s="22">
        <v>20</v>
      </c>
      <c r="D327" s="98">
        <v>6</v>
      </c>
      <c r="E327" s="101">
        <v>21</v>
      </c>
      <c r="F327" s="98">
        <v>6</v>
      </c>
      <c r="G327" s="101">
        <v>21</v>
      </c>
      <c r="H327" s="98">
        <v>6</v>
      </c>
      <c r="I327" s="101">
        <v>21</v>
      </c>
      <c r="J327" s="98">
        <v>6</v>
      </c>
      <c r="K327" s="101">
        <v>21</v>
      </c>
      <c r="L327" s="98">
        <v>6</v>
      </c>
      <c r="M327" s="101">
        <v>21</v>
      </c>
      <c r="N327" s="22" t="s">
        <v>2751</v>
      </c>
      <c r="O327" s="100" t="str">
        <f t="shared" si="35"/>
        <v>龙晶碎片26/元宝26000</v>
      </c>
    </row>
    <row r="328" spans="1:15" ht="15.75" x14ac:dyDescent="0.3">
      <c r="A328" s="22" t="s">
        <v>2737</v>
      </c>
      <c r="B328" s="23" t="s">
        <v>2761</v>
      </c>
      <c r="C328" s="22">
        <v>21</v>
      </c>
      <c r="D328" s="98">
        <v>7</v>
      </c>
      <c r="E328" s="101">
        <v>21</v>
      </c>
      <c r="F328" s="98">
        <v>7</v>
      </c>
      <c r="G328" s="101">
        <v>21</v>
      </c>
      <c r="H328" s="98">
        <v>7</v>
      </c>
      <c r="I328" s="101">
        <v>21</v>
      </c>
      <c r="J328" s="98">
        <v>7</v>
      </c>
      <c r="K328" s="101">
        <v>21</v>
      </c>
      <c r="L328" s="98">
        <v>7</v>
      </c>
      <c r="M328" s="101">
        <v>21</v>
      </c>
      <c r="N328" s="22" t="s">
        <v>2762</v>
      </c>
      <c r="O328" s="100" t="str">
        <f t="shared" si="35"/>
        <v>龙晶碎片26/元宝26000</v>
      </c>
    </row>
    <row r="329" spans="1:15" ht="15.75" x14ac:dyDescent="0.3">
      <c r="A329" s="22" t="s">
        <v>2737</v>
      </c>
      <c r="B329" s="23" t="s">
        <v>2763</v>
      </c>
      <c r="C329" s="22">
        <v>22</v>
      </c>
      <c r="D329" s="98">
        <v>7</v>
      </c>
      <c r="E329" s="101">
        <v>23</v>
      </c>
      <c r="F329" s="98">
        <v>7</v>
      </c>
      <c r="G329" s="101">
        <v>23</v>
      </c>
      <c r="H329" s="98">
        <v>7</v>
      </c>
      <c r="I329" s="101">
        <v>23</v>
      </c>
      <c r="J329" s="98">
        <v>7</v>
      </c>
      <c r="K329" s="101">
        <v>23</v>
      </c>
      <c r="L329" s="98">
        <v>7</v>
      </c>
      <c r="M329" s="101">
        <v>23</v>
      </c>
      <c r="N329" s="22" t="s">
        <v>2762</v>
      </c>
      <c r="O329" s="100" t="str">
        <f t="shared" si="35"/>
        <v>龙晶碎片26/元宝26000</v>
      </c>
    </row>
    <row r="330" spans="1:15" ht="15.75" x14ac:dyDescent="0.3">
      <c r="A330" s="22" t="s">
        <v>2737</v>
      </c>
      <c r="B330" s="23" t="s">
        <v>2764</v>
      </c>
      <c r="C330" s="22">
        <v>23</v>
      </c>
      <c r="D330" s="98">
        <v>7</v>
      </c>
      <c r="E330" s="101">
        <v>24</v>
      </c>
      <c r="F330" s="98">
        <v>7</v>
      </c>
      <c r="G330" s="101">
        <v>24</v>
      </c>
      <c r="H330" s="98">
        <v>7</v>
      </c>
      <c r="I330" s="101">
        <v>24</v>
      </c>
      <c r="J330" s="98">
        <v>7</v>
      </c>
      <c r="K330" s="101">
        <v>24</v>
      </c>
      <c r="L330" s="98">
        <v>7</v>
      </c>
      <c r="M330" s="101">
        <v>24</v>
      </c>
      <c r="N330" s="22" t="s">
        <v>2762</v>
      </c>
      <c r="O330" s="100" t="str">
        <f t="shared" si="35"/>
        <v>龙晶碎片26/元宝26000</v>
      </c>
    </row>
    <row r="331" spans="1:15" ht="15.75" x14ac:dyDescent="0.3">
      <c r="A331" s="22" t="s">
        <v>2737</v>
      </c>
      <c r="B331" s="23" t="s">
        <v>2765</v>
      </c>
      <c r="C331" s="22">
        <v>24</v>
      </c>
      <c r="D331" s="98">
        <v>7</v>
      </c>
      <c r="E331" s="101">
        <v>25</v>
      </c>
      <c r="F331" s="98">
        <v>7</v>
      </c>
      <c r="G331" s="101">
        <v>25</v>
      </c>
      <c r="H331" s="98">
        <v>7</v>
      </c>
      <c r="I331" s="101">
        <v>25</v>
      </c>
      <c r="J331" s="98">
        <v>7</v>
      </c>
      <c r="K331" s="101">
        <v>25</v>
      </c>
      <c r="L331" s="98">
        <v>7</v>
      </c>
      <c r="M331" s="101">
        <v>25</v>
      </c>
      <c r="N331" s="22" t="s">
        <v>2762</v>
      </c>
      <c r="O331" s="100" t="str">
        <f t="shared" si="35"/>
        <v>龙晶碎片26/元宝26000</v>
      </c>
    </row>
    <row r="332" spans="1:15" ht="15.75" x14ac:dyDescent="0.3">
      <c r="A332" s="22" t="s">
        <v>2737</v>
      </c>
      <c r="B332" s="23" t="s">
        <v>2766</v>
      </c>
      <c r="C332" s="22">
        <v>25</v>
      </c>
      <c r="D332" s="98">
        <v>8</v>
      </c>
      <c r="E332" s="101">
        <v>26</v>
      </c>
      <c r="F332" s="98">
        <v>8</v>
      </c>
      <c r="G332" s="101">
        <v>26</v>
      </c>
      <c r="H332" s="98">
        <v>8</v>
      </c>
      <c r="I332" s="101">
        <v>26</v>
      </c>
      <c r="J332" s="98">
        <v>8</v>
      </c>
      <c r="K332" s="101">
        <v>26</v>
      </c>
      <c r="L332" s="98">
        <v>8</v>
      </c>
      <c r="M332" s="101">
        <v>26</v>
      </c>
      <c r="N332" s="22" t="s">
        <v>2762</v>
      </c>
      <c r="O332" s="100" t="str">
        <f t="shared" si="35"/>
        <v>龙晶碎片26/元宝26000</v>
      </c>
    </row>
    <row r="333" spans="1:15" ht="15.75" x14ac:dyDescent="0.3">
      <c r="A333" s="22" t="s">
        <v>2737</v>
      </c>
      <c r="B333" s="23" t="s">
        <v>2767</v>
      </c>
      <c r="C333" s="22">
        <v>26</v>
      </c>
      <c r="D333" s="98">
        <v>8</v>
      </c>
      <c r="E333" s="101">
        <v>27</v>
      </c>
      <c r="F333" s="98">
        <v>8</v>
      </c>
      <c r="G333" s="101">
        <v>27</v>
      </c>
      <c r="H333" s="98">
        <v>8</v>
      </c>
      <c r="I333" s="101">
        <v>27</v>
      </c>
      <c r="J333" s="98">
        <v>8</v>
      </c>
      <c r="K333" s="101">
        <v>27</v>
      </c>
      <c r="L333" s="98">
        <v>8</v>
      </c>
      <c r="M333" s="101">
        <v>27</v>
      </c>
      <c r="N333" s="22" t="s">
        <v>2762</v>
      </c>
      <c r="O333" s="100" t="str">
        <f t="shared" si="35"/>
        <v>龙晶碎片26/元宝26000</v>
      </c>
    </row>
    <row r="334" spans="1:15" ht="15.75" x14ac:dyDescent="0.3">
      <c r="A334" s="22" t="s">
        <v>2737</v>
      </c>
      <c r="B334" s="23" t="s">
        <v>2768</v>
      </c>
      <c r="C334" s="22">
        <v>27</v>
      </c>
      <c r="D334" s="98">
        <v>8</v>
      </c>
      <c r="E334" s="101">
        <v>28</v>
      </c>
      <c r="F334" s="98">
        <v>8</v>
      </c>
      <c r="G334" s="101">
        <v>28</v>
      </c>
      <c r="H334" s="98">
        <v>8</v>
      </c>
      <c r="I334" s="101">
        <v>28</v>
      </c>
      <c r="J334" s="98">
        <v>8</v>
      </c>
      <c r="K334" s="101">
        <v>28</v>
      </c>
      <c r="L334" s="98">
        <v>8</v>
      </c>
      <c r="M334" s="101">
        <v>28</v>
      </c>
      <c r="N334" s="22" t="s">
        <v>2762</v>
      </c>
      <c r="O334" s="100" t="str">
        <f t="shared" si="35"/>
        <v>龙晶碎片26/元宝26000</v>
      </c>
    </row>
    <row r="335" spans="1:15" ht="15.75" x14ac:dyDescent="0.3">
      <c r="A335" s="22" t="s">
        <v>2737</v>
      </c>
      <c r="B335" s="23" t="s">
        <v>2769</v>
      </c>
      <c r="C335" s="22">
        <v>28</v>
      </c>
      <c r="D335" s="98">
        <v>9</v>
      </c>
      <c r="E335" s="101">
        <v>29</v>
      </c>
      <c r="F335" s="98">
        <v>9</v>
      </c>
      <c r="G335" s="101">
        <v>29</v>
      </c>
      <c r="H335" s="98">
        <v>9</v>
      </c>
      <c r="I335" s="101">
        <v>29</v>
      </c>
      <c r="J335" s="98">
        <v>9</v>
      </c>
      <c r="K335" s="101">
        <v>29</v>
      </c>
      <c r="L335" s="98">
        <v>9</v>
      </c>
      <c r="M335" s="101">
        <v>29</v>
      </c>
      <c r="N335" s="22" t="s">
        <v>2762</v>
      </c>
      <c r="O335" s="100" t="str">
        <f t="shared" si="35"/>
        <v>龙晶碎片26/元宝26000</v>
      </c>
    </row>
    <row r="336" spans="1:15" ht="15.75" x14ac:dyDescent="0.3">
      <c r="A336" s="22" t="s">
        <v>2737</v>
      </c>
      <c r="B336" s="23" t="s">
        <v>2770</v>
      </c>
      <c r="C336" s="22">
        <v>29</v>
      </c>
      <c r="D336" s="98">
        <v>9</v>
      </c>
      <c r="E336" s="101">
        <v>30</v>
      </c>
      <c r="F336" s="98">
        <v>9</v>
      </c>
      <c r="G336" s="101">
        <v>30</v>
      </c>
      <c r="H336" s="98">
        <v>9</v>
      </c>
      <c r="I336" s="101">
        <v>30</v>
      </c>
      <c r="J336" s="98">
        <v>9</v>
      </c>
      <c r="K336" s="101">
        <v>30</v>
      </c>
      <c r="L336" s="98">
        <v>9</v>
      </c>
      <c r="M336" s="101">
        <v>30</v>
      </c>
      <c r="N336" s="22" t="s">
        <v>2762</v>
      </c>
      <c r="O336" s="100" t="str">
        <f t="shared" si="35"/>
        <v>龙晶碎片26/元宝26000</v>
      </c>
    </row>
    <row r="337" spans="1:15" ht="15.75" x14ac:dyDescent="0.3">
      <c r="A337" s="22" t="s">
        <v>2737</v>
      </c>
      <c r="B337" s="23" t="s">
        <v>2771</v>
      </c>
      <c r="C337" s="22">
        <v>30</v>
      </c>
      <c r="D337" s="98">
        <v>9</v>
      </c>
      <c r="E337" s="101">
        <v>31</v>
      </c>
      <c r="F337" s="98">
        <v>9</v>
      </c>
      <c r="G337" s="101">
        <v>31</v>
      </c>
      <c r="H337" s="98">
        <v>9</v>
      </c>
      <c r="I337" s="101">
        <v>31</v>
      </c>
      <c r="J337" s="98">
        <v>9</v>
      </c>
      <c r="K337" s="101">
        <v>31</v>
      </c>
      <c r="L337" s="98">
        <v>9</v>
      </c>
      <c r="M337" s="101">
        <v>31</v>
      </c>
      <c r="N337" s="22" t="s">
        <v>2762</v>
      </c>
      <c r="O337" s="100" t="str">
        <f t="shared" si="35"/>
        <v>龙晶碎片129/元宝129000</v>
      </c>
    </row>
    <row r="338" spans="1:15" ht="15.75" x14ac:dyDescent="0.3">
      <c r="A338" s="22" t="s">
        <v>2737</v>
      </c>
      <c r="B338" s="23" t="s">
        <v>2772</v>
      </c>
      <c r="C338" s="22">
        <v>31</v>
      </c>
      <c r="D338" s="98">
        <v>10</v>
      </c>
      <c r="E338" s="101">
        <v>31</v>
      </c>
      <c r="F338" s="98">
        <v>10</v>
      </c>
      <c r="G338" s="101">
        <v>31</v>
      </c>
      <c r="H338" s="98">
        <v>10</v>
      </c>
      <c r="I338" s="101">
        <v>31</v>
      </c>
      <c r="J338" s="98">
        <v>10</v>
      </c>
      <c r="K338" s="101">
        <v>31</v>
      </c>
      <c r="L338" s="98">
        <v>10</v>
      </c>
      <c r="M338" s="101">
        <v>31</v>
      </c>
      <c r="N338" s="22" t="s">
        <v>2773</v>
      </c>
      <c r="O338" s="100" t="str">
        <f t="shared" si="35"/>
        <v>龙晶碎片129/元宝129000</v>
      </c>
    </row>
    <row r="339" spans="1:15" ht="15.75" x14ac:dyDescent="0.3">
      <c r="A339" s="22" t="s">
        <v>2737</v>
      </c>
      <c r="B339" s="23" t="s">
        <v>2774</v>
      </c>
      <c r="C339" s="22">
        <v>32</v>
      </c>
      <c r="D339" s="98">
        <v>10</v>
      </c>
      <c r="E339" s="101">
        <v>33</v>
      </c>
      <c r="F339" s="98">
        <v>10</v>
      </c>
      <c r="G339" s="101">
        <v>33</v>
      </c>
      <c r="H339" s="98">
        <v>10</v>
      </c>
      <c r="I339" s="101">
        <v>33</v>
      </c>
      <c r="J339" s="98">
        <v>10</v>
      </c>
      <c r="K339" s="101">
        <v>33</v>
      </c>
      <c r="L339" s="98">
        <v>10</v>
      </c>
      <c r="M339" s="101">
        <v>33</v>
      </c>
      <c r="N339" s="22" t="s">
        <v>2773</v>
      </c>
      <c r="O339" s="100" t="str">
        <f t="shared" si="35"/>
        <v>龙晶碎片129/元宝129000</v>
      </c>
    </row>
    <row r="340" spans="1:15" ht="15.75" x14ac:dyDescent="0.3">
      <c r="A340" s="22" t="s">
        <v>2737</v>
      </c>
      <c r="B340" s="23" t="s">
        <v>2775</v>
      </c>
      <c r="C340" s="22">
        <v>33</v>
      </c>
      <c r="D340" s="98">
        <v>10</v>
      </c>
      <c r="E340" s="101">
        <v>34</v>
      </c>
      <c r="F340" s="98">
        <v>10</v>
      </c>
      <c r="G340" s="101">
        <v>34</v>
      </c>
      <c r="H340" s="98">
        <v>10</v>
      </c>
      <c r="I340" s="101">
        <v>34</v>
      </c>
      <c r="J340" s="98">
        <v>10</v>
      </c>
      <c r="K340" s="101">
        <v>34</v>
      </c>
      <c r="L340" s="98">
        <v>10</v>
      </c>
      <c r="M340" s="101">
        <v>34</v>
      </c>
      <c r="N340" s="22" t="s">
        <v>2773</v>
      </c>
      <c r="O340" s="100" t="str">
        <f t="shared" si="35"/>
        <v>龙晶碎片129/元宝129000</v>
      </c>
    </row>
    <row r="341" spans="1:15" ht="15.75" x14ac:dyDescent="0.3">
      <c r="A341" s="22" t="s">
        <v>2737</v>
      </c>
      <c r="B341" s="23" t="s">
        <v>2776</v>
      </c>
      <c r="C341" s="22">
        <v>34</v>
      </c>
      <c r="D341" s="98">
        <v>10</v>
      </c>
      <c r="E341" s="101">
        <v>35</v>
      </c>
      <c r="F341" s="98">
        <v>10</v>
      </c>
      <c r="G341" s="101">
        <v>35</v>
      </c>
      <c r="H341" s="98">
        <v>10</v>
      </c>
      <c r="I341" s="101">
        <v>35</v>
      </c>
      <c r="J341" s="98">
        <v>10</v>
      </c>
      <c r="K341" s="101">
        <v>35</v>
      </c>
      <c r="L341" s="98">
        <v>10</v>
      </c>
      <c r="M341" s="101">
        <v>35</v>
      </c>
      <c r="N341" s="22" t="s">
        <v>2773</v>
      </c>
      <c r="O341" s="100" t="str">
        <f t="shared" si="35"/>
        <v>龙晶碎片129/元宝129000</v>
      </c>
    </row>
    <row r="342" spans="1:15" ht="15.75" x14ac:dyDescent="0.3">
      <c r="A342" s="22" t="s">
        <v>2737</v>
      </c>
      <c r="B342" s="23" t="s">
        <v>2777</v>
      </c>
      <c r="C342" s="22">
        <v>35</v>
      </c>
      <c r="D342" s="98">
        <v>11</v>
      </c>
      <c r="E342" s="101">
        <v>36</v>
      </c>
      <c r="F342" s="98">
        <v>11</v>
      </c>
      <c r="G342" s="101">
        <v>36</v>
      </c>
      <c r="H342" s="98">
        <v>11</v>
      </c>
      <c r="I342" s="101">
        <v>36</v>
      </c>
      <c r="J342" s="98">
        <v>11</v>
      </c>
      <c r="K342" s="101">
        <v>36</v>
      </c>
      <c r="L342" s="98">
        <v>11</v>
      </c>
      <c r="M342" s="101">
        <v>36</v>
      </c>
      <c r="N342" s="22" t="s">
        <v>2773</v>
      </c>
      <c r="O342" s="100" t="str">
        <f t="shared" si="35"/>
        <v>龙晶碎片129/元宝129000</v>
      </c>
    </row>
    <row r="343" spans="1:15" ht="15.75" x14ac:dyDescent="0.3">
      <c r="A343" s="22" t="s">
        <v>2737</v>
      </c>
      <c r="B343" s="23" t="s">
        <v>2778</v>
      </c>
      <c r="C343" s="22">
        <v>36</v>
      </c>
      <c r="D343" s="98">
        <v>11</v>
      </c>
      <c r="E343" s="101">
        <v>37</v>
      </c>
      <c r="F343" s="98">
        <v>11</v>
      </c>
      <c r="G343" s="101">
        <v>37</v>
      </c>
      <c r="H343" s="98">
        <v>11</v>
      </c>
      <c r="I343" s="101">
        <v>37</v>
      </c>
      <c r="J343" s="98">
        <v>11</v>
      </c>
      <c r="K343" s="101">
        <v>37</v>
      </c>
      <c r="L343" s="98">
        <v>11</v>
      </c>
      <c r="M343" s="101">
        <v>37</v>
      </c>
      <c r="N343" s="22" t="s">
        <v>2773</v>
      </c>
      <c r="O343" s="100" t="str">
        <f t="shared" si="35"/>
        <v>龙晶碎片129/元宝129000</v>
      </c>
    </row>
    <row r="344" spans="1:15" ht="15.75" x14ac:dyDescent="0.3">
      <c r="A344" s="22" t="s">
        <v>2737</v>
      </c>
      <c r="B344" s="23" t="s">
        <v>2779</v>
      </c>
      <c r="C344" s="22">
        <v>37</v>
      </c>
      <c r="D344" s="98">
        <v>11</v>
      </c>
      <c r="E344" s="101">
        <v>38</v>
      </c>
      <c r="F344" s="98">
        <v>11</v>
      </c>
      <c r="G344" s="101">
        <v>38</v>
      </c>
      <c r="H344" s="98">
        <v>11</v>
      </c>
      <c r="I344" s="101">
        <v>38</v>
      </c>
      <c r="J344" s="98">
        <v>11</v>
      </c>
      <c r="K344" s="101">
        <v>38</v>
      </c>
      <c r="L344" s="98">
        <v>11</v>
      </c>
      <c r="M344" s="101">
        <v>38</v>
      </c>
      <c r="N344" s="22" t="s">
        <v>2773</v>
      </c>
      <c r="O344" s="100" t="str">
        <f t="shared" si="35"/>
        <v>龙晶碎片129/元宝129000</v>
      </c>
    </row>
    <row r="345" spans="1:15" ht="15.75" x14ac:dyDescent="0.3">
      <c r="A345" s="22" t="s">
        <v>2737</v>
      </c>
      <c r="B345" s="23" t="s">
        <v>2780</v>
      </c>
      <c r="C345" s="22">
        <v>38</v>
      </c>
      <c r="D345" s="98">
        <v>12</v>
      </c>
      <c r="E345" s="101">
        <v>39</v>
      </c>
      <c r="F345" s="98">
        <v>12</v>
      </c>
      <c r="G345" s="101">
        <v>39</v>
      </c>
      <c r="H345" s="98">
        <v>12</v>
      </c>
      <c r="I345" s="101">
        <v>39</v>
      </c>
      <c r="J345" s="98">
        <v>12</v>
      </c>
      <c r="K345" s="101">
        <v>39</v>
      </c>
      <c r="L345" s="98">
        <v>12</v>
      </c>
      <c r="M345" s="101">
        <v>39</v>
      </c>
      <c r="N345" s="22" t="s">
        <v>2773</v>
      </c>
      <c r="O345" s="100" t="str">
        <f t="shared" si="35"/>
        <v>龙晶碎片129/元宝129000</v>
      </c>
    </row>
    <row r="346" spans="1:15" ht="15.75" x14ac:dyDescent="0.3">
      <c r="A346" s="22" t="s">
        <v>2737</v>
      </c>
      <c r="B346" s="23" t="s">
        <v>2781</v>
      </c>
      <c r="C346" s="22">
        <v>39</v>
      </c>
      <c r="D346" s="98">
        <v>12</v>
      </c>
      <c r="E346" s="101">
        <v>40</v>
      </c>
      <c r="F346" s="98">
        <v>12</v>
      </c>
      <c r="G346" s="101">
        <v>40</v>
      </c>
      <c r="H346" s="98">
        <v>12</v>
      </c>
      <c r="I346" s="101">
        <v>40</v>
      </c>
      <c r="J346" s="98">
        <v>12</v>
      </c>
      <c r="K346" s="101">
        <v>40</v>
      </c>
      <c r="L346" s="98">
        <v>12</v>
      </c>
      <c r="M346" s="101">
        <v>40</v>
      </c>
      <c r="N346" s="22" t="s">
        <v>2773</v>
      </c>
      <c r="O346" s="100" t="str">
        <f t="shared" si="35"/>
        <v>龙晶碎片129/元宝129000</v>
      </c>
    </row>
    <row r="347" spans="1:15" ht="15.75" x14ac:dyDescent="0.3">
      <c r="A347" s="22" t="s">
        <v>2737</v>
      </c>
      <c r="B347" s="23" t="s">
        <v>2782</v>
      </c>
      <c r="C347" s="22">
        <v>40</v>
      </c>
      <c r="D347" s="98">
        <v>12</v>
      </c>
      <c r="E347" s="101">
        <v>41</v>
      </c>
      <c r="F347" s="98">
        <v>12</v>
      </c>
      <c r="G347" s="101">
        <v>41</v>
      </c>
      <c r="H347" s="98">
        <v>12</v>
      </c>
      <c r="I347" s="101">
        <v>41</v>
      </c>
      <c r="J347" s="98">
        <v>12</v>
      </c>
      <c r="K347" s="101">
        <v>41</v>
      </c>
      <c r="L347" s="98">
        <v>12</v>
      </c>
      <c r="M347" s="101">
        <v>41</v>
      </c>
      <c r="N347" s="22" t="s">
        <v>2773</v>
      </c>
      <c r="O347" s="100" t="str">
        <f t="shared" si="35"/>
        <v>龙晶碎片384/元宝384000</v>
      </c>
    </row>
    <row r="348" spans="1:15" ht="15.75" x14ac:dyDescent="0.3">
      <c r="A348" s="22" t="s">
        <v>2737</v>
      </c>
      <c r="B348" s="23" t="s">
        <v>2783</v>
      </c>
      <c r="C348" s="22">
        <v>41</v>
      </c>
      <c r="D348" s="98">
        <v>13</v>
      </c>
      <c r="E348" s="101">
        <v>41</v>
      </c>
      <c r="F348" s="98">
        <v>13</v>
      </c>
      <c r="G348" s="101">
        <v>41</v>
      </c>
      <c r="H348" s="98">
        <v>13</v>
      </c>
      <c r="I348" s="101">
        <v>41</v>
      </c>
      <c r="J348" s="98">
        <v>13</v>
      </c>
      <c r="K348" s="101">
        <v>41</v>
      </c>
      <c r="L348" s="98">
        <v>13</v>
      </c>
      <c r="M348" s="101">
        <v>41</v>
      </c>
      <c r="N348" s="22" t="s">
        <v>2784</v>
      </c>
      <c r="O348" s="100" t="str">
        <f t="shared" si="35"/>
        <v>龙晶碎片384/元宝384000</v>
      </c>
    </row>
    <row r="349" spans="1:15" ht="15.75" x14ac:dyDescent="0.3">
      <c r="A349" s="22" t="s">
        <v>2737</v>
      </c>
      <c r="B349" s="23" t="s">
        <v>2785</v>
      </c>
      <c r="C349" s="22">
        <v>42</v>
      </c>
      <c r="D349" s="98">
        <v>13</v>
      </c>
      <c r="E349" s="101">
        <v>43</v>
      </c>
      <c r="F349" s="98">
        <v>13</v>
      </c>
      <c r="G349" s="101">
        <v>43</v>
      </c>
      <c r="H349" s="98">
        <v>13</v>
      </c>
      <c r="I349" s="101">
        <v>43</v>
      </c>
      <c r="J349" s="98">
        <v>13</v>
      </c>
      <c r="K349" s="101">
        <v>43</v>
      </c>
      <c r="L349" s="98">
        <v>13</v>
      </c>
      <c r="M349" s="101">
        <v>43</v>
      </c>
      <c r="N349" s="22" t="s">
        <v>2784</v>
      </c>
      <c r="O349" s="100" t="str">
        <f t="shared" si="35"/>
        <v>龙晶碎片384/元宝384000</v>
      </c>
    </row>
    <row r="350" spans="1:15" ht="15.75" x14ac:dyDescent="0.3">
      <c r="A350" s="22" t="s">
        <v>2737</v>
      </c>
      <c r="B350" s="23" t="s">
        <v>2786</v>
      </c>
      <c r="C350" s="22">
        <v>43</v>
      </c>
      <c r="D350" s="98">
        <v>13</v>
      </c>
      <c r="E350" s="101">
        <v>44</v>
      </c>
      <c r="F350" s="98">
        <v>13</v>
      </c>
      <c r="G350" s="101">
        <v>44</v>
      </c>
      <c r="H350" s="98">
        <v>13</v>
      </c>
      <c r="I350" s="101">
        <v>44</v>
      </c>
      <c r="J350" s="98">
        <v>13</v>
      </c>
      <c r="K350" s="101">
        <v>44</v>
      </c>
      <c r="L350" s="98">
        <v>13</v>
      </c>
      <c r="M350" s="101">
        <v>44</v>
      </c>
      <c r="N350" s="22" t="s">
        <v>2784</v>
      </c>
      <c r="O350" s="100" t="str">
        <f t="shared" si="35"/>
        <v>龙晶碎片384/元宝384000</v>
      </c>
    </row>
    <row r="351" spans="1:15" ht="15.75" x14ac:dyDescent="0.3">
      <c r="A351" s="22" t="s">
        <v>2737</v>
      </c>
      <c r="B351" s="23" t="s">
        <v>2787</v>
      </c>
      <c r="C351" s="22">
        <v>44</v>
      </c>
      <c r="D351" s="98">
        <v>13</v>
      </c>
      <c r="E351" s="101">
        <v>45</v>
      </c>
      <c r="F351" s="98">
        <v>13</v>
      </c>
      <c r="G351" s="101">
        <v>45</v>
      </c>
      <c r="H351" s="98">
        <v>13</v>
      </c>
      <c r="I351" s="101">
        <v>45</v>
      </c>
      <c r="J351" s="98">
        <v>13</v>
      </c>
      <c r="K351" s="101">
        <v>45</v>
      </c>
      <c r="L351" s="98">
        <v>13</v>
      </c>
      <c r="M351" s="101">
        <v>45</v>
      </c>
      <c r="N351" s="22" t="s">
        <v>2784</v>
      </c>
      <c r="O351" s="100" t="str">
        <f t="shared" si="35"/>
        <v>龙晶碎片384/元宝384000</v>
      </c>
    </row>
    <row r="352" spans="1:15" ht="15.75" x14ac:dyDescent="0.3">
      <c r="A352" s="22" t="s">
        <v>2737</v>
      </c>
      <c r="B352" s="23" t="s">
        <v>2788</v>
      </c>
      <c r="C352" s="22">
        <v>45</v>
      </c>
      <c r="D352" s="98">
        <v>14</v>
      </c>
      <c r="E352" s="101">
        <v>46</v>
      </c>
      <c r="F352" s="98">
        <v>14</v>
      </c>
      <c r="G352" s="101">
        <v>46</v>
      </c>
      <c r="H352" s="98">
        <v>14</v>
      </c>
      <c r="I352" s="101">
        <v>46</v>
      </c>
      <c r="J352" s="98">
        <v>14</v>
      </c>
      <c r="K352" s="101">
        <v>46</v>
      </c>
      <c r="L352" s="98">
        <v>14</v>
      </c>
      <c r="M352" s="101">
        <v>46</v>
      </c>
      <c r="N352" s="22" t="s">
        <v>2784</v>
      </c>
      <c r="O352" s="100" t="str">
        <f t="shared" si="35"/>
        <v>龙晶碎片384/元宝384000</v>
      </c>
    </row>
    <row r="353" spans="1:15" ht="15.75" x14ac:dyDescent="0.3">
      <c r="A353" s="22" t="s">
        <v>2737</v>
      </c>
      <c r="B353" s="23" t="s">
        <v>2789</v>
      </c>
      <c r="C353" s="22">
        <v>46</v>
      </c>
      <c r="D353" s="98">
        <v>14</v>
      </c>
      <c r="E353" s="101">
        <v>47</v>
      </c>
      <c r="F353" s="98">
        <v>14</v>
      </c>
      <c r="G353" s="101">
        <v>47</v>
      </c>
      <c r="H353" s="98">
        <v>14</v>
      </c>
      <c r="I353" s="101">
        <v>47</v>
      </c>
      <c r="J353" s="98">
        <v>14</v>
      </c>
      <c r="K353" s="101">
        <v>47</v>
      </c>
      <c r="L353" s="98">
        <v>14</v>
      </c>
      <c r="M353" s="101">
        <v>47</v>
      </c>
      <c r="N353" s="22" t="s">
        <v>2784</v>
      </c>
      <c r="O353" s="100" t="str">
        <f t="shared" si="35"/>
        <v>龙晶碎片384/元宝384000</v>
      </c>
    </row>
    <row r="354" spans="1:15" ht="15.75" x14ac:dyDescent="0.3">
      <c r="A354" s="22" t="s">
        <v>2737</v>
      </c>
      <c r="B354" s="23" t="s">
        <v>2790</v>
      </c>
      <c r="C354" s="22">
        <v>47</v>
      </c>
      <c r="D354" s="98">
        <v>14</v>
      </c>
      <c r="E354" s="101">
        <v>48</v>
      </c>
      <c r="F354" s="98">
        <v>14</v>
      </c>
      <c r="G354" s="101">
        <v>48</v>
      </c>
      <c r="H354" s="98">
        <v>14</v>
      </c>
      <c r="I354" s="101">
        <v>48</v>
      </c>
      <c r="J354" s="98">
        <v>14</v>
      </c>
      <c r="K354" s="101">
        <v>48</v>
      </c>
      <c r="L354" s="98">
        <v>14</v>
      </c>
      <c r="M354" s="101">
        <v>48</v>
      </c>
      <c r="N354" s="22" t="s">
        <v>2784</v>
      </c>
      <c r="O354" s="100" t="str">
        <f t="shared" si="35"/>
        <v>龙晶碎片384/元宝384000</v>
      </c>
    </row>
    <row r="355" spans="1:15" ht="15.75" x14ac:dyDescent="0.3">
      <c r="A355" s="22" t="s">
        <v>2737</v>
      </c>
      <c r="B355" s="23" t="s">
        <v>2791</v>
      </c>
      <c r="C355" s="22">
        <v>48</v>
      </c>
      <c r="D355" s="98">
        <v>15</v>
      </c>
      <c r="E355" s="101">
        <v>49</v>
      </c>
      <c r="F355" s="98">
        <v>15</v>
      </c>
      <c r="G355" s="101">
        <v>49</v>
      </c>
      <c r="H355" s="98">
        <v>15</v>
      </c>
      <c r="I355" s="101">
        <v>49</v>
      </c>
      <c r="J355" s="98">
        <v>15</v>
      </c>
      <c r="K355" s="101">
        <v>49</v>
      </c>
      <c r="L355" s="98">
        <v>15</v>
      </c>
      <c r="M355" s="101">
        <v>49</v>
      </c>
      <c r="N355" s="22" t="s">
        <v>2784</v>
      </c>
      <c r="O355" s="100" t="str">
        <f t="shared" si="35"/>
        <v>龙晶碎片384/元宝384000</v>
      </c>
    </row>
    <row r="356" spans="1:15" ht="15.75" x14ac:dyDescent="0.3">
      <c r="A356" s="22" t="s">
        <v>2737</v>
      </c>
      <c r="B356" s="23" t="s">
        <v>2792</v>
      </c>
      <c r="C356" s="22">
        <v>49</v>
      </c>
      <c r="D356" s="98">
        <v>15</v>
      </c>
      <c r="E356" s="101">
        <v>50</v>
      </c>
      <c r="F356" s="98">
        <v>15</v>
      </c>
      <c r="G356" s="101">
        <v>50</v>
      </c>
      <c r="H356" s="98">
        <v>15</v>
      </c>
      <c r="I356" s="101">
        <v>50</v>
      </c>
      <c r="J356" s="98">
        <v>15</v>
      </c>
      <c r="K356" s="101">
        <v>50</v>
      </c>
      <c r="L356" s="98">
        <v>15</v>
      </c>
      <c r="M356" s="101">
        <v>50</v>
      </c>
      <c r="N356" s="22" t="s">
        <v>2784</v>
      </c>
      <c r="O356" s="100" t="str">
        <f t="shared" si="35"/>
        <v>龙晶碎片384/元宝384000</v>
      </c>
    </row>
    <row r="357" spans="1:15" ht="15.75" x14ac:dyDescent="0.3">
      <c r="A357" s="22" t="s">
        <v>2737</v>
      </c>
      <c r="B357" s="23" t="s">
        <v>2793</v>
      </c>
      <c r="C357" s="22">
        <v>50</v>
      </c>
      <c r="D357" s="98">
        <v>15</v>
      </c>
      <c r="E357" s="101">
        <v>51</v>
      </c>
      <c r="F357" s="98">
        <v>15</v>
      </c>
      <c r="G357" s="101">
        <v>51</v>
      </c>
      <c r="H357" s="98">
        <v>15</v>
      </c>
      <c r="I357" s="101">
        <v>51</v>
      </c>
      <c r="J357" s="98">
        <v>15</v>
      </c>
      <c r="K357" s="101">
        <v>51</v>
      </c>
      <c r="L357" s="98">
        <v>15</v>
      </c>
      <c r="M357" s="101">
        <v>51</v>
      </c>
      <c r="N357" s="22" t="s">
        <v>2784</v>
      </c>
      <c r="O357" s="100" t="str">
        <f t="shared" si="35"/>
        <v>龙晶碎片1245/元宝1245000</v>
      </c>
    </row>
    <row r="358" spans="1:15" ht="15.75" x14ac:dyDescent="0.3">
      <c r="A358" s="22" t="s">
        <v>2737</v>
      </c>
      <c r="B358" s="23" t="s">
        <v>2794</v>
      </c>
      <c r="C358" s="22">
        <v>51</v>
      </c>
      <c r="D358" s="98">
        <v>17</v>
      </c>
      <c r="E358" s="101">
        <v>52</v>
      </c>
      <c r="F358" s="98">
        <v>17</v>
      </c>
      <c r="G358" s="101">
        <v>52</v>
      </c>
      <c r="H358" s="98">
        <v>17</v>
      </c>
      <c r="I358" s="101">
        <v>52</v>
      </c>
      <c r="J358" s="98">
        <v>17</v>
      </c>
      <c r="K358" s="101">
        <v>52</v>
      </c>
      <c r="L358" s="98">
        <v>17</v>
      </c>
      <c r="M358" s="101">
        <v>52</v>
      </c>
      <c r="N358" s="22" t="s">
        <v>2795</v>
      </c>
      <c r="O358" s="100" t="str">
        <f t="shared" si="35"/>
        <v>龙晶碎片1245/元宝1245000</v>
      </c>
    </row>
    <row r="359" spans="1:15" ht="15.75" x14ac:dyDescent="0.3">
      <c r="A359" s="22" t="s">
        <v>2737</v>
      </c>
      <c r="B359" s="23" t="s">
        <v>2796</v>
      </c>
      <c r="C359" s="22">
        <v>52</v>
      </c>
      <c r="D359" s="98">
        <v>17</v>
      </c>
      <c r="E359" s="101">
        <v>55</v>
      </c>
      <c r="F359" s="98">
        <v>17</v>
      </c>
      <c r="G359" s="101">
        <v>55</v>
      </c>
      <c r="H359" s="98">
        <v>17</v>
      </c>
      <c r="I359" s="101">
        <v>55</v>
      </c>
      <c r="J359" s="98">
        <v>17</v>
      </c>
      <c r="K359" s="101">
        <v>55</v>
      </c>
      <c r="L359" s="98">
        <v>17</v>
      </c>
      <c r="M359" s="101">
        <v>55</v>
      </c>
      <c r="N359" s="22" t="s">
        <v>2795</v>
      </c>
      <c r="O359" s="100" t="str">
        <f t="shared" si="35"/>
        <v>龙晶碎片1245/元宝1245000</v>
      </c>
    </row>
    <row r="360" spans="1:15" ht="15.75" x14ac:dyDescent="0.3">
      <c r="A360" s="22" t="s">
        <v>2737</v>
      </c>
      <c r="B360" s="23" t="s">
        <v>2797</v>
      </c>
      <c r="C360" s="22">
        <v>53</v>
      </c>
      <c r="D360" s="98">
        <v>17</v>
      </c>
      <c r="E360" s="101">
        <v>57</v>
      </c>
      <c r="F360" s="98">
        <v>17</v>
      </c>
      <c r="G360" s="101">
        <v>57</v>
      </c>
      <c r="H360" s="98">
        <v>17</v>
      </c>
      <c r="I360" s="101">
        <v>57</v>
      </c>
      <c r="J360" s="98">
        <v>17</v>
      </c>
      <c r="K360" s="101">
        <v>57</v>
      </c>
      <c r="L360" s="98">
        <v>17</v>
      </c>
      <c r="M360" s="101">
        <v>57</v>
      </c>
      <c r="N360" s="22" t="s">
        <v>2795</v>
      </c>
      <c r="O360" s="100" t="str">
        <f t="shared" si="35"/>
        <v>龙晶碎片1245/元宝1245000</v>
      </c>
    </row>
    <row r="361" spans="1:15" ht="15.75" x14ac:dyDescent="0.3">
      <c r="A361" s="22" t="s">
        <v>2737</v>
      </c>
      <c r="B361" s="23" t="s">
        <v>2798</v>
      </c>
      <c r="C361" s="22">
        <v>54</v>
      </c>
      <c r="D361" s="98">
        <v>17</v>
      </c>
      <c r="E361" s="101">
        <v>59</v>
      </c>
      <c r="F361" s="98">
        <v>17</v>
      </c>
      <c r="G361" s="101">
        <v>59</v>
      </c>
      <c r="H361" s="98">
        <v>17</v>
      </c>
      <c r="I361" s="101">
        <v>59</v>
      </c>
      <c r="J361" s="98">
        <v>17</v>
      </c>
      <c r="K361" s="101">
        <v>59</v>
      </c>
      <c r="L361" s="98">
        <v>17</v>
      </c>
      <c r="M361" s="101">
        <v>59</v>
      </c>
      <c r="N361" s="22" t="s">
        <v>2795</v>
      </c>
      <c r="O361" s="100" t="str">
        <f t="shared" si="35"/>
        <v>龙晶碎片1245/元宝1245000</v>
      </c>
    </row>
    <row r="362" spans="1:15" ht="15.75" x14ac:dyDescent="0.3">
      <c r="A362" s="22" t="s">
        <v>2737</v>
      </c>
      <c r="B362" s="23" t="s">
        <v>2799</v>
      </c>
      <c r="C362" s="22">
        <v>55</v>
      </c>
      <c r="D362" s="98">
        <v>18</v>
      </c>
      <c r="E362" s="101">
        <v>61</v>
      </c>
      <c r="F362" s="98">
        <v>18</v>
      </c>
      <c r="G362" s="101">
        <v>61</v>
      </c>
      <c r="H362" s="98">
        <v>18</v>
      </c>
      <c r="I362" s="101">
        <v>61</v>
      </c>
      <c r="J362" s="98">
        <v>18</v>
      </c>
      <c r="K362" s="101">
        <v>61</v>
      </c>
      <c r="L362" s="98">
        <v>18</v>
      </c>
      <c r="M362" s="101">
        <v>61</v>
      </c>
      <c r="N362" s="22" t="s">
        <v>2795</v>
      </c>
      <c r="O362" s="100" t="str">
        <f t="shared" si="35"/>
        <v>龙晶碎片1245/元宝1245000</v>
      </c>
    </row>
    <row r="363" spans="1:15" ht="15.75" x14ac:dyDescent="0.3">
      <c r="A363" s="22" t="s">
        <v>2737</v>
      </c>
      <c r="B363" s="23" t="s">
        <v>2800</v>
      </c>
      <c r="C363" s="22">
        <v>56</v>
      </c>
      <c r="D363" s="98">
        <v>18</v>
      </c>
      <c r="E363" s="101">
        <v>63</v>
      </c>
      <c r="F363" s="98">
        <v>18</v>
      </c>
      <c r="G363" s="101">
        <v>63</v>
      </c>
      <c r="H363" s="98">
        <v>18</v>
      </c>
      <c r="I363" s="101">
        <v>63</v>
      </c>
      <c r="J363" s="98">
        <v>18</v>
      </c>
      <c r="K363" s="101">
        <v>63</v>
      </c>
      <c r="L363" s="98">
        <v>18</v>
      </c>
      <c r="M363" s="101">
        <v>63</v>
      </c>
      <c r="N363" s="22" t="s">
        <v>2795</v>
      </c>
      <c r="O363" s="100" t="str">
        <f t="shared" si="35"/>
        <v>龙晶碎片1245/元宝1245000</v>
      </c>
    </row>
    <row r="364" spans="1:15" ht="15.75" x14ac:dyDescent="0.3">
      <c r="A364" s="22" t="s">
        <v>2737</v>
      </c>
      <c r="B364" s="23" t="s">
        <v>2801</v>
      </c>
      <c r="C364" s="22">
        <v>57</v>
      </c>
      <c r="D364" s="98">
        <v>18</v>
      </c>
      <c r="E364" s="101">
        <v>65</v>
      </c>
      <c r="F364" s="98">
        <v>18</v>
      </c>
      <c r="G364" s="101">
        <v>65</v>
      </c>
      <c r="H364" s="98">
        <v>18</v>
      </c>
      <c r="I364" s="101">
        <v>65</v>
      </c>
      <c r="J364" s="98">
        <v>18</v>
      </c>
      <c r="K364" s="101">
        <v>65</v>
      </c>
      <c r="L364" s="98">
        <v>18</v>
      </c>
      <c r="M364" s="101">
        <v>65</v>
      </c>
      <c r="N364" s="22" t="s">
        <v>2795</v>
      </c>
      <c r="O364" s="100" t="str">
        <f t="shared" si="35"/>
        <v>龙晶碎片1245/元宝1245000</v>
      </c>
    </row>
    <row r="365" spans="1:15" ht="15.75" x14ac:dyDescent="0.3">
      <c r="A365" s="22" t="s">
        <v>2737</v>
      </c>
      <c r="B365" s="23" t="s">
        <v>2802</v>
      </c>
      <c r="C365" s="22">
        <v>58</v>
      </c>
      <c r="D365" s="98">
        <v>19</v>
      </c>
      <c r="E365" s="101">
        <v>67</v>
      </c>
      <c r="F365" s="98">
        <v>19</v>
      </c>
      <c r="G365" s="101">
        <v>67</v>
      </c>
      <c r="H365" s="98">
        <v>19</v>
      </c>
      <c r="I365" s="101">
        <v>67</v>
      </c>
      <c r="J365" s="98">
        <v>19</v>
      </c>
      <c r="K365" s="101">
        <v>67</v>
      </c>
      <c r="L365" s="98">
        <v>19</v>
      </c>
      <c r="M365" s="101">
        <v>67</v>
      </c>
      <c r="N365" s="22" t="s">
        <v>2795</v>
      </c>
      <c r="O365" s="100" t="str">
        <f t="shared" si="35"/>
        <v>龙晶碎片1245/元宝1245000</v>
      </c>
    </row>
    <row r="366" spans="1:15" ht="15.75" x14ac:dyDescent="0.3">
      <c r="A366" s="22" t="s">
        <v>2737</v>
      </c>
      <c r="B366" s="23" t="s">
        <v>2803</v>
      </c>
      <c r="C366" s="22">
        <v>59</v>
      </c>
      <c r="D366" s="98">
        <v>19</v>
      </c>
      <c r="E366" s="101">
        <v>69</v>
      </c>
      <c r="F366" s="98">
        <v>19</v>
      </c>
      <c r="G366" s="101">
        <v>69</v>
      </c>
      <c r="H366" s="98">
        <v>19</v>
      </c>
      <c r="I366" s="101">
        <v>69</v>
      </c>
      <c r="J366" s="98">
        <v>19</v>
      </c>
      <c r="K366" s="101">
        <v>69</v>
      </c>
      <c r="L366" s="98">
        <v>19</v>
      </c>
      <c r="M366" s="101">
        <v>69</v>
      </c>
      <c r="N366" s="22" t="s">
        <v>2795</v>
      </c>
      <c r="O366" s="100" t="str">
        <f t="shared" si="35"/>
        <v>龙晶碎片1245/元宝1245000</v>
      </c>
    </row>
    <row r="367" spans="1:15" ht="15.75" x14ac:dyDescent="0.3">
      <c r="A367" s="22" t="s">
        <v>2737</v>
      </c>
      <c r="B367" s="23" t="s">
        <v>2804</v>
      </c>
      <c r="C367" s="22">
        <v>60</v>
      </c>
      <c r="D367" s="98">
        <v>19</v>
      </c>
      <c r="E367" s="101">
        <v>71</v>
      </c>
      <c r="F367" s="98">
        <v>19</v>
      </c>
      <c r="G367" s="101">
        <v>71</v>
      </c>
      <c r="H367" s="98">
        <v>19</v>
      </c>
      <c r="I367" s="101">
        <v>71</v>
      </c>
      <c r="J367" s="98">
        <v>19</v>
      </c>
      <c r="K367" s="101">
        <v>71</v>
      </c>
      <c r="L367" s="98">
        <v>19</v>
      </c>
      <c r="M367" s="101">
        <v>71</v>
      </c>
      <c r="N367" s="22" t="s">
        <v>2795</v>
      </c>
      <c r="O367" s="100" t="str">
        <f t="shared" si="35"/>
        <v>龙晶碎片3133/元宝3133000</v>
      </c>
    </row>
    <row r="368" spans="1:15" ht="15.75" x14ac:dyDescent="0.3">
      <c r="A368" s="22" t="s">
        <v>2737</v>
      </c>
      <c r="B368" s="23" t="s">
        <v>2805</v>
      </c>
      <c r="C368" s="22">
        <v>61</v>
      </c>
      <c r="D368" s="98">
        <v>21</v>
      </c>
      <c r="E368" s="101">
        <v>72</v>
      </c>
      <c r="F368" s="98">
        <v>21</v>
      </c>
      <c r="G368" s="101">
        <v>72</v>
      </c>
      <c r="H368" s="98">
        <v>21</v>
      </c>
      <c r="I368" s="101">
        <v>72</v>
      </c>
      <c r="J368" s="98">
        <v>21</v>
      </c>
      <c r="K368" s="101">
        <v>72</v>
      </c>
      <c r="L368" s="98">
        <v>21</v>
      </c>
      <c r="M368" s="101">
        <v>72</v>
      </c>
      <c r="N368" s="22" t="s">
        <v>2806</v>
      </c>
      <c r="O368" s="100" t="str">
        <f t="shared" si="35"/>
        <v>龙晶碎片3133/元宝3133000</v>
      </c>
    </row>
    <row r="369" spans="1:15" ht="15.75" x14ac:dyDescent="0.3">
      <c r="A369" s="22" t="s">
        <v>2737</v>
      </c>
      <c r="B369" s="23" t="s">
        <v>2807</v>
      </c>
      <c r="C369" s="22">
        <v>62</v>
      </c>
      <c r="D369" s="98">
        <v>21</v>
      </c>
      <c r="E369" s="101">
        <v>75</v>
      </c>
      <c r="F369" s="98">
        <v>21</v>
      </c>
      <c r="G369" s="101">
        <v>75</v>
      </c>
      <c r="H369" s="98">
        <v>21</v>
      </c>
      <c r="I369" s="101">
        <v>75</v>
      </c>
      <c r="J369" s="98">
        <v>21</v>
      </c>
      <c r="K369" s="101">
        <v>75</v>
      </c>
      <c r="L369" s="98">
        <v>21</v>
      </c>
      <c r="M369" s="101">
        <v>75</v>
      </c>
      <c r="N369" s="22" t="s">
        <v>2806</v>
      </c>
      <c r="O369" s="100" t="str">
        <f t="shared" si="35"/>
        <v>龙晶碎片3133/元宝3133000</v>
      </c>
    </row>
    <row r="370" spans="1:15" ht="15.75" x14ac:dyDescent="0.3">
      <c r="A370" s="22" t="s">
        <v>2737</v>
      </c>
      <c r="B370" s="23" t="s">
        <v>2808</v>
      </c>
      <c r="C370" s="22">
        <v>63</v>
      </c>
      <c r="D370" s="98">
        <v>21</v>
      </c>
      <c r="E370" s="101">
        <v>77</v>
      </c>
      <c r="F370" s="98">
        <v>21</v>
      </c>
      <c r="G370" s="101">
        <v>77</v>
      </c>
      <c r="H370" s="98">
        <v>21</v>
      </c>
      <c r="I370" s="101">
        <v>77</v>
      </c>
      <c r="J370" s="98">
        <v>21</v>
      </c>
      <c r="K370" s="101">
        <v>77</v>
      </c>
      <c r="L370" s="98">
        <v>21</v>
      </c>
      <c r="M370" s="101">
        <v>77</v>
      </c>
      <c r="N370" s="22" t="s">
        <v>2806</v>
      </c>
      <c r="O370" s="100" t="str">
        <f t="shared" si="35"/>
        <v>龙晶碎片3133/元宝3133000</v>
      </c>
    </row>
    <row r="371" spans="1:15" ht="15.75" x14ac:dyDescent="0.3">
      <c r="A371" s="22" t="s">
        <v>2737</v>
      </c>
      <c r="B371" s="23" t="s">
        <v>2809</v>
      </c>
      <c r="C371" s="22">
        <v>64</v>
      </c>
      <c r="D371" s="98">
        <v>21</v>
      </c>
      <c r="E371" s="101">
        <v>79</v>
      </c>
      <c r="F371" s="98">
        <v>21</v>
      </c>
      <c r="G371" s="101">
        <v>79</v>
      </c>
      <c r="H371" s="98">
        <v>21</v>
      </c>
      <c r="I371" s="101">
        <v>79</v>
      </c>
      <c r="J371" s="98">
        <v>21</v>
      </c>
      <c r="K371" s="101">
        <v>79</v>
      </c>
      <c r="L371" s="98">
        <v>21</v>
      </c>
      <c r="M371" s="101">
        <v>79</v>
      </c>
      <c r="N371" s="22" t="s">
        <v>2806</v>
      </c>
      <c r="O371" s="100" t="str">
        <f t="shared" si="35"/>
        <v>龙晶碎片3133/元宝3133000</v>
      </c>
    </row>
    <row r="372" spans="1:15" ht="15.75" x14ac:dyDescent="0.3">
      <c r="A372" s="22" t="s">
        <v>2737</v>
      </c>
      <c r="B372" s="23" t="s">
        <v>2810</v>
      </c>
      <c r="C372" s="22">
        <v>65</v>
      </c>
      <c r="D372" s="98">
        <v>22</v>
      </c>
      <c r="E372" s="101">
        <v>81</v>
      </c>
      <c r="F372" s="98">
        <v>22</v>
      </c>
      <c r="G372" s="101">
        <v>81</v>
      </c>
      <c r="H372" s="98">
        <v>22</v>
      </c>
      <c r="I372" s="101">
        <v>81</v>
      </c>
      <c r="J372" s="98">
        <v>22</v>
      </c>
      <c r="K372" s="101">
        <v>81</v>
      </c>
      <c r="L372" s="98">
        <v>22</v>
      </c>
      <c r="M372" s="101">
        <v>81</v>
      </c>
      <c r="N372" s="22" t="s">
        <v>2806</v>
      </c>
      <c r="O372" s="100" t="str">
        <f t="shared" ref="O372:O406" si="36">"龙晶碎片"&amp;Z69&amp;"/元宝"&amp;AA69</f>
        <v>龙晶碎片3133/元宝3133000</v>
      </c>
    </row>
    <row r="373" spans="1:15" ht="15.75" x14ac:dyDescent="0.3">
      <c r="A373" s="22" t="s">
        <v>2737</v>
      </c>
      <c r="B373" s="23" t="s">
        <v>2811</v>
      </c>
      <c r="C373" s="22">
        <v>66</v>
      </c>
      <c r="D373" s="98">
        <v>22</v>
      </c>
      <c r="E373" s="101">
        <v>83</v>
      </c>
      <c r="F373" s="98">
        <v>22</v>
      </c>
      <c r="G373" s="101">
        <v>83</v>
      </c>
      <c r="H373" s="98">
        <v>22</v>
      </c>
      <c r="I373" s="101">
        <v>83</v>
      </c>
      <c r="J373" s="98">
        <v>22</v>
      </c>
      <c r="K373" s="101">
        <v>83</v>
      </c>
      <c r="L373" s="98">
        <v>22</v>
      </c>
      <c r="M373" s="101">
        <v>83</v>
      </c>
      <c r="N373" s="22" t="s">
        <v>2806</v>
      </c>
      <c r="O373" s="100" t="str">
        <f t="shared" si="36"/>
        <v>龙晶碎片3133/元宝3133000</v>
      </c>
    </row>
    <row r="374" spans="1:15" ht="15.75" x14ac:dyDescent="0.3">
      <c r="A374" s="22" t="s">
        <v>2737</v>
      </c>
      <c r="B374" s="23" t="s">
        <v>2812</v>
      </c>
      <c r="C374" s="22">
        <v>67</v>
      </c>
      <c r="D374" s="98">
        <v>22</v>
      </c>
      <c r="E374" s="101">
        <v>85</v>
      </c>
      <c r="F374" s="98">
        <v>22</v>
      </c>
      <c r="G374" s="101">
        <v>85</v>
      </c>
      <c r="H374" s="98">
        <v>22</v>
      </c>
      <c r="I374" s="101">
        <v>85</v>
      </c>
      <c r="J374" s="98">
        <v>22</v>
      </c>
      <c r="K374" s="101">
        <v>85</v>
      </c>
      <c r="L374" s="98">
        <v>22</v>
      </c>
      <c r="M374" s="101">
        <v>85</v>
      </c>
      <c r="N374" s="22" t="s">
        <v>2806</v>
      </c>
      <c r="O374" s="100" t="str">
        <f t="shared" si="36"/>
        <v>龙晶碎片3133/元宝3133000</v>
      </c>
    </row>
    <row r="375" spans="1:15" ht="15.75" x14ac:dyDescent="0.3">
      <c r="A375" s="22" t="s">
        <v>2737</v>
      </c>
      <c r="B375" s="23" t="s">
        <v>2813</v>
      </c>
      <c r="C375" s="22">
        <v>68</v>
      </c>
      <c r="D375" s="98">
        <v>23</v>
      </c>
      <c r="E375" s="101">
        <v>87</v>
      </c>
      <c r="F375" s="98">
        <v>23</v>
      </c>
      <c r="G375" s="101">
        <v>87</v>
      </c>
      <c r="H375" s="98">
        <v>23</v>
      </c>
      <c r="I375" s="101">
        <v>87</v>
      </c>
      <c r="J375" s="98">
        <v>23</v>
      </c>
      <c r="K375" s="101">
        <v>87</v>
      </c>
      <c r="L375" s="98">
        <v>23</v>
      </c>
      <c r="M375" s="101">
        <v>87</v>
      </c>
      <c r="N375" s="22" t="s">
        <v>2806</v>
      </c>
      <c r="O375" s="100" t="str">
        <f t="shared" si="36"/>
        <v>龙晶碎片3133/元宝3133000</v>
      </c>
    </row>
    <row r="376" spans="1:15" ht="15.75" x14ac:dyDescent="0.3">
      <c r="A376" s="22" t="s">
        <v>2737</v>
      </c>
      <c r="B376" s="23" t="s">
        <v>2814</v>
      </c>
      <c r="C376" s="22">
        <v>69</v>
      </c>
      <c r="D376" s="98">
        <v>23</v>
      </c>
      <c r="E376" s="101">
        <v>89</v>
      </c>
      <c r="F376" s="98">
        <v>23</v>
      </c>
      <c r="G376" s="101">
        <v>89</v>
      </c>
      <c r="H376" s="98">
        <v>23</v>
      </c>
      <c r="I376" s="101">
        <v>89</v>
      </c>
      <c r="J376" s="98">
        <v>23</v>
      </c>
      <c r="K376" s="101">
        <v>89</v>
      </c>
      <c r="L376" s="98">
        <v>23</v>
      </c>
      <c r="M376" s="101">
        <v>89</v>
      </c>
      <c r="N376" s="22" t="s">
        <v>2806</v>
      </c>
      <c r="O376" s="100" t="str">
        <f t="shared" si="36"/>
        <v>龙晶碎片3133/元宝3133000</v>
      </c>
    </row>
    <row r="377" spans="1:15" ht="15.75" x14ac:dyDescent="0.3">
      <c r="A377" s="22" t="s">
        <v>2737</v>
      </c>
      <c r="B377" s="23" t="s">
        <v>2815</v>
      </c>
      <c r="C377" s="22">
        <v>70</v>
      </c>
      <c r="D377" s="98">
        <v>23</v>
      </c>
      <c r="E377" s="101">
        <v>91</v>
      </c>
      <c r="F377" s="98">
        <v>23</v>
      </c>
      <c r="G377" s="101">
        <v>91</v>
      </c>
      <c r="H377" s="98">
        <v>23</v>
      </c>
      <c r="I377" s="101">
        <v>91</v>
      </c>
      <c r="J377" s="98">
        <v>23</v>
      </c>
      <c r="K377" s="101">
        <v>91</v>
      </c>
      <c r="L377" s="98">
        <v>23</v>
      </c>
      <c r="M377" s="101">
        <v>91</v>
      </c>
      <c r="N377" s="22" t="s">
        <v>2806</v>
      </c>
      <c r="O377" s="100" t="str">
        <f t="shared" si="36"/>
        <v>龙晶碎片3644/元宝3644000</v>
      </c>
    </row>
    <row r="378" spans="1:15" ht="15.75" x14ac:dyDescent="0.3">
      <c r="A378" s="22" t="s">
        <v>2737</v>
      </c>
      <c r="B378" s="23" t="s">
        <v>2816</v>
      </c>
      <c r="C378" s="22">
        <v>71</v>
      </c>
      <c r="D378" s="98">
        <v>25</v>
      </c>
      <c r="E378" s="101">
        <v>92</v>
      </c>
      <c r="F378" s="98">
        <v>25</v>
      </c>
      <c r="G378" s="101">
        <v>92</v>
      </c>
      <c r="H378" s="98">
        <v>25</v>
      </c>
      <c r="I378" s="101">
        <v>92</v>
      </c>
      <c r="J378" s="98">
        <v>25</v>
      </c>
      <c r="K378" s="101">
        <v>92</v>
      </c>
      <c r="L378" s="98">
        <v>25</v>
      </c>
      <c r="M378" s="101">
        <v>92</v>
      </c>
      <c r="N378" s="22" t="s">
        <v>2817</v>
      </c>
      <c r="O378" s="100" t="str">
        <f t="shared" si="36"/>
        <v>龙晶碎片3644/元宝3644000</v>
      </c>
    </row>
    <row r="379" spans="1:15" ht="15.75" x14ac:dyDescent="0.3">
      <c r="A379" s="22" t="s">
        <v>2737</v>
      </c>
      <c r="B379" s="23" t="s">
        <v>2818</v>
      </c>
      <c r="C379" s="22">
        <v>72</v>
      </c>
      <c r="D379" s="98">
        <v>25</v>
      </c>
      <c r="E379" s="101">
        <v>95</v>
      </c>
      <c r="F379" s="98">
        <v>25</v>
      </c>
      <c r="G379" s="101">
        <v>95</v>
      </c>
      <c r="H379" s="98">
        <v>25</v>
      </c>
      <c r="I379" s="101">
        <v>95</v>
      </c>
      <c r="J379" s="98">
        <v>25</v>
      </c>
      <c r="K379" s="101">
        <v>95</v>
      </c>
      <c r="L379" s="98">
        <v>25</v>
      </c>
      <c r="M379" s="101">
        <v>95</v>
      </c>
      <c r="N379" s="22" t="s">
        <v>2817</v>
      </c>
      <c r="O379" s="100" t="str">
        <f t="shared" si="36"/>
        <v>龙晶碎片3644/元宝3644000</v>
      </c>
    </row>
    <row r="380" spans="1:15" ht="15.75" x14ac:dyDescent="0.3">
      <c r="A380" s="22" t="s">
        <v>2737</v>
      </c>
      <c r="B380" s="23" t="s">
        <v>2819</v>
      </c>
      <c r="C380" s="22">
        <v>73</v>
      </c>
      <c r="D380" s="98">
        <v>25</v>
      </c>
      <c r="E380" s="101">
        <v>97</v>
      </c>
      <c r="F380" s="98">
        <v>25</v>
      </c>
      <c r="G380" s="101">
        <v>97</v>
      </c>
      <c r="H380" s="98">
        <v>25</v>
      </c>
      <c r="I380" s="101">
        <v>97</v>
      </c>
      <c r="J380" s="98">
        <v>25</v>
      </c>
      <c r="K380" s="101">
        <v>97</v>
      </c>
      <c r="L380" s="98">
        <v>25</v>
      </c>
      <c r="M380" s="101">
        <v>97</v>
      </c>
      <c r="N380" s="22" t="s">
        <v>2817</v>
      </c>
      <c r="O380" s="100" t="str">
        <f t="shared" si="36"/>
        <v>龙晶碎片3644/元宝3644000</v>
      </c>
    </row>
    <row r="381" spans="1:15" ht="15.75" x14ac:dyDescent="0.3">
      <c r="A381" s="22" t="s">
        <v>2737</v>
      </c>
      <c r="B381" s="23" t="s">
        <v>2820</v>
      </c>
      <c r="C381" s="22">
        <v>74</v>
      </c>
      <c r="D381" s="98">
        <v>25</v>
      </c>
      <c r="E381" s="101">
        <v>99</v>
      </c>
      <c r="F381" s="98">
        <v>25</v>
      </c>
      <c r="G381" s="101">
        <v>99</v>
      </c>
      <c r="H381" s="98">
        <v>25</v>
      </c>
      <c r="I381" s="101">
        <v>99</v>
      </c>
      <c r="J381" s="98">
        <v>25</v>
      </c>
      <c r="K381" s="101">
        <v>99</v>
      </c>
      <c r="L381" s="98">
        <v>25</v>
      </c>
      <c r="M381" s="101">
        <v>99</v>
      </c>
      <c r="N381" s="22" t="s">
        <v>2817</v>
      </c>
      <c r="O381" s="100" t="str">
        <f t="shared" si="36"/>
        <v>龙晶碎片3644/元宝3644000</v>
      </c>
    </row>
    <row r="382" spans="1:15" ht="15.75" x14ac:dyDescent="0.3">
      <c r="A382" s="22" t="s">
        <v>2737</v>
      </c>
      <c r="B382" s="23" t="s">
        <v>2821</v>
      </c>
      <c r="C382" s="22">
        <v>75</v>
      </c>
      <c r="D382" s="98">
        <v>26</v>
      </c>
      <c r="E382" s="101">
        <v>101</v>
      </c>
      <c r="F382" s="98">
        <v>26</v>
      </c>
      <c r="G382" s="101">
        <v>101</v>
      </c>
      <c r="H382" s="98">
        <v>26</v>
      </c>
      <c r="I382" s="101">
        <v>101</v>
      </c>
      <c r="J382" s="98">
        <v>26</v>
      </c>
      <c r="K382" s="101">
        <v>101</v>
      </c>
      <c r="L382" s="98">
        <v>26</v>
      </c>
      <c r="M382" s="101">
        <v>101</v>
      </c>
      <c r="N382" s="22" t="s">
        <v>2817</v>
      </c>
      <c r="O382" s="100" t="str">
        <f t="shared" si="36"/>
        <v>龙晶碎片3644/元宝3644000</v>
      </c>
    </row>
    <row r="383" spans="1:15" ht="15.75" x14ac:dyDescent="0.3">
      <c r="A383" s="22" t="s">
        <v>2737</v>
      </c>
      <c r="B383" s="23" t="s">
        <v>2822</v>
      </c>
      <c r="C383" s="22">
        <v>76</v>
      </c>
      <c r="D383" s="98">
        <v>26</v>
      </c>
      <c r="E383" s="101">
        <v>103</v>
      </c>
      <c r="F383" s="98">
        <v>26</v>
      </c>
      <c r="G383" s="101">
        <v>103</v>
      </c>
      <c r="H383" s="98">
        <v>26</v>
      </c>
      <c r="I383" s="101">
        <v>103</v>
      </c>
      <c r="J383" s="98">
        <v>26</v>
      </c>
      <c r="K383" s="101">
        <v>103</v>
      </c>
      <c r="L383" s="98">
        <v>26</v>
      </c>
      <c r="M383" s="101">
        <v>103</v>
      </c>
      <c r="N383" s="22" t="s">
        <v>2817</v>
      </c>
      <c r="O383" s="100" t="str">
        <f t="shared" si="36"/>
        <v>龙晶碎片3644/元宝3644000</v>
      </c>
    </row>
    <row r="384" spans="1:15" ht="15.75" x14ac:dyDescent="0.3">
      <c r="A384" s="22" t="s">
        <v>2737</v>
      </c>
      <c r="B384" s="23" t="s">
        <v>2823</v>
      </c>
      <c r="C384" s="22">
        <v>77</v>
      </c>
      <c r="D384" s="98">
        <v>26</v>
      </c>
      <c r="E384" s="101">
        <v>105</v>
      </c>
      <c r="F384" s="98">
        <v>26</v>
      </c>
      <c r="G384" s="101">
        <v>105</v>
      </c>
      <c r="H384" s="98">
        <v>26</v>
      </c>
      <c r="I384" s="101">
        <v>105</v>
      </c>
      <c r="J384" s="98">
        <v>26</v>
      </c>
      <c r="K384" s="101">
        <v>105</v>
      </c>
      <c r="L384" s="98">
        <v>26</v>
      </c>
      <c r="M384" s="101">
        <v>105</v>
      </c>
      <c r="N384" s="22" t="s">
        <v>2817</v>
      </c>
      <c r="O384" s="100" t="str">
        <f t="shared" si="36"/>
        <v>龙晶碎片3644/元宝3644000</v>
      </c>
    </row>
    <row r="385" spans="1:15" ht="15.75" x14ac:dyDescent="0.3">
      <c r="A385" s="22" t="s">
        <v>2737</v>
      </c>
      <c r="B385" s="23" t="s">
        <v>2824</v>
      </c>
      <c r="C385" s="22">
        <v>78</v>
      </c>
      <c r="D385" s="98">
        <v>27</v>
      </c>
      <c r="E385" s="101">
        <v>107</v>
      </c>
      <c r="F385" s="98">
        <v>27</v>
      </c>
      <c r="G385" s="101">
        <v>107</v>
      </c>
      <c r="H385" s="98">
        <v>27</v>
      </c>
      <c r="I385" s="101">
        <v>107</v>
      </c>
      <c r="J385" s="98">
        <v>27</v>
      </c>
      <c r="K385" s="101">
        <v>107</v>
      </c>
      <c r="L385" s="98">
        <v>27</v>
      </c>
      <c r="M385" s="101">
        <v>107</v>
      </c>
      <c r="N385" s="22" t="s">
        <v>2817</v>
      </c>
      <c r="O385" s="100" t="str">
        <f t="shared" si="36"/>
        <v>龙晶碎片3644/元宝3644000</v>
      </c>
    </row>
    <row r="386" spans="1:15" ht="15.75" x14ac:dyDescent="0.3">
      <c r="A386" s="22" t="s">
        <v>2737</v>
      </c>
      <c r="B386" s="23" t="s">
        <v>2825</v>
      </c>
      <c r="C386" s="22">
        <v>79</v>
      </c>
      <c r="D386" s="98">
        <v>27</v>
      </c>
      <c r="E386" s="101">
        <v>109</v>
      </c>
      <c r="F386" s="98">
        <v>27</v>
      </c>
      <c r="G386" s="101">
        <v>109</v>
      </c>
      <c r="H386" s="98">
        <v>27</v>
      </c>
      <c r="I386" s="101">
        <v>109</v>
      </c>
      <c r="J386" s="98">
        <v>27</v>
      </c>
      <c r="K386" s="101">
        <v>109</v>
      </c>
      <c r="L386" s="98">
        <v>27</v>
      </c>
      <c r="M386" s="101">
        <v>109</v>
      </c>
      <c r="N386" s="22" t="s">
        <v>2817</v>
      </c>
      <c r="O386" s="100" t="str">
        <f t="shared" si="36"/>
        <v>龙晶碎片3644/元宝3644000</v>
      </c>
    </row>
    <row r="387" spans="1:15" ht="15.75" x14ac:dyDescent="0.3">
      <c r="A387" s="22" t="s">
        <v>2737</v>
      </c>
      <c r="B387" s="23" t="s">
        <v>2826</v>
      </c>
      <c r="C387" s="22">
        <v>80</v>
      </c>
      <c r="D387" s="98">
        <v>27</v>
      </c>
      <c r="E387" s="101">
        <v>111</v>
      </c>
      <c r="F387" s="98">
        <v>27</v>
      </c>
      <c r="G387" s="101">
        <v>111</v>
      </c>
      <c r="H387" s="98">
        <v>27</v>
      </c>
      <c r="I387" s="101">
        <v>111</v>
      </c>
      <c r="J387" s="98">
        <v>27</v>
      </c>
      <c r="K387" s="101">
        <v>111</v>
      </c>
      <c r="L387" s="98">
        <v>27</v>
      </c>
      <c r="M387" s="101">
        <v>111</v>
      </c>
      <c r="N387" s="22" t="s">
        <v>2817</v>
      </c>
      <c r="O387" s="100" t="str">
        <f t="shared" si="36"/>
        <v>龙晶碎片5328/元宝5328000</v>
      </c>
    </row>
    <row r="388" spans="1:15" ht="15.75" x14ac:dyDescent="0.3">
      <c r="A388" s="22" t="s">
        <v>2737</v>
      </c>
      <c r="B388" s="23" t="s">
        <v>2827</v>
      </c>
      <c r="C388" s="22">
        <v>81</v>
      </c>
      <c r="D388" s="98">
        <v>30</v>
      </c>
      <c r="E388" s="101">
        <v>113</v>
      </c>
      <c r="F388" s="98">
        <v>30</v>
      </c>
      <c r="G388" s="101">
        <v>113</v>
      </c>
      <c r="H388" s="98">
        <v>30</v>
      </c>
      <c r="I388" s="101">
        <v>113</v>
      </c>
      <c r="J388" s="98">
        <v>30</v>
      </c>
      <c r="K388" s="101">
        <v>113</v>
      </c>
      <c r="L388" s="98">
        <v>30</v>
      </c>
      <c r="M388" s="101">
        <v>113</v>
      </c>
      <c r="N388" s="22" t="s">
        <v>2828</v>
      </c>
      <c r="O388" s="100" t="str">
        <f t="shared" si="36"/>
        <v>龙晶碎片5328/元宝5328000</v>
      </c>
    </row>
    <row r="389" spans="1:15" ht="15.75" x14ac:dyDescent="0.3">
      <c r="A389" s="22" t="s">
        <v>2737</v>
      </c>
      <c r="B389" s="23" t="s">
        <v>2829</v>
      </c>
      <c r="C389" s="22">
        <v>82</v>
      </c>
      <c r="D389" s="98">
        <v>31</v>
      </c>
      <c r="E389" s="101">
        <v>117</v>
      </c>
      <c r="F389" s="98">
        <v>31</v>
      </c>
      <c r="G389" s="101">
        <v>117</v>
      </c>
      <c r="H389" s="98">
        <v>31</v>
      </c>
      <c r="I389" s="101">
        <v>117</v>
      </c>
      <c r="J389" s="98">
        <v>31</v>
      </c>
      <c r="K389" s="101">
        <v>117</v>
      </c>
      <c r="L389" s="98">
        <v>31</v>
      </c>
      <c r="M389" s="101">
        <v>117</v>
      </c>
      <c r="N389" s="22" t="s">
        <v>2828</v>
      </c>
      <c r="O389" s="100" t="str">
        <f t="shared" si="36"/>
        <v>龙晶碎片5328/元宝5328000</v>
      </c>
    </row>
    <row r="390" spans="1:15" ht="15.75" x14ac:dyDescent="0.3">
      <c r="A390" s="22" t="s">
        <v>2737</v>
      </c>
      <c r="B390" s="23" t="s">
        <v>2830</v>
      </c>
      <c r="C390" s="22">
        <v>83</v>
      </c>
      <c r="D390" s="98">
        <v>32</v>
      </c>
      <c r="E390" s="101">
        <v>120</v>
      </c>
      <c r="F390" s="98">
        <v>32</v>
      </c>
      <c r="G390" s="101">
        <v>120</v>
      </c>
      <c r="H390" s="98">
        <v>32</v>
      </c>
      <c r="I390" s="101">
        <v>120</v>
      </c>
      <c r="J390" s="98">
        <v>32</v>
      </c>
      <c r="K390" s="101">
        <v>120</v>
      </c>
      <c r="L390" s="98">
        <v>32</v>
      </c>
      <c r="M390" s="101">
        <v>120</v>
      </c>
      <c r="N390" s="22" t="s">
        <v>2828</v>
      </c>
      <c r="O390" s="100" t="str">
        <f t="shared" si="36"/>
        <v>龙晶碎片5328/元宝5328000</v>
      </c>
    </row>
    <row r="391" spans="1:15" ht="15.75" x14ac:dyDescent="0.3">
      <c r="A391" s="22" t="s">
        <v>2737</v>
      </c>
      <c r="B391" s="23" t="s">
        <v>2831</v>
      </c>
      <c r="C391" s="22">
        <v>84</v>
      </c>
      <c r="D391" s="98">
        <v>33</v>
      </c>
      <c r="E391" s="101">
        <v>123</v>
      </c>
      <c r="F391" s="98">
        <v>33</v>
      </c>
      <c r="G391" s="101">
        <v>123</v>
      </c>
      <c r="H391" s="98">
        <v>33</v>
      </c>
      <c r="I391" s="101">
        <v>123</v>
      </c>
      <c r="J391" s="98">
        <v>33</v>
      </c>
      <c r="K391" s="101">
        <v>123</v>
      </c>
      <c r="L391" s="98">
        <v>33</v>
      </c>
      <c r="M391" s="101">
        <v>123</v>
      </c>
      <c r="N391" s="22" t="s">
        <v>2828</v>
      </c>
      <c r="O391" s="100" t="str">
        <f t="shared" si="36"/>
        <v>龙晶碎片5328/元宝5328000</v>
      </c>
    </row>
    <row r="392" spans="1:15" ht="15.75" x14ac:dyDescent="0.3">
      <c r="A392" s="22" t="s">
        <v>2737</v>
      </c>
      <c r="B392" s="23" t="s">
        <v>2832</v>
      </c>
      <c r="C392" s="22">
        <v>85</v>
      </c>
      <c r="D392" s="98">
        <v>34</v>
      </c>
      <c r="E392" s="101">
        <v>126</v>
      </c>
      <c r="F392" s="98">
        <v>34</v>
      </c>
      <c r="G392" s="101">
        <v>126</v>
      </c>
      <c r="H392" s="98">
        <v>34</v>
      </c>
      <c r="I392" s="101">
        <v>126</v>
      </c>
      <c r="J392" s="98">
        <v>34</v>
      </c>
      <c r="K392" s="101">
        <v>126</v>
      </c>
      <c r="L392" s="98">
        <v>34</v>
      </c>
      <c r="M392" s="101">
        <v>126</v>
      </c>
      <c r="N392" s="22" t="s">
        <v>2828</v>
      </c>
      <c r="O392" s="100" t="str">
        <f t="shared" si="36"/>
        <v>龙晶碎片5328/元宝5328000</v>
      </c>
    </row>
    <row r="393" spans="1:15" ht="15.75" x14ac:dyDescent="0.3">
      <c r="A393" s="22" t="s">
        <v>2737</v>
      </c>
      <c r="B393" s="23" t="s">
        <v>2833</v>
      </c>
      <c r="C393" s="22">
        <v>86</v>
      </c>
      <c r="D393" s="98">
        <v>35</v>
      </c>
      <c r="E393" s="101">
        <v>129</v>
      </c>
      <c r="F393" s="98">
        <v>35</v>
      </c>
      <c r="G393" s="101">
        <v>129</v>
      </c>
      <c r="H393" s="98">
        <v>35</v>
      </c>
      <c r="I393" s="101">
        <v>129</v>
      </c>
      <c r="J393" s="98">
        <v>35</v>
      </c>
      <c r="K393" s="101">
        <v>129</v>
      </c>
      <c r="L393" s="98">
        <v>35</v>
      </c>
      <c r="M393" s="101">
        <v>129</v>
      </c>
      <c r="N393" s="22" t="s">
        <v>2828</v>
      </c>
      <c r="O393" s="100" t="str">
        <f t="shared" si="36"/>
        <v>龙晶碎片5328/元宝5328000</v>
      </c>
    </row>
    <row r="394" spans="1:15" ht="15.75" x14ac:dyDescent="0.3">
      <c r="A394" s="22" t="s">
        <v>2737</v>
      </c>
      <c r="B394" s="23" t="s">
        <v>2834</v>
      </c>
      <c r="C394" s="22">
        <v>87</v>
      </c>
      <c r="D394" s="98">
        <v>36</v>
      </c>
      <c r="E394" s="101">
        <v>132</v>
      </c>
      <c r="F394" s="98">
        <v>36</v>
      </c>
      <c r="G394" s="101">
        <v>132</v>
      </c>
      <c r="H394" s="98">
        <v>36</v>
      </c>
      <c r="I394" s="101">
        <v>132</v>
      </c>
      <c r="J394" s="98">
        <v>36</v>
      </c>
      <c r="K394" s="101">
        <v>132</v>
      </c>
      <c r="L394" s="98">
        <v>36</v>
      </c>
      <c r="M394" s="101">
        <v>132</v>
      </c>
      <c r="N394" s="22" t="s">
        <v>2828</v>
      </c>
      <c r="O394" s="100" t="str">
        <f t="shared" si="36"/>
        <v>龙晶碎片5328/元宝5328000</v>
      </c>
    </row>
    <row r="395" spans="1:15" ht="15.75" x14ac:dyDescent="0.3">
      <c r="A395" s="22" t="s">
        <v>2737</v>
      </c>
      <c r="B395" s="23" t="s">
        <v>2835</v>
      </c>
      <c r="C395" s="22">
        <v>88</v>
      </c>
      <c r="D395" s="98">
        <v>37</v>
      </c>
      <c r="E395" s="101">
        <v>135</v>
      </c>
      <c r="F395" s="98">
        <v>37</v>
      </c>
      <c r="G395" s="101">
        <v>135</v>
      </c>
      <c r="H395" s="98">
        <v>37</v>
      </c>
      <c r="I395" s="101">
        <v>135</v>
      </c>
      <c r="J395" s="98">
        <v>37</v>
      </c>
      <c r="K395" s="101">
        <v>135</v>
      </c>
      <c r="L395" s="98">
        <v>37</v>
      </c>
      <c r="M395" s="101">
        <v>135</v>
      </c>
      <c r="N395" s="22" t="s">
        <v>2828</v>
      </c>
      <c r="O395" s="100" t="str">
        <f t="shared" si="36"/>
        <v>龙晶碎片5328/元宝5328000</v>
      </c>
    </row>
    <row r="396" spans="1:15" ht="15.75" x14ac:dyDescent="0.3">
      <c r="A396" s="22" t="s">
        <v>2737</v>
      </c>
      <c r="B396" s="23" t="s">
        <v>2836</v>
      </c>
      <c r="C396" s="22">
        <v>89</v>
      </c>
      <c r="D396" s="98">
        <v>38</v>
      </c>
      <c r="E396" s="101">
        <v>138</v>
      </c>
      <c r="F396" s="98">
        <v>38</v>
      </c>
      <c r="G396" s="101">
        <v>138</v>
      </c>
      <c r="H396" s="98">
        <v>38</v>
      </c>
      <c r="I396" s="101">
        <v>138</v>
      </c>
      <c r="J396" s="98">
        <v>38</v>
      </c>
      <c r="K396" s="101">
        <v>138</v>
      </c>
      <c r="L396" s="98">
        <v>38</v>
      </c>
      <c r="M396" s="101">
        <v>138</v>
      </c>
      <c r="N396" s="22" t="s">
        <v>2828</v>
      </c>
      <c r="O396" s="100" t="str">
        <f t="shared" si="36"/>
        <v>龙晶碎片5328/元宝5328000</v>
      </c>
    </row>
    <row r="397" spans="1:15" ht="15.75" x14ac:dyDescent="0.3">
      <c r="A397" s="22" t="s">
        <v>2737</v>
      </c>
      <c r="B397" s="23" t="s">
        <v>2837</v>
      </c>
      <c r="C397" s="22">
        <v>90</v>
      </c>
      <c r="D397" s="98">
        <v>39</v>
      </c>
      <c r="E397" s="101">
        <v>141</v>
      </c>
      <c r="F397" s="98">
        <v>39</v>
      </c>
      <c r="G397" s="101">
        <v>141</v>
      </c>
      <c r="H397" s="98">
        <v>39</v>
      </c>
      <c r="I397" s="101">
        <v>141</v>
      </c>
      <c r="J397" s="98">
        <v>39</v>
      </c>
      <c r="K397" s="101">
        <v>141</v>
      </c>
      <c r="L397" s="98">
        <v>39</v>
      </c>
      <c r="M397" s="101">
        <v>141</v>
      </c>
      <c r="N397" s="22" t="s">
        <v>2828</v>
      </c>
      <c r="O397" s="100" t="str">
        <f t="shared" si="36"/>
        <v>龙晶碎片5839/元宝5839000</v>
      </c>
    </row>
    <row r="398" spans="1:15" ht="15.75" x14ac:dyDescent="0.3">
      <c r="A398" s="22" t="s">
        <v>2737</v>
      </c>
      <c r="B398" s="23" t="s">
        <v>2838</v>
      </c>
      <c r="C398" s="22">
        <v>91</v>
      </c>
      <c r="D398" s="98">
        <v>40</v>
      </c>
      <c r="E398" s="101">
        <v>143</v>
      </c>
      <c r="F398" s="98">
        <v>40</v>
      </c>
      <c r="G398" s="101">
        <v>143</v>
      </c>
      <c r="H398" s="98">
        <v>40</v>
      </c>
      <c r="I398" s="101">
        <v>143</v>
      </c>
      <c r="J398" s="98">
        <v>40</v>
      </c>
      <c r="K398" s="101">
        <v>143</v>
      </c>
      <c r="L398" s="98">
        <v>40</v>
      </c>
      <c r="M398" s="101">
        <v>143</v>
      </c>
      <c r="N398" s="22" t="s">
        <v>2839</v>
      </c>
      <c r="O398" s="100" t="str">
        <f t="shared" si="36"/>
        <v>龙晶碎片5839/元宝5839000</v>
      </c>
    </row>
    <row r="399" spans="1:15" ht="15.75" x14ac:dyDescent="0.3">
      <c r="A399" s="22" t="s">
        <v>2737</v>
      </c>
      <c r="B399" s="23" t="s">
        <v>2840</v>
      </c>
      <c r="C399" s="22">
        <v>92</v>
      </c>
      <c r="D399" s="98">
        <v>41</v>
      </c>
      <c r="E399" s="101">
        <v>147</v>
      </c>
      <c r="F399" s="98">
        <v>41</v>
      </c>
      <c r="G399" s="101">
        <v>147</v>
      </c>
      <c r="H399" s="98">
        <v>41</v>
      </c>
      <c r="I399" s="101">
        <v>147</v>
      </c>
      <c r="J399" s="98">
        <v>41</v>
      </c>
      <c r="K399" s="101">
        <v>147</v>
      </c>
      <c r="L399" s="98">
        <v>41</v>
      </c>
      <c r="M399" s="101">
        <v>147</v>
      </c>
      <c r="N399" s="22" t="s">
        <v>2839</v>
      </c>
      <c r="O399" s="100" t="str">
        <f t="shared" si="36"/>
        <v>龙晶碎片5839/元宝5839000</v>
      </c>
    </row>
    <row r="400" spans="1:15" ht="15.75" x14ac:dyDescent="0.3">
      <c r="A400" s="22" t="s">
        <v>2737</v>
      </c>
      <c r="B400" s="23" t="s">
        <v>2841</v>
      </c>
      <c r="C400" s="22">
        <v>93</v>
      </c>
      <c r="D400" s="98">
        <v>42</v>
      </c>
      <c r="E400" s="101">
        <v>150</v>
      </c>
      <c r="F400" s="98">
        <v>42</v>
      </c>
      <c r="G400" s="101">
        <v>150</v>
      </c>
      <c r="H400" s="98">
        <v>42</v>
      </c>
      <c r="I400" s="101">
        <v>150</v>
      </c>
      <c r="J400" s="98">
        <v>42</v>
      </c>
      <c r="K400" s="101">
        <v>150</v>
      </c>
      <c r="L400" s="98">
        <v>42</v>
      </c>
      <c r="M400" s="101">
        <v>150</v>
      </c>
      <c r="N400" s="22" t="s">
        <v>2839</v>
      </c>
      <c r="O400" s="100" t="str">
        <f t="shared" si="36"/>
        <v>龙晶碎片5839/元宝5839000</v>
      </c>
    </row>
    <row r="401" spans="1:15" ht="15.75" x14ac:dyDescent="0.3">
      <c r="A401" s="22" t="s">
        <v>2737</v>
      </c>
      <c r="B401" s="23" t="s">
        <v>2842</v>
      </c>
      <c r="C401" s="22">
        <v>94</v>
      </c>
      <c r="D401" s="98">
        <v>43</v>
      </c>
      <c r="E401" s="101">
        <v>153</v>
      </c>
      <c r="F401" s="98">
        <v>43</v>
      </c>
      <c r="G401" s="101">
        <v>153</v>
      </c>
      <c r="H401" s="98">
        <v>43</v>
      </c>
      <c r="I401" s="101">
        <v>153</v>
      </c>
      <c r="J401" s="98">
        <v>43</v>
      </c>
      <c r="K401" s="101">
        <v>153</v>
      </c>
      <c r="L401" s="98">
        <v>43</v>
      </c>
      <c r="M401" s="101">
        <v>153</v>
      </c>
      <c r="N401" s="22" t="s">
        <v>2839</v>
      </c>
      <c r="O401" s="100" t="str">
        <f t="shared" si="36"/>
        <v>龙晶碎片5839/元宝5839000</v>
      </c>
    </row>
    <row r="402" spans="1:15" ht="15.75" x14ac:dyDescent="0.3">
      <c r="A402" s="22" t="s">
        <v>2737</v>
      </c>
      <c r="B402" s="23" t="s">
        <v>2843</v>
      </c>
      <c r="C402" s="22">
        <v>95</v>
      </c>
      <c r="D402" s="98">
        <v>44</v>
      </c>
      <c r="E402" s="101">
        <v>156</v>
      </c>
      <c r="F402" s="98">
        <v>44</v>
      </c>
      <c r="G402" s="101">
        <v>156</v>
      </c>
      <c r="H402" s="98">
        <v>44</v>
      </c>
      <c r="I402" s="101">
        <v>156</v>
      </c>
      <c r="J402" s="98">
        <v>44</v>
      </c>
      <c r="K402" s="101">
        <v>156</v>
      </c>
      <c r="L402" s="98">
        <v>44</v>
      </c>
      <c r="M402" s="101">
        <v>156</v>
      </c>
      <c r="N402" s="22" t="s">
        <v>2839</v>
      </c>
      <c r="O402" s="100" t="str">
        <f t="shared" si="36"/>
        <v>龙晶碎片5839/元宝5839000</v>
      </c>
    </row>
    <row r="403" spans="1:15" ht="15.75" x14ac:dyDescent="0.3">
      <c r="A403" s="22" t="s">
        <v>2737</v>
      </c>
      <c r="B403" s="23" t="s">
        <v>2844</v>
      </c>
      <c r="C403" s="22">
        <v>96</v>
      </c>
      <c r="D403" s="98">
        <v>45</v>
      </c>
      <c r="E403" s="101">
        <v>159</v>
      </c>
      <c r="F403" s="98">
        <v>45</v>
      </c>
      <c r="G403" s="101">
        <v>159</v>
      </c>
      <c r="H403" s="98">
        <v>45</v>
      </c>
      <c r="I403" s="101">
        <v>159</v>
      </c>
      <c r="J403" s="98">
        <v>45</v>
      </c>
      <c r="K403" s="101">
        <v>159</v>
      </c>
      <c r="L403" s="98">
        <v>45</v>
      </c>
      <c r="M403" s="101">
        <v>159</v>
      </c>
      <c r="N403" s="22" t="s">
        <v>2839</v>
      </c>
      <c r="O403" s="100" t="str">
        <f t="shared" si="36"/>
        <v>龙晶碎片5839/元宝5839000</v>
      </c>
    </row>
    <row r="404" spans="1:15" ht="15.75" x14ac:dyDescent="0.3">
      <c r="A404" s="22" t="s">
        <v>2737</v>
      </c>
      <c r="B404" s="23" t="s">
        <v>2845</v>
      </c>
      <c r="C404" s="22">
        <v>97</v>
      </c>
      <c r="D404" s="98">
        <v>46</v>
      </c>
      <c r="E404" s="101">
        <v>162</v>
      </c>
      <c r="F404" s="98">
        <v>46</v>
      </c>
      <c r="G404" s="101">
        <v>162</v>
      </c>
      <c r="H404" s="98">
        <v>46</v>
      </c>
      <c r="I404" s="101">
        <v>162</v>
      </c>
      <c r="J404" s="98">
        <v>46</v>
      </c>
      <c r="K404" s="101">
        <v>162</v>
      </c>
      <c r="L404" s="98">
        <v>46</v>
      </c>
      <c r="M404" s="101">
        <v>162</v>
      </c>
      <c r="N404" s="22" t="s">
        <v>2839</v>
      </c>
      <c r="O404" s="100" t="str">
        <f t="shared" si="36"/>
        <v>龙晶碎片5839/元宝5839000</v>
      </c>
    </row>
    <row r="405" spans="1:15" ht="15.75" x14ac:dyDescent="0.3">
      <c r="A405" s="22" t="s">
        <v>2737</v>
      </c>
      <c r="B405" s="23" t="s">
        <v>2846</v>
      </c>
      <c r="C405" s="22">
        <v>98</v>
      </c>
      <c r="D405" s="98">
        <v>47</v>
      </c>
      <c r="E405" s="101">
        <v>165</v>
      </c>
      <c r="F405" s="98">
        <v>47</v>
      </c>
      <c r="G405" s="101">
        <v>165</v>
      </c>
      <c r="H405" s="98">
        <v>47</v>
      </c>
      <c r="I405" s="101">
        <v>165</v>
      </c>
      <c r="J405" s="98">
        <v>47</v>
      </c>
      <c r="K405" s="101">
        <v>165</v>
      </c>
      <c r="L405" s="98">
        <v>47</v>
      </c>
      <c r="M405" s="101">
        <v>165</v>
      </c>
      <c r="N405" s="22" t="s">
        <v>2839</v>
      </c>
      <c r="O405" s="100" t="str">
        <f t="shared" si="36"/>
        <v>龙晶碎片5839/元宝5839000</v>
      </c>
    </row>
    <row r="406" spans="1:15" ht="15.75" x14ac:dyDescent="0.3">
      <c r="A406" s="22" t="s">
        <v>2737</v>
      </c>
      <c r="B406" s="23" t="s">
        <v>2847</v>
      </c>
      <c r="C406" s="22">
        <v>99</v>
      </c>
      <c r="D406" s="98">
        <v>48</v>
      </c>
      <c r="E406" s="101">
        <v>168</v>
      </c>
      <c r="F406" s="98">
        <v>48</v>
      </c>
      <c r="G406" s="101">
        <v>168</v>
      </c>
      <c r="H406" s="98">
        <v>48</v>
      </c>
      <c r="I406" s="101">
        <v>168</v>
      </c>
      <c r="J406" s="98">
        <v>48</v>
      </c>
      <c r="K406" s="101">
        <v>168</v>
      </c>
      <c r="L406" s="98">
        <v>48</v>
      </c>
      <c r="M406" s="101">
        <v>168</v>
      </c>
      <c r="N406" s="22" t="s">
        <v>2839</v>
      </c>
      <c r="O406" s="100" t="str">
        <f t="shared" si="36"/>
        <v>龙晶碎片5839/元宝5839000</v>
      </c>
    </row>
    <row r="407" spans="1:15" ht="15.75" x14ac:dyDescent="0.3">
      <c r="A407" s="22" t="s">
        <v>2737</v>
      </c>
      <c r="B407" s="23" t="s">
        <v>2848</v>
      </c>
      <c r="C407" s="22">
        <v>100</v>
      </c>
      <c r="D407" s="98">
        <v>50</v>
      </c>
      <c r="E407" s="102">
        <v>168</v>
      </c>
      <c r="F407" s="98">
        <v>50</v>
      </c>
      <c r="G407" s="102">
        <v>168</v>
      </c>
      <c r="H407" s="98">
        <v>50</v>
      </c>
      <c r="I407" s="102">
        <v>168</v>
      </c>
      <c r="J407" s="98">
        <v>50</v>
      </c>
      <c r="K407" s="102">
        <v>168</v>
      </c>
      <c r="L407" s="98">
        <v>50</v>
      </c>
      <c r="M407" s="102">
        <v>168</v>
      </c>
      <c r="N407" s="22" t="s">
        <v>2839</v>
      </c>
      <c r="O407" s="22"/>
    </row>
  </sheetData>
  <mergeCells count="11">
    <mergeCell ref="AH2:AI2"/>
    <mergeCell ref="AJ2:AN2"/>
    <mergeCell ref="AB1:AN1"/>
    <mergeCell ref="D2:M2"/>
    <mergeCell ref="P2:U2"/>
    <mergeCell ref="P1:U1"/>
    <mergeCell ref="AB2:AC2"/>
    <mergeCell ref="AD2:AG2"/>
    <mergeCell ref="V1:W1"/>
    <mergeCell ref="X1:Y1"/>
    <mergeCell ref="Z1:AA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N32"/>
  <sheetViews>
    <sheetView workbookViewId="0">
      <selection activeCell="P9" sqref="P9"/>
    </sheetView>
  </sheetViews>
  <sheetFormatPr defaultRowHeight="14.25" x14ac:dyDescent="0.2"/>
  <cols>
    <col min="2" max="3" width="0" hidden="1" customWidth="1"/>
    <col min="5" max="6" width="0" hidden="1" customWidth="1"/>
    <col min="7" max="7" width="20" hidden="1" customWidth="1"/>
    <col min="8" max="8" width="53.125" customWidth="1"/>
    <col min="9" max="9" width="30.25" customWidth="1"/>
    <col min="10" max="10" width="9" style="94" customWidth="1"/>
    <col min="11" max="12" width="9" style="94"/>
    <col min="13" max="13" width="11.25" bestFit="1" customWidth="1"/>
    <col min="14" max="14" width="13.25" bestFit="1" customWidth="1"/>
  </cols>
  <sheetData>
    <row r="1" spans="1:14" ht="16.5" x14ac:dyDescent="0.2">
      <c r="A1" s="106" t="s">
        <v>2384</v>
      </c>
      <c r="B1" s="106"/>
      <c r="C1" s="106"/>
      <c r="D1" s="106"/>
      <c r="E1" s="106"/>
      <c r="F1" s="106"/>
      <c r="G1" s="106"/>
      <c r="H1" s="106"/>
      <c r="I1" s="106"/>
      <c r="J1" s="160"/>
    </row>
    <row r="2" spans="1:14" s="31" customFormat="1" ht="18" x14ac:dyDescent="0.2">
      <c r="A2" s="21" t="s">
        <v>165</v>
      </c>
      <c r="B2" s="21" t="s">
        <v>167</v>
      </c>
      <c r="C2" s="21" t="s">
        <v>2855</v>
      </c>
      <c r="D2" s="21" t="s">
        <v>168</v>
      </c>
      <c r="E2" s="21" t="s">
        <v>169</v>
      </c>
      <c r="F2" s="21" t="s">
        <v>170</v>
      </c>
      <c r="G2" s="21" t="s">
        <v>171</v>
      </c>
      <c r="H2" s="21" t="s">
        <v>172</v>
      </c>
      <c r="I2" s="103" t="s">
        <v>62</v>
      </c>
      <c r="J2" s="296" t="s">
        <v>2914</v>
      </c>
      <c r="K2" s="296"/>
      <c r="L2" s="296"/>
      <c r="M2" s="296" t="s">
        <v>3773</v>
      </c>
      <c r="N2" s="296"/>
    </row>
    <row r="3" spans="1:14" ht="16.5" x14ac:dyDescent="0.3">
      <c r="A3" s="34" t="s">
        <v>2856</v>
      </c>
      <c r="B3" s="34"/>
      <c r="C3" s="23"/>
      <c r="D3" s="34" t="s">
        <v>2857</v>
      </c>
      <c r="E3" s="34"/>
      <c r="F3" s="34">
        <v>1</v>
      </c>
      <c r="G3" s="34"/>
      <c r="H3" s="34" t="str">
        <f t="shared" ref="H3:H11" si="0">"3#3#"&amp;0&amp;"|"&amp;"3#4#"&amp;0.5*K4&amp;"|"&amp;"3#5#"&amp;0&amp;"|"&amp;"3#6#"&amp;0.5*K4&amp;"|"&amp;"3#7#"&amp;0&amp;"|"&amp;"3#8#"&amp;0.5*K4</f>
        <v>3#3#0|3#4#25|3#5#0|3#6#25|3#7#0|3#8#25</v>
      </c>
      <c r="I3" s="34" t="s">
        <v>2858</v>
      </c>
      <c r="J3" s="97" t="s">
        <v>55</v>
      </c>
      <c r="K3" s="158" t="s">
        <v>3</v>
      </c>
      <c r="L3" s="158" t="s">
        <v>2383</v>
      </c>
      <c r="M3" s="158" t="s">
        <v>3758</v>
      </c>
      <c r="N3" s="158" t="s">
        <v>3776</v>
      </c>
    </row>
    <row r="4" spans="1:14" ht="16.5" x14ac:dyDescent="0.3">
      <c r="A4" s="34" t="s">
        <v>2856</v>
      </c>
      <c r="B4" s="34"/>
      <c r="C4" s="23"/>
      <c r="D4" s="34" t="s">
        <v>2859</v>
      </c>
      <c r="E4" s="34"/>
      <c r="F4" s="34">
        <v>1</v>
      </c>
      <c r="G4" s="34"/>
      <c r="H4" s="34" t="str">
        <f t="shared" si="0"/>
        <v>3#3#0|3#4#50|3#5#0|3#6#50|3#7#0|3#8#50</v>
      </c>
      <c r="I4" s="34" t="s">
        <v>2860</v>
      </c>
      <c r="J4" s="97">
        <v>1</v>
      </c>
      <c r="K4" s="158">
        <f t="shared" ref="K4:K11" si="1">INT(J4/J$13*K$13)</f>
        <v>50</v>
      </c>
      <c r="L4" s="158">
        <f t="shared" ref="L4:L11" si="2">INT(J4/J$13*L$13)</f>
        <v>25</v>
      </c>
      <c r="M4" s="158">
        <f>K4*(属性价值参考!C$7+属性价值参考!C$8)+特戒!L4*(属性价值参考!C$9+属性价值参考!C$10)</f>
        <v>5130</v>
      </c>
      <c r="N4" s="158"/>
    </row>
    <row r="5" spans="1:14" ht="16.5" x14ac:dyDescent="0.3">
      <c r="A5" s="34" t="s">
        <v>2856</v>
      </c>
      <c r="B5" s="34"/>
      <c r="C5" s="23"/>
      <c r="D5" s="34" t="s">
        <v>2861</v>
      </c>
      <c r="E5" s="34"/>
      <c r="F5" s="34">
        <v>1</v>
      </c>
      <c r="G5" s="34"/>
      <c r="H5" s="34" t="str">
        <f t="shared" si="0"/>
        <v>3#3#0|3#4#75|3#5#0|3#6#75|3#7#0|3#8#75</v>
      </c>
      <c r="I5" s="34" t="s">
        <v>2862</v>
      </c>
      <c r="J5" s="97">
        <v>2</v>
      </c>
      <c r="K5" s="158">
        <f t="shared" si="1"/>
        <v>100</v>
      </c>
      <c r="L5" s="158">
        <f t="shared" si="2"/>
        <v>50</v>
      </c>
      <c r="M5" s="158">
        <f>K5*(属性价值参考!C$7+属性价值参考!C$8)+特戒!L5*(属性价值参考!C$9+属性价值参考!C$10)</f>
        <v>10260</v>
      </c>
      <c r="N5" s="158"/>
    </row>
    <row r="6" spans="1:14" ht="16.5" x14ac:dyDescent="0.3">
      <c r="A6" s="34" t="s">
        <v>2856</v>
      </c>
      <c r="B6" s="34"/>
      <c r="C6" s="23"/>
      <c r="D6" s="34" t="s">
        <v>2863</v>
      </c>
      <c r="E6" s="34"/>
      <c r="F6" s="34">
        <v>1</v>
      </c>
      <c r="G6" s="34"/>
      <c r="H6" s="34" t="str">
        <f t="shared" si="0"/>
        <v>3#3#0|3#4#100|3#5#0|3#6#100|3#7#0|3#8#100</v>
      </c>
      <c r="I6" s="34" t="s">
        <v>2864</v>
      </c>
      <c r="J6" s="97">
        <v>3</v>
      </c>
      <c r="K6" s="158">
        <f t="shared" si="1"/>
        <v>150</v>
      </c>
      <c r="L6" s="158">
        <f t="shared" si="2"/>
        <v>75</v>
      </c>
      <c r="M6" s="158">
        <f>K6*(属性价值参考!C$7+属性价值参考!C$8)+特戒!L6*(属性价值参考!C$9+属性价值参考!C$10)</f>
        <v>15390</v>
      </c>
      <c r="N6" s="158"/>
    </row>
    <row r="7" spans="1:14" ht="16.5" x14ac:dyDescent="0.3">
      <c r="A7" s="34" t="s">
        <v>2856</v>
      </c>
      <c r="B7" s="34"/>
      <c r="C7" s="23"/>
      <c r="D7" s="34" t="s">
        <v>2865</v>
      </c>
      <c r="E7" s="34"/>
      <c r="F7" s="34">
        <v>1</v>
      </c>
      <c r="G7" s="34"/>
      <c r="H7" s="34" t="str">
        <f t="shared" si="0"/>
        <v>3#3#0|3#4#125|3#5#0|3#6#125|3#7#0|3#8#125</v>
      </c>
      <c r="I7" s="34" t="s">
        <v>2866</v>
      </c>
      <c r="J7" s="97">
        <v>4</v>
      </c>
      <c r="K7" s="158">
        <f t="shared" si="1"/>
        <v>200</v>
      </c>
      <c r="L7" s="158">
        <f t="shared" si="2"/>
        <v>100</v>
      </c>
      <c r="M7" s="158">
        <f>K7*(属性价值参考!C$7+属性价值参考!C$8)+特戒!L7*(属性价值参考!C$9+属性价值参考!C$10)</f>
        <v>20520</v>
      </c>
      <c r="N7" s="158"/>
    </row>
    <row r="8" spans="1:14" ht="16.5" x14ac:dyDescent="0.3">
      <c r="A8" s="34" t="s">
        <v>2856</v>
      </c>
      <c r="B8" s="34"/>
      <c r="C8" s="23"/>
      <c r="D8" s="34" t="s">
        <v>2867</v>
      </c>
      <c r="E8" s="34"/>
      <c r="F8" s="34">
        <v>1</v>
      </c>
      <c r="G8" s="34"/>
      <c r="H8" s="34" t="str">
        <f t="shared" si="0"/>
        <v>3#3#0|3#4#150|3#5#0|3#6#150|3#7#0|3#8#150</v>
      </c>
      <c r="I8" s="34" t="s">
        <v>2868</v>
      </c>
      <c r="J8" s="97">
        <v>5</v>
      </c>
      <c r="K8" s="158">
        <f t="shared" si="1"/>
        <v>250</v>
      </c>
      <c r="L8" s="158">
        <f t="shared" si="2"/>
        <v>125</v>
      </c>
      <c r="M8" s="158">
        <f>K8*(属性价值参考!C$7+属性价值参考!C$8)+特戒!L8*(属性价值参考!C$9+属性价值参考!C$10)</f>
        <v>25650</v>
      </c>
      <c r="N8" s="158"/>
    </row>
    <row r="9" spans="1:14" ht="16.5" x14ac:dyDescent="0.3">
      <c r="A9" s="34" t="s">
        <v>2856</v>
      </c>
      <c r="B9" s="34"/>
      <c r="C9" s="23"/>
      <c r="D9" s="34" t="s">
        <v>2869</v>
      </c>
      <c r="E9" s="34"/>
      <c r="F9" s="34">
        <v>1</v>
      </c>
      <c r="G9" s="34"/>
      <c r="H9" s="34" t="str">
        <f t="shared" si="0"/>
        <v>3#3#0|3#4#175|3#5#0|3#6#175|3#7#0|3#8#175</v>
      </c>
      <c r="I9" s="34" t="s">
        <v>2870</v>
      </c>
      <c r="J9" s="97">
        <v>6</v>
      </c>
      <c r="K9" s="158">
        <f t="shared" si="1"/>
        <v>300</v>
      </c>
      <c r="L9" s="158">
        <f t="shared" si="2"/>
        <v>150</v>
      </c>
      <c r="M9" s="158">
        <f>K9*(属性价值参考!C$7+属性价值参考!C$8)+特戒!L9*(属性价值参考!C$9+属性价值参考!C$10)</f>
        <v>30780</v>
      </c>
      <c r="N9" s="158"/>
    </row>
    <row r="10" spans="1:14" ht="16.5" x14ac:dyDescent="0.3">
      <c r="A10" s="34" t="s">
        <v>2856</v>
      </c>
      <c r="B10" s="34"/>
      <c r="C10" s="23"/>
      <c r="D10" s="34" t="s">
        <v>2871</v>
      </c>
      <c r="E10" s="34"/>
      <c r="F10" s="34">
        <v>1</v>
      </c>
      <c r="G10" s="34"/>
      <c r="H10" s="34" t="str">
        <f t="shared" si="0"/>
        <v>3#3#0|3#4#200|3#5#0|3#6#200|3#7#0|3#8#200</v>
      </c>
      <c r="I10" s="34" t="s">
        <v>2872</v>
      </c>
      <c r="J10" s="97">
        <v>7</v>
      </c>
      <c r="K10" s="158">
        <f t="shared" si="1"/>
        <v>350</v>
      </c>
      <c r="L10" s="158">
        <f t="shared" si="2"/>
        <v>175</v>
      </c>
      <c r="M10" s="158">
        <f>K10*(属性价值参考!C$7+属性价值参考!C$8)+特戒!L10*(属性价值参考!C$9+属性价值参考!C$10)</f>
        <v>35910</v>
      </c>
      <c r="N10" s="158"/>
    </row>
    <row r="11" spans="1:14" ht="16.5" x14ac:dyDescent="0.3">
      <c r="A11" s="34" t="s">
        <v>2856</v>
      </c>
      <c r="B11" s="34"/>
      <c r="C11" s="23"/>
      <c r="D11" s="34" t="s">
        <v>2873</v>
      </c>
      <c r="E11" s="34"/>
      <c r="F11" s="34">
        <v>1</v>
      </c>
      <c r="G11" s="34"/>
      <c r="H11" s="34" t="str">
        <f t="shared" si="0"/>
        <v>3#3#0|3#4#225|3#5#0|3#6#225|3#7#0|3#8#225</v>
      </c>
      <c r="I11" s="34" t="s">
        <v>2874</v>
      </c>
      <c r="J11" s="97">
        <v>8</v>
      </c>
      <c r="K11" s="158">
        <f t="shared" si="1"/>
        <v>400</v>
      </c>
      <c r="L11" s="158">
        <f t="shared" si="2"/>
        <v>200</v>
      </c>
      <c r="M11" s="158">
        <f>K11*(属性价值参考!C$7+属性价值参考!C$8)+特戒!L11*(属性价值参考!C$9+属性价值参考!C$10)</f>
        <v>41040</v>
      </c>
      <c r="N11" s="158"/>
    </row>
    <row r="12" spans="1:14" ht="16.5" x14ac:dyDescent="0.3">
      <c r="A12" s="34" t="s">
        <v>2856</v>
      </c>
      <c r="B12" s="34"/>
      <c r="C12" s="23"/>
      <c r="D12" s="34" t="s">
        <v>2875</v>
      </c>
      <c r="E12" s="34"/>
      <c r="F12" s="34">
        <v>1</v>
      </c>
      <c r="G12" s="34"/>
      <c r="H12" s="34" t="str">
        <f>"3#3#"&amp;0&amp;"|"&amp;"3#4#"&amp;0.5*K13&amp;"|"&amp;"3#5#"&amp;0&amp;"|"&amp;"3#6#"&amp;0.5*K13&amp;"|"&amp;"3#7#"&amp;0&amp;"|"&amp;"3#8#"&amp;0.5*K13</f>
        <v>3#3#0|3#4#250|3#5#0|3#6#250|3#7#0|3#8#250</v>
      </c>
      <c r="I12" s="34"/>
      <c r="J12" s="97">
        <v>9</v>
      </c>
      <c r="K12" s="158">
        <f>INT(J12/J$13*K$13)</f>
        <v>450</v>
      </c>
      <c r="L12" s="158">
        <f>INT(J12/J$13*L$13)</f>
        <v>225</v>
      </c>
      <c r="M12" s="158">
        <f>K12*(属性价值参考!C$7+属性价值参考!C$8)+特戒!L12*(属性价值参考!C$9+属性价值参考!C$10)</f>
        <v>46170</v>
      </c>
      <c r="N12" s="158"/>
    </row>
    <row r="13" spans="1:14" ht="16.5" x14ac:dyDescent="0.3">
      <c r="A13" s="34" t="s">
        <v>2856</v>
      </c>
      <c r="B13" s="34"/>
      <c r="C13" s="23"/>
      <c r="D13" s="34" t="s">
        <v>2876</v>
      </c>
      <c r="E13" s="34"/>
      <c r="F13" s="34">
        <v>1</v>
      </c>
      <c r="G13" s="34"/>
      <c r="H13" s="34" t="str">
        <f t="shared" ref="H13:H21" si="3">"3#3#"&amp;0&amp;"|"&amp;"3#4#"&amp;0.5*K4&amp;"|"&amp;"3#9#"&amp;0&amp;"|"&amp;"3#10#"&amp;L4&amp;"|"&amp;"3#11#"&amp;0&amp;"|"&amp;"3#12#"&amp;L4</f>
        <v>3#3#0|3#4#25|3#9#0|3#10#25|3#11#0|3#12#25</v>
      </c>
      <c r="I13" s="34" t="s">
        <v>2877</v>
      </c>
      <c r="J13" s="97">
        <v>10</v>
      </c>
      <c r="K13" s="158">
        <f>养成属性分配!AG31</f>
        <v>500</v>
      </c>
      <c r="L13" s="158">
        <f>养成属性分配!AH31</f>
        <v>250</v>
      </c>
      <c r="M13" s="158">
        <f>K13*(属性价值参考!C$7+属性价值参考!C$8)+特戒!L13*(属性价值参考!C$9+属性价值参考!C$10)</f>
        <v>51300</v>
      </c>
      <c r="N13" s="158"/>
    </row>
    <row r="14" spans="1:14" ht="15.75" x14ac:dyDescent="0.3">
      <c r="A14" s="34" t="s">
        <v>2856</v>
      </c>
      <c r="B14" s="34"/>
      <c r="C14" s="23"/>
      <c r="D14" s="34" t="s">
        <v>2878</v>
      </c>
      <c r="E14" s="34"/>
      <c r="F14" s="34">
        <v>1</v>
      </c>
      <c r="G14" s="34"/>
      <c r="H14" s="34" t="str">
        <f t="shared" si="3"/>
        <v>3#3#0|3#4#50|3#9#0|3#10#50|3#11#0|3#12#50</v>
      </c>
      <c r="I14" s="34" t="s">
        <v>2879</v>
      </c>
      <c r="J14" s="161"/>
    </row>
    <row r="15" spans="1:14" ht="15.75" x14ac:dyDescent="0.3">
      <c r="A15" s="34" t="s">
        <v>2856</v>
      </c>
      <c r="B15" s="34"/>
      <c r="C15" s="23"/>
      <c r="D15" s="34" t="s">
        <v>2880</v>
      </c>
      <c r="E15" s="34"/>
      <c r="F15" s="34">
        <v>1</v>
      </c>
      <c r="G15" s="34"/>
      <c r="H15" s="34" t="str">
        <f t="shared" si="3"/>
        <v>3#3#0|3#4#75|3#9#0|3#10#75|3#11#0|3#12#75</v>
      </c>
      <c r="I15" s="34" t="s">
        <v>2881</v>
      </c>
      <c r="J15" s="161"/>
    </row>
    <row r="16" spans="1:14" ht="15.75" x14ac:dyDescent="0.3">
      <c r="A16" s="34" t="s">
        <v>2856</v>
      </c>
      <c r="B16" s="34"/>
      <c r="C16" s="23"/>
      <c r="D16" s="34" t="s">
        <v>2882</v>
      </c>
      <c r="E16" s="34"/>
      <c r="F16" s="34">
        <v>1</v>
      </c>
      <c r="G16" s="34"/>
      <c r="H16" s="34" t="str">
        <f t="shared" si="3"/>
        <v>3#3#0|3#4#100|3#9#0|3#10#100|3#11#0|3#12#100</v>
      </c>
      <c r="I16" s="34" t="s">
        <v>2883</v>
      </c>
      <c r="J16" s="161"/>
    </row>
    <row r="17" spans="1:10" ht="15.75" x14ac:dyDescent="0.3">
      <c r="A17" s="34" t="s">
        <v>2856</v>
      </c>
      <c r="B17" s="34"/>
      <c r="C17" s="23"/>
      <c r="D17" s="34" t="s">
        <v>2884</v>
      </c>
      <c r="E17" s="34"/>
      <c r="F17" s="34">
        <v>1</v>
      </c>
      <c r="G17" s="34"/>
      <c r="H17" s="34" t="str">
        <f t="shared" si="3"/>
        <v>3#3#0|3#4#125|3#9#0|3#10#125|3#11#0|3#12#125</v>
      </c>
      <c r="I17" s="34" t="s">
        <v>2885</v>
      </c>
      <c r="J17" s="161"/>
    </row>
    <row r="18" spans="1:10" ht="15.75" x14ac:dyDescent="0.3">
      <c r="A18" s="34" t="s">
        <v>2856</v>
      </c>
      <c r="B18" s="34"/>
      <c r="C18" s="23"/>
      <c r="D18" s="34" t="s">
        <v>2886</v>
      </c>
      <c r="E18" s="34"/>
      <c r="F18" s="34">
        <v>1</v>
      </c>
      <c r="G18" s="34"/>
      <c r="H18" s="34" t="str">
        <f t="shared" si="3"/>
        <v>3#3#0|3#4#150|3#9#0|3#10#150|3#11#0|3#12#150</v>
      </c>
      <c r="I18" s="34" t="s">
        <v>2887</v>
      </c>
      <c r="J18" s="161"/>
    </row>
    <row r="19" spans="1:10" ht="15.75" x14ac:dyDescent="0.3">
      <c r="A19" s="34" t="s">
        <v>2856</v>
      </c>
      <c r="B19" s="34"/>
      <c r="C19" s="23"/>
      <c r="D19" s="34" t="s">
        <v>2888</v>
      </c>
      <c r="E19" s="34"/>
      <c r="F19" s="34">
        <v>1</v>
      </c>
      <c r="G19" s="34"/>
      <c r="H19" s="34" t="str">
        <f t="shared" si="3"/>
        <v>3#3#0|3#4#175|3#9#0|3#10#175|3#11#0|3#12#175</v>
      </c>
      <c r="I19" s="34" t="s">
        <v>2889</v>
      </c>
      <c r="J19" s="161"/>
    </row>
    <row r="20" spans="1:10" ht="15.75" x14ac:dyDescent="0.3">
      <c r="A20" s="34" t="s">
        <v>2856</v>
      </c>
      <c r="B20" s="34"/>
      <c r="C20" s="23"/>
      <c r="D20" s="34" t="s">
        <v>2890</v>
      </c>
      <c r="E20" s="34"/>
      <c r="F20" s="34">
        <v>1</v>
      </c>
      <c r="G20" s="34"/>
      <c r="H20" s="34" t="str">
        <f t="shared" si="3"/>
        <v>3#3#0|3#4#200|3#9#0|3#10#200|3#11#0|3#12#200</v>
      </c>
      <c r="I20" s="34" t="s">
        <v>2891</v>
      </c>
      <c r="J20" s="161"/>
    </row>
    <row r="21" spans="1:10" ht="15.75" x14ac:dyDescent="0.3">
      <c r="A21" s="34" t="s">
        <v>2856</v>
      </c>
      <c r="B21" s="34"/>
      <c r="C21" s="23"/>
      <c r="D21" s="34" t="s">
        <v>2892</v>
      </c>
      <c r="E21" s="34"/>
      <c r="F21" s="34">
        <v>1</v>
      </c>
      <c r="G21" s="34"/>
      <c r="H21" s="34" t="str">
        <f t="shared" si="3"/>
        <v>3#3#0|3#4#225|3#9#0|3#10#225|3#11#0|3#12#225</v>
      </c>
      <c r="I21" s="34" t="s">
        <v>2893</v>
      </c>
      <c r="J21" s="161"/>
    </row>
    <row r="22" spans="1:10" ht="15.75" x14ac:dyDescent="0.3">
      <c r="A22" s="34" t="s">
        <v>2856</v>
      </c>
      <c r="B22" s="34"/>
      <c r="C22" s="23"/>
      <c r="D22" s="34" t="s">
        <v>2894</v>
      </c>
      <c r="E22" s="34"/>
      <c r="F22" s="34">
        <v>1</v>
      </c>
      <c r="G22" s="34"/>
      <c r="H22" s="34" t="str">
        <f>"3#3#"&amp;0&amp;"|"&amp;"3#4#"&amp;0.5*K13&amp;"|"&amp;"3#9#"&amp;0&amp;"|"&amp;"3#10#"&amp;L13&amp;"|"&amp;"3#11#"&amp;0&amp;"|"&amp;"3#12#"&amp;L13</f>
        <v>3#3#0|3#4#250|3#9#0|3#10#250|3#11#0|3#12#250</v>
      </c>
      <c r="I22" s="34"/>
      <c r="J22" s="161"/>
    </row>
    <row r="23" spans="1:10" ht="15.75" x14ac:dyDescent="0.3">
      <c r="A23" s="34" t="s">
        <v>2856</v>
      </c>
      <c r="B23" s="34"/>
      <c r="C23" s="23"/>
      <c r="D23" s="34" t="s">
        <v>2895</v>
      </c>
      <c r="E23" s="34"/>
      <c r="F23" s="34">
        <v>1</v>
      </c>
      <c r="G23" s="34"/>
      <c r="H23" s="34" t="str">
        <f t="shared" ref="H23:H31" si="4">"3#5#"&amp;0&amp;"|"&amp;"3#6#"&amp;0.5*K4&amp;"|"&amp;"3#7#"&amp;0&amp;"|"&amp;"3#8#"&amp;0.5*K4&amp;"|"&amp;"3#9#"&amp;0&amp;"|"&amp;"3#10#"&amp;L4&amp;"|"&amp;"3#11#"&amp;0&amp;"|"&amp;"3#12#"&amp;L4</f>
        <v>3#5#0|3#6#25|3#7#0|3#8#25|3#9#0|3#10#25|3#11#0|3#12#25</v>
      </c>
      <c r="I23" s="34" t="s">
        <v>2896</v>
      </c>
      <c r="J23" s="161"/>
    </row>
    <row r="24" spans="1:10" ht="15.75" x14ac:dyDescent="0.3">
      <c r="A24" s="34" t="s">
        <v>2856</v>
      </c>
      <c r="B24" s="34"/>
      <c r="C24" s="23"/>
      <c r="D24" s="34" t="s">
        <v>2897</v>
      </c>
      <c r="E24" s="34"/>
      <c r="F24" s="34">
        <v>1</v>
      </c>
      <c r="G24" s="34"/>
      <c r="H24" s="34" t="str">
        <f t="shared" si="4"/>
        <v>3#5#0|3#6#50|3#7#0|3#8#50|3#9#0|3#10#50|3#11#0|3#12#50</v>
      </c>
      <c r="I24" s="34" t="s">
        <v>2898</v>
      </c>
      <c r="J24" s="161"/>
    </row>
    <row r="25" spans="1:10" ht="15.75" x14ac:dyDescent="0.3">
      <c r="A25" s="34" t="s">
        <v>2856</v>
      </c>
      <c r="B25" s="34"/>
      <c r="C25" s="23"/>
      <c r="D25" s="34" t="s">
        <v>2899</v>
      </c>
      <c r="E25" s="34"/>
      <c r="F25" s="34">
        <v>1</v>
      </c>
      <c r="G25" s="34"/>
      <c r="H25" s="34" t="str">
        <f t="shared" si="4"/>
        <v>3#5#0|3#6#75|3#7#0|3#8#75|3#9#0|3#10#75|3#11#0|3#12#75</v>
      </c>
      <c r="I25" s="34" t="s">
        <v>2900</v>
      </c>
      <c r="J25" s="161"/>
    </row>
    <row r="26" spans="1:10" ht="15.75" x14ac:dyDescent="0.3">
      <c r="A26" s="34" t="s">
        <v>2856</v>
      </c>
      <c r="B26" s="34"/>
      <c r="C26" s="23"/>
      <c r="D26" s="34" t="s">
        <v>2901</v>
      </c>
      <c r="E26" s="34"/>
      <c r="F26" s="34">
        <v>1</v>
      </c>
      <c r="G26" s="34"/>
      <c r="H26" s="34" t="str">
        <f t="shared" si="4"/>
        <v>3#5#0|3#6#100|3#7#0|3#8#100|3#9#0|3#10#100|3#11#0|3#12#100</v>
      </c>
      <c r="I26" s="34" t="s">
        <v>2902</v>
      </c>
      <c r="J26" s="161"/>
    </row>
    <row r="27" spans="1:10" ht="15.75" x14ac:dyDescent="0.3">
      <c r="A27" s="34" t="s">
        <v>2856</v>
      </c>
      <c r="B27" s="34"/>
      <c r="C27" s="23"/>
      <c r="D27" s="34" t="s">
        <v>2903</v>
      </c>
      <c r="E27" s="34"/>
      <c r="F27" s="34">
        <v>1</v>
      </c>
      <c r="G27" s="34"/>
      <c r="H27" s="34" t="str">
        <f t="shared" si="4"/>
        <v>3#5#0|3#6#125|3#7#0|3#8#125|3#9#0|3#10#125|3#11#0|3#12#125</v>
      </c>
      <c r="I27" s="34" t="s">
        <v>2904</v>
      </c>
      <c r="J27" s="161"/>
    </row>
    <row r="28" spans="1:10" ht="15.75" x14ac:dyDescent="0.3">
      <c r="A28" s="34" t="s">
        <v>2856</v>
      </c>
      <c r="B28" s="34"/>
      <c r="C28" s="23"/>
      <c r="D28" s="34" t="s">
        <v>2905</v>
      </c>
      <c r="E28" s="34"/>
      <c r="F28" s="34">
        <v>1</v>
      </c>
      <c r="G28" s="34"/>
      <c r="H28" s="34" t="str">
        <f t="shared" si="4"/>
        <v>3#5#0|3#6#150|3#7#0|3#8#150|3#9#0|3#10#150|3#11#0|3#12#150</v>
      </c>
      <c r="I28" s="34" t="s">
        <v>2906</v>
      </c>
      <c r="J28" s="161"/>
    </row>
    <row r="29" spans="1:10" ht="15.75" x14ac:dyDescent="0.3">
      <c r="A29" s="34" t="s">
        <v>2856</v>
      </c>
      <c r="B29" s="34"/>
      <c r="C29" s="23"/>
      <c r="D29" s="34" t="s">
        <v>2907</v>
      </c>
      <c r="E29" s="34"/>
      <c r="F29" s="34">
        <v>1</v>
      </c>
      <c r="G29" s="34"/>
      <c r="H29" s="34" t="str">
        <f t="shared" si="4"/>
        <v>3#5#0|3#6#175|3#7#0|3#8#175|3#9#0|3#10#175|3#11#0|3#12#175</v>
      </c>
      <c r="I29" s="34" t="s">
        <v>2908</v>
      </c>
      <c r="J29" s="161"/>
    </row>
    <row r="30" spans="1:10" ht="15.75" x14ac:dyDescent="0.3">
      <c r="A30" s="34" t="s">
        <v>2856</v>
      </c>
      <c r="B30" s="34"/>
      <c r="C30" s="23"/>
      <c r="D30" s="34" t="s">
        <v>2909</v>
      </c>
      <c r="E30" s="34"/>
      <c r="F30" s="34">
        <v>1</v>
      </c>
      <c r="G30" s="34"/>
      <c r="H30" s="34" t="str">
        <f t="shared" si="4"/>
        <v>3#5#0|3#6#200|3#7#0|3#8#200|3#9#0|3#10#200|3#11#0|3#12#200</v>
      </c>
      <c r="I30" s="34" t="s">
        <v>2910</v>
      </c>
      <c r="J30" s="161"/>
    </row>
    <row r="31" spans="1:10" ht="15.75" x14ac:dyDescent="0.3">
      <c r="A31" s="34" t="s">
        <v>2856</v>
      </c>
      <c r="B31" s="34"/>
      <c r="C31" s="23"/>
      <c r="D31" s="34" t="s">
        <v>2911</v>
      </c>
      <c r="E31" s="34"/>
      <c r="F31" s="34">
        <v>1</v>
      </c>
      <c r="G31" s="34"/>
      <c r="H31" s="34" t="str">
        <f t="shared" si="4"/>
        <v>3#5#0|3#6#225|3#7#0|3#8#225|3#9#0|3#10#225|3#11#0|3#12#225</v>
      </c>
      <c r="I31" s="34" t="s">
        <v>2912</v>
      </c>
      <c r="J31" s="161"/>
    </row>
    <row r="32" spans="1:10" ht="15.75" x14ac:dyDescent="0.3">
      <c r="A32" s="34" t="s">
        <v>2856</v>
      </c>
      <c r="B32" s="34"/>
      <c r="C32" s="23"/>
      <c r="D32" s="34" t="s">
        <v>2913</v>
      </c>
      <c r="E32" s="34"/>
      <c r="F32" s="34">
        <v>1</v>
      </c>
      <c r="G32" s="34"/>
      <c r="H32" s="34" t="str">
        <f>"3#5#"&amp;0&amp;"|"&amp;"3#6#"&amp;0.5*K13&amp;"|"&amp;"3#7#"&amp;0&amp;"|"&amp;"3#8#"&amp;0.5*K13&amp;"|"&amp;"3#9#"&amp;0&amp;"|"&amp;"3#10#"&amp;L13&amp;"|"&amp;"3#11#"&amp;0&amp;"|"&amp;"3#12#"&amp;L13</f>
        <v>3#5#0|3#6#250|3#7#0|3#8#250|3#9#0|3#10#250|3#11#0|3#12#250</v>
      </c>
      <c r="I32" s="34"/>
      <c r="J32" s="161"/>
    </row>
  </sheetData>
  <mergeCells count="2">
    <mergeCell ref="J2:L2"/>
    <mergeCell ref="M2:N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2:U242"/>
  <sheetViews>
    <sheetView workbookViewId="0">
      <selection activeCell="I18" sqref="I18"/>
    </sheetView>
  </sheetViews>
  <sheetFormatPr defaultRowHeight="14.25" x14ac:dyDescent="0.2"/>
  <cols>
    <col min="3" max="3" width="13.875" bestFit="1" customWidth="1"/>
    <col min="4" max="4" width="78.375" bestFit="1" customWidth="1"/>
    <col min="5" max="5" width="9.75" style="94" customWidth="1"/>
    <col min="6" max="8" width="9" style="94"/>
    <col min="9" max="9" width="12.25" style="94" bestFit="1" customWidth="1"/>
    <col min="10" max="21" width="9" style="94"/>
  </cols>
  <sheetData>
    <row r="2" spans="1:21" ht="18" x14ac:dyDescent="0.2">
      <c r="A2" s="21" t="s">
        <v>49</v>
      </c>
      <c r="B2" s="21" t="s">
        <v>50</v>
      </c>
      <c r="C2" s="21" t="s">
        <v>54</v>
      </c>
      <c r="D2" s="21" t="s">
        <v>77</v>
      </c>
      <c r="E2" s="296" t="s">
        <v>2850</v>
      </c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</row>
    <row r="3" spans="1:21" ht="15.75" x14ac:dyDescent="0.3">
      <c r="A3" s="22" t="s">
        <v>2915</v>
      </c>
      <c r="B3" s="22" t="s">
        <v>2916</v>
      </c>
      <c r="C3" s="23" t="s">
        <v>3157</v>
      </c>
      <c r="D3" s="22" t="str">
        <f t="shared" ref="D3:D11" si="0">"3#9#"&amp;0&amp;"|"&amp;"3#10#"&amp;G4&amp;"|"&amp;"3#11#"&amp;0&amp;"|"&amp;"3#12#"&amp;G4&amp;"|"&amp;"3#28#"&amp;J4</f>
        <v>3#9#0|3#10#25|3#11#0|3#12#25|3#28#1</v>
      </c>
      <c r="E3" s="107" t="s">
        <v>55</v>
      </c>
      <c r="F3" s="208" t="s">
        <v>3</v>
      </c>
      <c r="G3" s="208" t="s">
        <v>2</v>
      </c>
      <c r="H3" s="208" t="s">
        <v>3758</v>
      </c>
      <c r="I3" s="208" t="s">
        <v>3771</v>
      </c>
      <c r="J3" s="107" t="s">
        <v>2390</v>
      </c>
      <c r="K3" s="107" t="s">
        <v>3165</v>
      </c>
      <c r="L3" s="107" t="s">
        <v>3164</v>
      </c>
      <c r="M3" s="107" t="s">
        <v>2388</v>
      </c>
      <c r="N3" s="107" t="s">
        <v>2392</v>
      </c>
      <c r="O3" s="107" t="s">
        <v>3158</v>
      </c>
      <c r="P3" s="107" t="s">
        <v>3159</v>
      </c>
      <c r="Q3" s="107" t="s">
        <v>3160</v>
      </c>
      <c r="R3" s="107" t="s">
        <v>3166</v>
      </c>
      <c r="S3" s="107" t="s">
        <v>3161</v>
      </c>
      <c r="T3" s="107" t="s">
        <v>3162</v>
      </c>
      <c r="U3" s="107" t="s">
        <v>3163</v>
      </c>
    </row>
    <row r="4" spans="1:21" ht="15.75" x14ac:dyDescent="0.3">
      <c r="A4" s="22" t="s">
        <v>2915</v>
      </c>
      <c r="B4" s="22" t="s">
        <v>2916</v>
      </c>
      <c r="C4" s="23" t="s">
        <v>2917</v>
      </c>
      <c r="D4" s="22" t="str">
        <f t="shared" si="0"/>
        <v>3#9#0|3#10#50|3#11#0|3#12#50|3#28#2</v>
      </c>
      <c r="E4" s="108">
        <v>1</v>
      </c>
      <c r="F4" s="209">
        <f t="shared" ref="F4:F11" si="1">INT(E4/E$13*F$13)</f>
        <v>50</v>
      </c>
      <c r="G4" s="209">
        <f t="shared" ref="G4:G11" si="2">INT(E4/E$13*G$13)</f>
        <v>25</v>
      </c>
      <c r="H4" s="209">
        <f>F4*(属性价值参考!C$7+属性价值参考!C$8)+星座装备!G4*(属性价值参考!C$9+属性价值参考!C$10)</f>
        <v>5130</v>
      </c>
      <c r="I4" s="209">
        <f>J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J4" s="108">
        <v>1</v>
      </c>
      <c r="K4" s="108">
        <v>1</v>
      </c>
      <c r="L4" s="108">
        <v>1</v>
      </c>
      <c r="M4" s="108">
        <v>1</v>
      </c>
      <c r="N4" s="108">
        <v>1</v>
      </c>
      <c r="O4" s="108">
        <v>1</v>
      </c>
      <c r="P4" s="108">
        <v>1</v>
      </c>
      <c r="Q4" s="108">
        <v>1</v>
      </c>
      <c r="R4" s="108">
        <v>1</v>
      </c>
      <c r="S4" s="108">
        <v>1</v>
      </c>
      <c r="T4" s="108">
        <v>1</v>
      </c>
      <c r="U4" s="108">
        <v>1</v>
      </c>
    </row>
    <row r="5" spans="1:21" ht="15.75" x14ac:dyDescent="0.3">
      <c r="A5" s="22" t="s">
        <v>2915</v>
      </c>
      <c r="B5" s="22" t="s">
        <v>2916</v>
      </c>
      <c r="C5" s="23" t="s">
        <v>2918</v>
      </c>
      <c r="D5" s="22" t="str">
        <f t="shared" si="0"/>
        <v>3#9#0|3#10#75|3#11#0|3#12#75|3#28#3</v>
      </c>
      <c r="E5" s="108">
        <v>2</v>
      </c>
      <c r="F5" s="209">
        <f t="shared" si="1"/>
        <v>100</v>
      </c>
      <c r="G5" s="209">
        <f t="shared" si="2"/>
        <v>50</v>
      </c>
      <c r="H5" s="209">
        <f>F5*(属性价值参考!C$7+属性价值参考!C$8)+星座装备!G5*(属性价值参考!C$9+属性价值参考!C$10)</f>
        <v>10260</v>
      </c>
      <c r="I5" s="209">
        <f>J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J5" s="108">
        <v>2</v>
      </c>
      <c r="K5" s="108">
        <v>2</v>
      </c>
      <c r="L5" s="108">
        <v>2</v>
      </c>
      <c r="M5" s="108">
        <v>2</v>
      </c>
      <c r="N5" s="108">
        <v>2</v>
      </c>
      <c r="O5" s="108">
        <v>2</v>
      </c>
      <c r="P5" s="108">
        <v>2</v>
      </c>
      <c r="Q5" s="108">
        <v>2</v>
      </c>
      <c r="R5" s="108">
        <v>2</v>
      </c>
      <c r="S5" s="108">
        <v>2</v>
      </c>
      <c r="T5" s="108">
        <v>2</v>
      </c>
      <c r="U5" s="108">
        <v>2</v>
      </c>
    </row>
    <row r="6" spans="1:21" ht="15.75" x14ac:dyDescent="0.3">
      <c r="A6" s="22" t="s">
        <v>2915</v>
      </c>
      <c r="B6" s="22" t="s">
        <v>2916</v>
      </c>
      <c r="C6" s="23" t="s">
        <v>2919</v>
      </c>
      <c r="D6" s="22" t="str">
        <f t="shared" si="0"/>
        <v>3#9#0|3#10#100|3#11#0|3#12#100|3#28#4</v>
      </c>
      <c r="E6" s="108">
        <v>3</v>
      </c>
      <c r="F6" s="209">
        <f t="shared" si="1"/>
        <v>150</v>
      </c>
      <c r="G6" s="209">
        <f t="shared" si="2"/>
        <v>75</v>
      </c>
      <c r="H6" s="209">
        <f>F6*(属性价值参考!C$7+属性价值参考!C$8)+星座装备!G6*(属性价值参考!C$9+属性价值参考!C$10)</f>
        <v>15390</v>
      </c>
      <c r="I6" s="209">
        <f>J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J6" s="108">
        <v>3</v>
      </c>
      <c r="K6" s="108">
        <v>3</v>
      </c>
      <c r="L6" s="108">
        <v>3</v>
      </c>
      <c r="M6" s="108">
        <v>3</v>
      </c>
      <c r="N6" s="108">
        <v>3</v>
      </c>
      <c r="O6" s="108">
        <v>3</v>
      </c>
      <c r="P6" s="108">
        <v>3</v>
      </c>
      <c r="Q6" s="108">
        <v>3</v>
      </c>
      <c r="R6" s="108">
        <v>3</v>
      </c>
      <c r="S6" s="108">
        <v>3</v>
      </c>
      <c r="T6" s="108">
        <v>3</v>
      </c>
      <c r="U6" s="108">
        <v>3</v>
      </c>
    </row>
    <row r="7" spans="1:21" ht="15.75" x14ac:dyDescent="0.3">
      <c r="A7" s="22" t="s">
        <v>2915</v>
      </c>
      <c r="B7" s="22" t="s">
        <v>2916</v>
      </c>
      <c r="C7" s="23" t="s">
        <v>2920</v>
      </c>
      <c r="D7" s="22" t="str">
        <f t="shared" si="0"/>
        <v>3#9#0|3#10#125|3#11#0|3#12#125|3#28#5</v>
      </c>
      <c r="E7" s="108">
        <v>4</v>
      </c>
      <c r="F7" s="209">
        <f t="shared" si="1"/>
        <v>200</v>
      </c>
      <c r="G7" s="209">
        <f t="shared" si="2"/>
        <v>100</v>
      </c>
      <c r="H7" s="209">
        <f>F7*(属性价值参考!C$7+属性价值参考!C$8)+星座装备!G7*(属性价值参考!C$9+属性价值参考!C$10)</f>
        <v>20520</v>
      </c>
      <c r="I7" s="209">
        <f>J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J7" s="108">
        <v>4</v>
      </c>
      <c r="K7" s="108">
        <v>4</v>
      </c>
      <c r="L7" s="108">
        <v>4</v>
      </c>
      <c r="M7" s="108">
        <v>4</v>
      </c>
      <c r="N7" s="108">
        <v>4</v>
      </c>
      <c r="O7" s="108">
        <v>4</v>
      </c>
      <c r="P7" s="108">
        <v>4</v>
      </c>
      <c r="Q7" s="108">
        <v>4</v>
      </c>
      <c r="R7" s="108">
        <v>4</v>
      </c>
      <c r="S7" s="108">
        <v>4</v>
      </c>
      <c r="T7" s="108">
        <v>4</v>
      </c>
      <c r="U7" s="108">
        <v>4</v>
      </c>
    </row>
    <row r="8" spans="1:21" ht="15.75" x14ac:dyDescent="0.3">
      <c r="A8" s="22" t="s">
        <v>2915</v>
      </c>
      <c r="B8" s="22" t="s">
        <v>2916</v>
      </c>
      <c r="C8" s="23" t="s">
        <v>2921</v>
      </c>
      <c r="D8" s="22" t="str">
        <f t="shared" si="0"/>
        <v>3#9#0|3#10#150|3#11#0|3#12#150|3#28#6</v>
      </c>
      <c r="E8" s="108">
        <v>5</v>
      </c>
      <c r="F8" s="209">
        <f t="shared" si="1"/>
        <v>250</v>
      </c>
      <c r="G8" s="209">
        <f t="shared" si="2"/>
        <v>125</v>
      </c>
      <c r="H8" s="209">
        <f>F8*(属性价值参考!C$7+属性价值参考!C$8)+星座装备!G8*(属性价值参考!C$9+属性价值参考!C$10)</f>
        <v>25650</v>
      </c>
      <c r="I8" s="209">
        <f>J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J8" s="108">
        <v>5</v>
      </c>
      <c r="K8" s="108">
        <v>5</v>
      </c>
      <c r="L8" s="108">
        <v>5</v>
      </c>
      <c r="M8" s="108">
        <v>5</v>
      </c>
      <c r="N8" s="108">
        <v>5</v>
      </c>
      <c r="O8" s="108">
        <v>5</v>
      </c>
      <c r="P8" s="108">
        <v>5</v>
      </c>
      <c r="Q8" s="108">
        <v>5</v>
      </c>
      <c r="R8" s="108">
        <v>5</v>
      </c>
      <c r="S8" s="108">
        <v>5</v>
      </c>
      <c r="T8" s="108">
        <v>5</v>
      </c>
      <c r="U8" s="108">
        <v>5</v>
      </c>
    </row>
    <row r="9" spans="1:21" ht="15.75" x14ac:dyDescent="0.3">
      <c r="A9" s="22" t="s">
        <v>2915</v>
      </c>
      <c r="B9" s="22" t="s">
        <v>2916</v>
      </c>
      <c r="C9" s="23" t="s">
        <v>2922</v>
      </c>
      <c r="D9" s="22" t="str">
        <f t="shared" si="0"/>
        <v>3#9#0|3#10#175|3#11#0|3#12#175|3#28#7</v>
      </c>
      <c r="E9" s="108">
        <v>6</v>
      </c>
      <c r="F9" s="209">
        <f t="shared" si="1"/>
        <v>300</v>
      </c>
      <c r="G9" s="209">
        <f t="shared" si="2"/>
        <v>150</v>
      </c>
      <c r="H9" s="209">
        <f>F9*(属性价值参考!C$7+属性价值参考!C$8)+星座装备!G9*(属性价值参考!C$9+属性价值参考!C$10)</f>
        <v>30780</v>
      </c>
      <c r="I9" s="209">
        <f>J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J9" s="108">
        <v>6</v>
      </c>
      <c r="K9" s="108">
        <v>6</v>
      </c>
      <c r="L9" s="108">
        <v>6</v>
      </c>
      <c r="M9" s="108">
        <v>6</v>
      </c>
      <c r="N9" s="108">
        <v>6</v>
      </c>
      <c r="O9" s="108">
        <v>6</v>
      </c>
      <c r="P9" s="108">
        <v>6</v>
      </c>
      <c r="Q9" s="108">
        <v>6</v>
      </c>
      <c r="R9" s="108">
        <v>6</v>
      </c>
      <c r="S9" s="108">
        <v>6</v>
      </c>
      <c r="T9" s="108">
        <v>6</v>
      </c>
      <c r="U9" s="108">
        <v>6</v>
      </c>
    </row>
    <row r="10" spans="1:21" ht="15.75" x14ac:dyDescent="0.3">
      <c r="A10" s="22" t="s">
        <v>2915</v>
      </c>
      <c r="B10" s="22" t="s">
        <v>2916</v>
      </c>
      <c r="C10" s="23" t="s">
        <v>2923</v>
      </c>
      <c r="D10" s="22" t="str">
        <f t="shared" si="0"/>
        <v>3#9#0|3#10#200|3#11#0|3#12#200|3#28#8</v>
      </c>
      <c r="E10" s="108">
        <v>7</v>
      </c>
      <c r="F10" s="209">
        <f t="shared" si="1"/>
        <v>350</v>
      </c>
      <c r="G10" s="209">
        <f t="shared" si="2"/>
        <v>175</v>
      </c>
      <c r="H10" s="209">
        <f>F10*(属性价值参考!C$7+属性价值参考!C$8)+星座装备!G10*(属性价值参考!C$9+属性价值参考!C$10)</f>
        <v>35910</v>
      </c>
      <c r="I10" s="209">
        <f>J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J10" s="108">
        <v>7</v>
      </c>
      <c r="K10" s="108">
        <v>7</v>
      </c>
      <c r="L10" s="108">
        <v>7</v>
      </c>
      <c r="M10" s="108">
        <v>7</v>
      </c>
      <c r="N10" s="108">
        <v>7</v>
      </c>
      <c r="O10" s="108">
        <v>7</v>
      </c>
      <c r="P10" s="108">
        <v>7</v>
      </c>
      <c r="Q10" s="108">
        <v>7</v>
      </c>
      <c r="R10" s="108">
        <v>7</v>
      </c>
      <c r="S10" s="108">
        <v>7</v>
      </c>
      <c r="T10" s="108">
        <v>7</v>
      </c>
      <c r="U10" s="108">
        <v>7</v>
      </c>
    </row>
    <row r="11" spans="1:21" ht="15.75" x14ac:dyDescent="0.3">
      <c r="A11" s="22" t="s">
        <v>2915</v>
      </c>
      <c r="B11" s="22" t="s">
        <v>2916</v>
      </c>
      <c r="C11" s="23" t="s">
        <v>2924</v>
      </c>
      <c r="D11" s="22" t="str">
        <f t="shared" si="0"/>
        <v>3#9#0|3#10#225|3#11#0|3#12#225|3#28#9</v>
      </c>
      <c r="E11" s="108">
        <v>8</v>
      </c>
      <c r="F11" s="209">
        <f t="shared" si="1"/>
        <v>400</v>
      </c>
      <c r="G11" s="209">
        <f t="shared" si="2"/>
        <v>200</v>
      </c>
      <c r="H11" s="209">
        <f>F11*(属性价值参考!C$7+属性价值参考!C$8)+星座装备!G11*(属性价值参考!C$9+属性价值参考!C$10)</f>
        <v>41040</v>
      </c>
      <c r="I11" s="209">
        <f>J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J11" s="108">
        <v>8</v>
      </c>
      <c r="K11" s="108">
        <v>8</v>
      </c>
      <c r="L11" s="108">
        <v>8</v>
      </c>
      <c r="M11" s="108">
        <v>8</v>
      </c>
      <c r="N11" s="108">
        <v>8</v>
      </c>
      <c r="O11" s="108">
        <v>8</v>
      </c>
      <c r="P11" s="108">
        <v>8</v>
      </c>
      <c r="Q11" s="108">
        <v>8</v>
      </c>
      <c r="R11" s="108">
        <v>8</v>
      </c>
      <c r="S11" s="108">
        <v>8</v>
      </c>
      <c r="T11" s="108">
        <v>8</v>
      </c>
      <c r="U11" s="108">
        <v>8</v>
      </c>
    </row>
    <row r="12" spans="1:21" ht="15.75" x14ac:dyDescent="0.3">
      <c r="A12" s="22" t="s">
        <v>2915</v>
      </c>
      <c r="B12" s="22" t="s">
        <v>2916</v>
      </c>
      <c r="C12" s="23" t="s">
        <v>2925</v>
      </c>
      <c r="D12" s="22" t="str">
        <f>"3#9#"&amp;0&amp;"|"&amp;"3#10#"&amp;G13&amp;"|"&amp;"3#11#"&amp;0&amp;"|"&amp;"3#12#"&amp;G13&amp;"|"&amp;"3#28#"&amp;J13</f>
        <v>3#9#0|3#10#250|3#11#0|3#12#250|3#28#10</v>
      </c>
      <c r="E12" s="108">
        <v>9</v>
      </c>
      <c r="F12" s="209">
        <f>INT(E12/E$13*F$13)</f>
        <v>450</v>
      </c>
      <c r="G12" s="209">
        <f>INT(E12/E$13*G$13)</f>
        <v>225</v>
      </c>
      <c r="H12" s="209">
        <f>F12*(属性价值参考!C$7+属性价值参考!C$8)+星座装备!G12*(属性价值参考!C$9+属性价值参考!C$10)</f>
        <v>46170</v>
      </c>
      <c r="I12" s="209">
        <f>J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J12" s="108">
        <v>9</v>
      </c>
      <c r="K12" s="108">
        <v>9</v>
      </c>
      <c r="L12" s="108">
        <v>9</v>
      </c>
      <c r="M12" s="108">
        <v>9</v>
      </c>
      <c r="N12" s="108">
        <v>9</v>
      </c>
      <c r="O12" s="108">
        <v>9</v>
      </c>
      <c r="P12" s="108">
        <v>9</v>
      </c>
      <c r="Q12" s="108">
        <v>9</v>
      </c>
      <c r="R12" s="108">
        <v>9</v>
      </c>
      <c r="S12" s="108">
        <v>9</v>
      </c>
      <c r="T12" s="108">
        <v>9</v>
      </c>
      <c r="U12" s="108">
        <v>9</v>
      </c>
    </row>
    <row r="13" spans="1:21" ht="15.75" x14ac:dyDescent="0.3">
      <c r="A13" s="22" t="s">
        <v>2915</v>
      </c>
      <c r="B13" s="22" t="s">
        <v>2916</v>
      </c>
      <c r="C13" s="23" t="s">
        <v>2926</v>
      </c>
      <c r="D13" s="22" t="str">
        <f t="shared" ref="D13:D21" si="3">"3#9#"&amp;0&amp;"|"&amp;"3#10#"&amp;G4&amp;"|"&amp;"3#11#"&amp;0&amp;"|"&amp;"3#12#"&amp;G4&amp;"|"&amp;"3#21#"&amp;J4</f>
        <v>3#9#0|3#10#25|3#11#0|3#12#25|3#21#1</v>
      </c>
      <c r="E13" s="108">
        <v>10</v>
      </c>
      <c r="F13" s="209">
        <f>养成属性分配!AI31</f>
        <v>500</v>
      </c>
      <c r="G13" s="209">
        <f>养成属性分配!AJ31</f>
        <v>250</v>
      </c>
      <c r="H13" s="209">
        <f>F13*(属性价值参考!C$7+属性价值参考!C$8)+星座装备!G13*(属性价值参考!C$9+属性价值参考!C$10)</f>
        <v>51300</v>
      </c>
      <c r="I13" s="209">
        <f>J13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J13" s="108">
        <v>10</v>
      </c>
      <c r="K13" s="108">
        <v>10</v>
      </c>
      <c r="L13" s="108">
        <v>10</v>
      </c>
      <c r="M13" s="108">
        <v>10</v>
      </c>
      <c r="N13" s="108">
        <v>10</v>
      </c>
      <c r="O13" s="108">
        <v>10</v>
      </c>
      <c r="P13" s="108">
        <v>10</v>
      </c>
      <c r="Q13" s="108">
        <v>10</v>
      </c>
      <c r="R13" s="108">
        <v>10</v>
      </c>
      <c r="S13" s="108">
        <v>10</v>
      </c>
      <c r="T13" s="108">
        <v>10</v>
      </c>
      <c r="U13" s="108">
        <v>10</v>
      </c>
    </row>
    <row r="14" spans="1:21" ht="15.75" x14ac:dyDescent="0.3">
      <c r="A14" s="22" t="s">
        <v>2915</v>
      </c>
      <c r="B14" s="22" t="s">
        <v>2916</v>
      </c>
      <c r="C14" s="23" t="s">
        <v>2927</v>
      </c>
      <c r="D14" s="22" t="str">
        <f t="shared" si="3"/>
        <v>3#9#0|3#10#50|3#11#0|3#12#50|3#21#2</v>
      </c>
      <c r="E14" s="162"/>
      <c r="F14" s="162"/>
      <c r="G14" s="162"/>
      <c r="H14" s="162"/>
      <c r="I14" s="162"/>
    </row>
    <row r="15" spans="1:21" ht="15.75" x14ac:dyDescent="0.3">
      <c r="A15" s="22" t="s">
        <v>2915</v>
      </c>
      <c r="B15" s="22" t="s">
        <v>2916</v>
      </c>
      <c r="C15" s="23" t="s">
        <v>2928</v>
      </c>
      <c r="D15" s="22" t="str">
        <f t="shared" si="3"/>
        <v>3#9#0|3#10#75|3#11#0|3#12#75|3#21#3</v>
      </c>
    </row>
    <row r="16" spans="1:21" ht="15.75" x14ac:dyDescent="0.3">
      <c r="A16" s="22" t="s">
        <v>2915</v>
      </c>
      <c r="B16" s="22" t="s">
        <v>2916</v>
      </c>
      <c r="C16" s="23" t="s">
        <v>2929</v>
      </c>
      <c r="D16" s="22" t="str">
        <f t="shared" si="3"/>
        <v>3#9#0|3#10#100|3#11#0|3#12#100|3#21#4</v>
      </c>
    </row>
    <row r="17" spans="1:5" ht="15.75" x14ac:dyDescent="0.3">
      <c r="A17" s="22" t="s">
        <v>2915</v>
      </c>
      <c r="B17" s="22" t="s">
        <v>2916</v>
      </c>
      <c r="C17" s="23" t="s">
        <v>2930</v>
      </c>
      <c r="D17" s="22" t="str">
        <f t="shared" si="3"/>
        <v>3#9#0|3#10#125|3#11#0|3#12#125|3#21#5</v>
      </c>
    </row>
    <row r="18" spans="1:5" ht="15.75" x14ac:dyDescent="0.3">
      <c r="A18" s="22" t="s">
        <v>2915</v>
      </c>
      <c r="B18" s="22" t="s">
        <v>2916</v>
      </c>
      <c r="C18" s="23" t="s">
        <v>2931</v>
      </c>
      <c r="D18" s="22" t="str">
        <f t="shared" si="3"/>
        <v>3#9#0|3#10#150|3#11#0|3#12#150|3#21#6</v>
      </c>
    </row>
    <row r="19" spans="1:5" ht="15.75" x14ac:dyDescent="0.3">
      <c r="A19" s="22" t="s">
        <v>2915</v>
      </c>
      <c r="B19" s="22" t="s">
        <v>2916</v>
      </c>
      <c r="C19" s="23" t="s">
        <v>2932</v>
      </c>
      <c r="D19" s="22" t="str">
        <f t="shared" si="3"/>
        <v>3#9#0|3#10#175|3#11#0|3#12#175|3#21#7</v>
      </c>
    </row>
    <row r="20" spans="1:5" ht="15.75" x14ac:dyDescent="0.3">
      <c r="A20" s="22" t="s">
        <v>2915</v>
      </c>
      <c r="B20" s="22" t="s">
        <v>2916</v>
      </c>
      <c r="C20" s="23" t="s">
        <v>2933</v>
      </c>
      <c r="D20" s="22" t="str">
        <f t="shared" si="3"/>
        <v>3#9#0|3#10#200|3#11#0|3#12#200|3#21#8</v>
      </c>
    </row>
    <row r="21" spans="1:5" ht="15.75" x14ac:dyDescent="0.3">
      <c r="A21" s="22" t="s">
        <v>2915</v>
      </c>
      <c r="B21" s="22" t="s">
        <v>2916</v>
      </c>
      <c r="C21" s="23" t="s">
        <v>2934</v>
      </c>
      <c r="D21" s="22" t="str">
        <f t="shared" si="3"/>
        <v>3#9#0|3#10#225|3#11#0|3#12#225|3#21#9</v>
      </c>
    </row>
    <row r="22" spans="1:5" ht="15.75" x14ac:dyDescent="0.3">
      <c r="A22" s="22" t="s">
        <v>2915</v>
      </c>
      <c r="B22" s="22" t="s">
        <v>2916</v>
      </c>
      <c r="C22" s="23" t="s">
        <v>2935</v>
      </c>
      <c r="D22" s="22" t="str">
        <f>"3#9#"&amp;0&amp;"|"&amp;"3#10#"&amp;G13&amp;"|"&amp;"3#11#"&amp;0&amp;"|"&amp;"3#12#"&amp;G13&amp;"|"&amp;"3#21#"&amp;J13</f>
        <v>3#9#0|3#10#250|3#11#0|3#12#250|3#21#10</v>
      </c>
    </row>
    <row r="23" spans="1:5" ht="15.75" x14ac:dyDescent="0.3">
      <c r="A23" s="22" t="s">
        <v>2915</v>
      </c>
      <c r="B23" s="22" t="s">
        <v>2916</v>
      </c>
      <c r="C23" s="23" t="s">
        <v>2936</v>
      </c>
      <c r="D23" s="22" t="str">
        <f t="shared" ref="D23:D31" si="4">"3#9#"&amp;0&amp;"|"&amp;"3#10#"&amp;G4&amp;"|"&amp;"3#11#"&amp;0&amp;"|"&amp;"3#12#"&amp;G4&amp;"|"&amp;"3#31#"&amp;J4</f>
        <v>3#9#0|3#10#25|3#11#0|3#12#25|3#31#1</v>
      </c>
    </row>
    <row r="24" spans="1:5" ht="15.75" x14ac:dyDescent="0.3">
      <c r="A24" s="22" t="s">
        <v>2915</v>
      </c>
      <c r="B24" s="22" t="s">
        <v>2916</v>
      </c>
      <c r="C24" s="23" t="s">
        <v>2937</v>
      </c>
      <c r="D24" s="22" t="str">
        <f t="shared" si="4"/>
        <v>3#9#0|3#10#50|3#11#0|3#12#50|3#31#2</v>
      </c>
    </row>
    <row r="25" spans="1:5" ht="15.75" x14ac:dyDescent="0.3">
      <c r="A25" s="22" t="s">
        <v>2915</v>
      </c>
      <c r="B25" s="22" t="s">
        <v>2916</v>
      </c>
      <c r="C25" s="23" t="s">
        <v>2938</v>
      </c>
      <c r="D25" s="22" t="str">
        <f t="shared" si="4"/>
        <v>3#9#0|3#10#75|3#11#0|3#12#75|3#31#3</v>
      </c>
    </row>
    <row r="26" spans="1:5" ht="15.75" x14ac:dyDescent="0.3">
      <c r="A26" s="22" t="s">
        <v>2915</v>
      </c>
      <c r="B26" s="22" t="s">
        <v>2916</v>
      </c>
      <c r="C26" s="23" t="s">
        <v>2939</v>
      </c>
      <c r="D26" s="22" t="str">
        <f t="shared" si="4"/>
        <v>3#9#0|3#10#100|3#11#0|3#12#100|3#31#4</v>
      </c>
    </row>
    <row r="27" spans="1:5" ht="15.75" x14ac:dyDescent="0.3">
      <c r="A27" s="22" t="s">
        <v>2915</v>
      </c>
      <c r="B27" s="22" t="s">
        <v>2916</v>
      </c>
      <c r="C27" s="23" t="s">
        <v>2940</v>
      </c>
      <c r="D27" s="22" t="str">
        <f t="shared" si="4"/>
        <v>3#9#0|3#10#125|3#11#0|3#12#125|3#31#5</v>
      </c>
    </row>
    <row r="28" spans="1:5" ht="15.75" x14ac:dyDescent="0.3">
      <c r="A28" s="22" t="s">
        <v>2915</v>
      </c>
      <c r="B28" s="22" t="s">
        <v>2916</v>
      </c>
      <c r="C28" s="23" t="s">
        <v>2941</v>
      </c>
      <c r="D28" s="22" t="str">
        <f t="shared" si="4"/>
        <v>3#9#0|3#10#150|3#11#0|3#12#150|3#31#6</v>
      </c>
    </row>
    <row r="29" spans="1:5" ht="15.75" x14ac:dyDescent="0.3">
      <c r="A29" s="22" t="s">
        <v>2915</v>
      </c>
      <c r="B29" s="22" t="s">
        <v>2916</v>
      </c>
      <c r="C29" s="23" t="s">
        <v>2942</v>
      </c>
      <c r="D29" s="22" t="str">
        <f t="shared" si="4"/>
        <v>3#9#0|3#10#175|3#11#0|3#12#175|3#31#7</v>
      </c>
    </row>
    <row r="30" spans="1:5" ht="15.75" x14ac:dyDescent="0.3">
      <c r="A30" s="22" t="s">
        <v>2915</v>
      </c>
      <c r="B30" s="22" t="s">
        <v>2916</v>
      </c>
      <c r="C30" s="23" t="s">
        <v>2943</v>
      </c>
      <c r="D30" s="22" t="str">
        <f t="shared" si="4"/>
        <v>3#9#0|3#10#200|3#11#0|3#12#200|3#31#8</v>
      </c>
    </row>
    <row r="31" spans="1:5" ht="15.75" x14ac:dyDescent="0.3">
      <c r="A31" s="22" t="s">
        <v>2915</v>
      </c>
      <c r="B31" s="22" t="s">
        <v>2916</v>
      </c>
      <c r="C31" s="23" t="s">
        <v>2944</v>
      </c>
      <c r="D31" s="22" t="str">
        <f t="shared" si="4"/>
        <v>3#9#0|3#10#225|3#11#0|3#12#225|3#31#9</v>
      </c>
    </row>
    <row r="32" spans="1:5" ht="15.75" x14ac:dyDescent="0.3">
      <c r="A32" s="22" t="s">
        <v>2915</v>
      </c>
      <c r="B32" s="22" t="s">
        <v>2916</v>
      </c>
      <c r="C32" s="23" t="s">
        <v>2945</v>
      </c>
      <c r="D32" s="22" t="str">
        <f>"3#9#"&amp;0&amp;"|"&amp;"3#10#"&amp;G13&amp;"|"&amp;"3#11#"&amp;0&amp;"|"&amp;"3#12#"&amp;G13&amp;"|"&amp;"3#31#"&amp;J13</f>
        <v>3#9#0|3#10#250|3#11#0|3#12#250|3#31#10</v>
      </c>
      <c r="E32" s="161"/>
    </row>
    <row r="33" spans="1:5" ht="15.75" x14ac:dyDescent="0.3">
      <c r="A33" s="22" t="s">
        <v>2915</v>
      </c>
      <c r="B33" s="22" t="s">
        <v>2916</v>
      </c>
      <c r="C33" s="23" t="s">
        <v>2946</v>
      </c>
      <c r="D33" s="22" t="str">
        <f t="shared" ref="D33:D41" si="5">"3#9#"&amp;0&amp;"|"&amp;"3#10#"&amp;G4&amp;"|"&amp;"3#11#"&amp;0&amp;"|"&amp;"3#12#"&amp;G4&amp;"|"&amp;"3#25#"&amp;J4</f>
        <v>3#9#0|3#10#25|3#11#0|3#12#25|3#25#1</v>
      </c>
      <c r="E33" s="161"/>
    </row>
    <row r="34" spans="1:5" ht="15.75" x14ac:dyDescent="0.3">
      <c r="A34" s="22" t="s">
        <v>2915</v>
      </c>
      <c r="B34" s="22" t="s">
        <v>2916</v>
      </c>
      <c r="C34" s="23" t="s">
        <v>2947</v>
      </c>
      <c r="D34" s="22" t="str">
        <f t="shared" si="5"/>
        <v>3#9#0|3#10#50|3#11#0|3#12#50|3#25#2</v>
      </c>
      <c r="E34" s="161"/>
    </row>
    <row r="35" spans="1:5" ht="15.75" x14ac:dyDescent="0.3">
      <c r="A35" s="22" t="s">
        <v>2915</v>
      </c>
      <c r="B35" s="22" t="s">
        <v>2916</v>
      </c>
      <c r="C35" s="23" t="s">
        <v>2948</v>
      </c>
      <c r="D35" s="22" t="str">
        <f t="shared" si="5"/>
        <v>3#9#0|3#10#75|3#11#0|3#12#75|3#25#3</v>
      </c>
      <c r="E35" s="161"/>
    </row>
    <row r="36" spans="1:5" ht="15.75" x14ac:dyDescent="0.3">
      <c r="A36" s="22" t="s">
        <v>2915</v>
      </c>
      <c r="B36" s="22" t="s">
        <v>2916</v>
      </c>
      <c r="C36" s="23" t="s">
        <v>2949</v>
      </c>
      <c r="D36" s="22" t="str">
        <f t="shared" si="5"/>
        <v>3#9#0|3#10#100|3#11#0|3#12#100|3#25#4</v>
      </c>
      <c r="E36" s="161"/>
    </row>
    <row r="37" spans="1:5" ht="15.75" x14ac:dyDescent="0.3">
      <c r="A37" s="22" t="s">
        <v>2915</v>
      </c>
      <c r="B37" s="22" t="s">
        <v>2916</v>
      </c>
      <c r="C37" s="23" t="s">
        <v>2950</v>
      </c>
      <c r="D37" s="22" t="str">
        <f t="shared" si="5"/>
        <v>3#9#0|3#10#125|3#11#0|3#12#125|3#25#5</v>
      </c>
      <c r="E37" s="161"/>
    </row>
    <row r="38" spans="1:5" ht="15.75" x14ac:dyDescent="0.3">
      <c r="A38" s="22" t="s">
        <v>2915</v>
      </c>
      <c r="B38" s="22" t="s">
        <v>2916</v>
      </c>
      <c r="C38" s="23" t="s">
        <v>2951</v>
      </c>
      <c r="D38" s="22" t="str">
        <f t="shared" si="5"/>
        <v>3#9#0|3#10#150|3#11#0|3#12#150|3#25#6</v>
      </c>
      <c r="E38" s="161"/>
    </row>
    <row r="39" spans="1:5" ht="15.75" x14ac:dyDescent="0.3">
      <c r="A39" s="22" t="s">
        <v>2915</v>
      </c>
      <c r="B39" s="22" t="s">
        <v>2916</v>
      </c>
      <c r="C39" s="23" t="s">
        <v>2952</v>
      </c>
      <c r="D39" s="22" t="str">
        <f t="shared" si="5"/>
        <v>3#9#0|3#10#175|3#11#0|3#12#175|3#25#7</v>
      </c>
      <c r="E39" s="161"/>
    </row>
    <row r="40" spans="1:5" ht="15.75" x14ac:dyDescent="0.3">
      <c r="A40" s="22" t="s">
        <v>2915</v>
      </c>
      <c r="B40" s="22" t="s">
        <v>2916</v>
      </c>
      <c r="C40" s="23" t="s">
        <v>2953</v>
      </c>
      <c r="D40" s="22" t="str">
        <f t="shared" si="5"/>
        <v>3#9#0|3#10#200|3#11#0|3#12#200|3#25#8</v>
      </c>
      <c r="E40" s="161"/>
    </row>
    <row r="41" spans="1:5" ht="15.75" x14ac:dyDescent="0.3">
      <c r="A41" s="22" t="s">
        <v>2915</v>
      </c>
      <c r="B41" s="22" t="s">
        <v>2916</v>
      </c>
      <c r="C41" s="23" t="s">
        <v>2954</v>
      </c>
      <c r="D41" s="22" t="str">
        <f t="shared" si="5"/>
        <v>3#9#0|3#10#225|3#11#0|3#12#225|3#25#9</v>
      </c>
      <c r="E41" s="161"/>
    </row>
    <row r="42" spans="1:5" ht="15.75" x14ac:dyDescent="0.3">
      <c r="A42" s="22" t="s">
        <v>2915</v>
      </c>
      <c r="B42" s="22" t="s">
        <v>2916</v>
      </c>
      <c r="C42" s="23" t="s">
        <v>2955</v>
      </c>
      <c r="D42" s="22" t="str">
        <f>"3#9#"&amp;0&amp;"|"&amp;"3#10#"&amp;G13&amp;"|"&amp;"3#11#"&amp;0&amp;"|"&amp;"3#12#"&amp;G13&amp;"|"&amp;"3#25#"&amp;J13</f>
        <v>3#9#0|3#10#250|3#11#0|3#12#250|3#25#10</v>
      </c>
      <c r="E42" s="161"/>
    </row>
    <row r="43" spans="1:5" ht="15.75" x14ac:dyDescent="0.3">
      <c r="A43" s="22" t="s">
        <v>2915</v>
      </c>
      <c r="B43" s="22" t="s">
        <v>2916</v>
      </c>
      <c r="C43" s="23" t="s">
        <v>2956</v>
      </c>
      <c r="D43" s="22" t="str">
        <f t="shared" ref="D43:D51" si="6">"3#9#"&amp;0&amp;"|"&amp;"3#10#"&amp;G4&amp;"|"&amp;"3#11#"&amp;0&amp;"|"&amp;"3#12#"&amp;G4&amp;"|"&amp;"3#34#"&amp;100*J4</f>
        <v>3#9#0|3#10#25|3#11#0|3#12#25|3#34#100</v>
      </c>
      <c r="E43" s="161"/>
    </row>
    <row r="44" spans="1:5" ht="15.75" x14ac:dyDescent="0.3">
      <c r="A44" s="22" t="s">
        <v>2915</v>
      </c>
      <c r="B44" s="22" t="s">
        <v>2916</v>
      </c>
      <c r="C44" s="23" t="s">
        <v>2957</v>
      </c>
      <c r="D44" s="22" t="str">
        <f t="shared" si="6"/>
        <v>3#9#0|3#10#50|3#11#0|3#12#50|3#34#200</v>
      </c>
      <c r="E44" s="161"/>
    </row>
    <row r="45" spans="1:5" ht="15.75" x14ac:dyDescent="0.3">
      <c r="A45" s="22" t="s">
        <v>2915</v>
      </c>
      <c r="B45" s="22" t="s">
        <v>2916</v>
      </c>
      <c r="C45" s="23" t="s">
        <v>2958</v>
      </c>
      <c r="D45" s="22" t="str">
        <f t="shared" si="6"/>
        <v>3#9#0|3#10#75|3#11#0|3#12#75|3#34#300</v>
      </c>
      <c r="E45" s="161"/>
    </row>
    <row r="46" spans="1:5" ht="15.75" x14ac:dyDescent="0.3">
      <c r="A46" s="22" t="s">
        <v>2915</v>
      </c>
      <c r="B46" s="22" t="s">
        <v>2916</v>
      </c>
      <c r="C46" s="23" t="s">
        <v>2959</v>
      </c>
      <c r="D46" s="22" t="str">
        <f t="shared" si="6"/>
        <v>3#9#0|3#10#100|3#11#0|3#12#100|3#34#400</v>
      </c>
      <c r="E46" s="161"/>
    </row>
    <row r="47" spans="1:5" ht="15.75" x14ac:dyDescent="0.3">
      <c r="A47" s="22" t="s">
        <v>2915</v>
      </c>
      <c r="B47" s="22" t="s">
        <v>2916</v>
      </c>
      <c r="C47" s="23" t="s">
        <v>2960</v>
      </c>
      <c r="D47" s="22" t="str">
        <f t="shared" si="6"/>
        <v>3#9#0|3#10#125|3#11#0|3#12#125|3#34#500</v>
      </c>
      <c r="E47" s="161"/>
    </row>
    <row r="48" spans="1:5" ht="15.75" x14ac:dyDescent="0.3">
      <c r="A48" s="22" t="s">
        <v>2915</v>
      </c>
      <c r="B48" s="22" t="s">
        <v>2916</v>
      </c>
      <c r="C48" s="23" t="s">
        <v>2961</v>
      </c>
      <c r="D48" s="22" t="str">
        <f t="shared" si="6"/>
        <v>3#9#0|3#10#150|3#11#0|3#12#150|3#34#600</v>
      </c>
      <c r="E48" s="161"/>
    </row>
    <row r="49" spans="1:5" ht="15.75" x14ac:dyDescent="0.3">
      <c r="A49" s="22" t="s">
        <v>2915</v>
      </c>
      <c r="B49" s="22" t="s">
        <v>2916</v>
      </c>
      <c r="C49" s="23" t="s">
        <v>2962</v>
      </c>
      <c r="D49" s="22" t="str">
        <f t="shared" si="6"/>
        <v>3#9#0|3#10#175|3#11#0|3#12#175|3#34#700</v>
      </c>
      <c r="E49" s="161"/>
    </row>
    <row r="50" spans="1:5" ht="15.75" x14ac:dyDescent="0.3">
      <c r="A50" s="22" t="s">
        <v>2915</v>
      </c>
      <c r="B50" s="22" t="s">
        <v>2916</v>
      </c>
      <c r="C50" s="23" t="s">
        <v>2963</v>
      </c>
      <c r="D50" s="22" t="str">
        <f t="shared" si="6"/>
        <v>3#9#0|3#10#200|3#11#0|3#12#200|3#34#800</v>
      </c>
      <c r="E50" s="161"/>
    </row>
    <row r="51" spans="1:5" ht="15.75" x14ac:dyDescent="0.3">
      <c r="A51" s="22" t="s">
        <v>2915</v>
      </c>
      <c r="B51" s="22" t="s">
        <v>2916</v>
      </c>
      <c r="C51" s="23" t="s">
        <v>2964</v>
      </c>
      <c r="D51" s="22" t="str">
        <f t="shared" si="6"/>
        <v>3#9#0|3#10#225|3#11#0|3#12#225|3#34#900</v>
      </c>
      <c r="E51" s="161"/>
    </row>
    <row r="52" spans="1:5" ht="15.75" x14ac:dyDescent="0.3">
      <c r="A52" s="22" t="s">
        <v>2915</v>
      </c>
      <c r="B52" s="22" t="s">
        <v>2916</v>
      </c>
      <c r="C52" s="23" t="s">
        <v>2965</v>
      </c>
      <c r="D52" s="22" t="str">
        <f>"3#9#"&amp;0&amp;"|"&amp;"3#10#"&amp;G13&amp;"|"&amp;"3#11#"&amp;0&amp;"|"&amp;"3#12#"&amp;G13&amp;"|"&amp;"3#34#"&amp;100*J13</f>
        <v>3#9#0|3#10#250|3#11#0|3#12#250|3#34#1000</v>
      </c>
      <c r="E52" s="161"/>
    </row>
    <row r="53" spans="1:5" ht="15.75" x14ac:dyDescent="0.3">
      <c r="A53" s="22" t="s">
        <v>2915</v>
      </c>
      <c r="B53" s="22" t="s">
        <v>2916</v>
      </c>
      <c r="C53" s="23" t="s">
        <v>2966</v>
      </c>
      <c r="D53" s="22" t="str">
        <f t="shared" ref="D53:D61" si="7">"3#9#"&amp;0&amp;"|"&amp;"3#10#"&amp;G4&amp;"|"&amp;"3#11#"&amp;0&amp;"|"&amp;"3#12#"&amp;G4&amp;"|"&amp;"3#40#"&amp;100*J4</f>
        <v>3#9#0|3#10#25|3#11#0|3#12#25|3#40#100</v>
      </c>
      <c r="E53" s="161"/>
    </row>
    <row r="54" spans="1:5" ht="15.75" x14ac:dyDescent="0.3">
      <c r="A54" s="22" t="s">
        <v>2915</v>
      </c>
      <c r="B54" s="22" t="s">
        <v>2916</v>
      </c>
      <c r="C54" s="23" t="s">
        <v>2967</v>
      </c>
      <c r="D54" s="22" t="str">
        <f t="shared" si="7"/>
        <v>3#9#0|3#10#50|3#11#0|3#12#50|3#40#200</v>
      </c>
      <c r="E54" s="161"/>
    </row>
    <row r="55" spans="1:5" ht="15.75" x14ac:dyDescent="0.3">
      <c r="A55" s="22" t="s">
        <v>2915</v>
      </c>
      <c r="B55" s="22" t="s">
        <v>2916</v>
      </c>
      <c r="C55" s="23" t="s">
        <v>2968</v>
      </c>
      <c r="D55" s="22" t="str">
        <f t="shared" si="7"/>
        <v>3#9#0|3#10#75|3#11#0|3#12#75|3#40#300</v>
      </c>
      <c r="E55" s="161"/>
    </row>
    <row r="56" spans="1:5" ht="15.75" x14ac:dyDescent="0.3">
      <c r="A56" s="22" t="s">
        <v>2915</v>
      </c>
      <c r="B56" s="22" t="s">
        <v>2916</v>
      </c>
      <c r="C56" s="23" t="s">
        <v>2969</v>
      </c>
      <c r="D56" s="22" t="str">
        <f t="shared" si="7"/>
        <v>3#9#0|3#10#100|3#11#0|3#12#100|3#40#400</v>
      </c>
      <c r="E56" s="161"/>
    </row>
    <row r="57" spans="1:5" ht="15.75" x14ac:dyDescent="0.3">
      <c r="A57" s="22" t="s">
        <v>2915</v>
      </c>
      <c r="B57" s="22" t="s">
        <v>2916</v>
      </c>
      <c r="C57" s="23" t="s">
        <v>2970</v>
      </c>
      <c r="D57" s="22" t="str">
        <f t="shared" si="7"/>
        <v>3#9#0|3#10#125|3#11#0|3#12#125|3#40#500</v>
      </c>
      <c r="E57" s="161"/>
    </row>
    <row r="58" spans="1:5" ht="15.75" x14ac:dyDescent="0.3">
      <c r="A58" s="22" t="s">
        <v>2915</v>
      </c>
      <c r="B58" s="22" t="s">
        <v>2916</v>
      </c>
      <c r="C58" s="23" t="s">
        <v>2971</v>
      </c>
      <c r="D58" s="22" t="str">
        <f t="shared" si="7"/>
        <v>3#9#0|3#10#150|3#11#0|3#12#150|3#40#600</v>
      </c>
      <c r="E58" s="161"/>
    </row>
    <row r="59" spans="1:5" ht="15.75" x14ac:dyDescent="0.3">
      <c r="A59" s="22" t="s">
        <v>2915</v>
      </c>
      <c r="B59" s="22" t="s">
        <v>2916</v>
      </c>
      <c r="C59" s="23" t="s">
        <v>2972</v>
      </c>
      <c r="D59" s="22" t="str">
        <f t="shared" si="7"/>
        <v>3#9#0|3#10#175|3#11#0|3#12#175|3#40#700</v>
      </c>
      <c r="E59" s="161"/>
    </row>
    <row r="60" spans="1:5" ht="15.75" x14ac:dyDescent="0.3">
      <c r="A60" s="22" t="s">
        <v>2915</v>
      </c>
      <c r="B60" s="22" t="s">
        <v>2916</v>
      </c>
      <c r="C60" s="23" t="s">
        <v>2973</v>
      </c>
      <c r="D60" s="22" t="str">
        <f t="shared" si="7"/>
        <v>3#9#0|3#10#200|3#11#0|3#12#200|3#40#800</v>
      </c>
      <c r="E60" s="161"/>
    </row>
    <row r="61" spans="1:5" ht="15.75" x14ac:dyDescent="0.3">
      <c r="A61" s="22" t="s">
        <v>2915</v>
      </c>
      <c r="B61" s="22" t="s">
        <v>2916</v>
      </c>
      <c r="C61" s="23" t="s">
        <v>2974</v>
      </c>
      <c r="D61" s="22" t="str">
        <f t="shared" si="7"/>
        <v>3#9#0|3#10#225|3#11#0|3#12#225|3#40#900</v>
      </c>
      <c r="E61" s="161"/>
    </row>
    <row r="62" spans="1:5" ht="15.75" x14ac:dyDescent="0.3">
      <c r="A62" s="22" t="s">
        <v>2915</v>
      </c>
      <c r="B62" s="22" t="s">
        <v>2916</v>
      </c>
      <c r="C62" s="23" t="s">
        <v>2975</v>
      </c>
      <c r="D62" s="22" t="str">
        <f>"3#9#"&amp;0&amp;"|"&amp;"3#10#"&amp;G13&amp;"|"&amp;"3#11#"&amp;0&amp;"|"&amp;"3#12#"&amp;G13&amp;"|"&amp;"3#40#"&amp;100*J13</f>
        <v>3#9#0|3#10#250|3#11#0|3#12#250|3#40#1000</v>
      </c>
      <c r="E62" s="161"/>
    </row>
    <row r="63" spans="1:5" ht="15.75" x14ac:dyDescent="0.3">
      <c r="A63" s="22" t="s">
        <v>2915</v>
      </c>
      <c r="B63" s="22" t="s">
        <v>2916</v>
      </c>
      <c r="C63" s="23" t="s">
        <v>2976</v>
      </c>
      <c r="D63" s="22" t="str">
        <f t="shared" ref="D63:D71" si="8">"3#9#"&amp;0&amp;"|"&amp;"3#10#"&amp;G4&amp;"|"&amp;"3#11#"&amp;0&amp;"|"&amp;"3#12#"&amp;G4&amp;"|"&amp;"3#65#"&amp;100*J4</f>
        <v>3#9#0|3#10#25|3#11#0|3#12#25|3#65#100</v>
      </c>
      <c r="E63" s="161"/>
    </row>
    <row r="64" spans="1:5" ht="15.75" x14ac:dyDescent="0.3">
      <c r="A64" s="22" t="s">
        <v>2915</v>
      </c>
      <c r="B64" s="22" t="s">
        <v>2916</v>
      </c>
      <c r="C64" s="23" t="s">
        <v>2977</v>
      </c>
      <c r="D64" s="22" t="str">
        <f t="shared" si="8"/>
        <v>3#9#0|3#10#50|3#11#0|3#12#50|3#65#200</v>
      </c>
      <c r="E64" s="161"/>
    </row>
    <row r="65" spans="1:5" ht="15.75" x14ac:dyDescent="0.3">
      <c r="A65" s="22" t="s">
        <v>2915</v>
      </c>
      <c r="B65" s="22" t="s">
        <v>2916</v>
      </c>
      <c r="C65" s="23" t="s">
        <v>2978</v>
      </c>
      <c r="D65" s="22" t="str">
        <f t="shared" si="8"/>
        <v>3#9#0|3#10#75|3#11#0|3#12#75|3#65#300</v>
      </c>
      <c r="E65" s="161"/>
    </row>
    <row r="66" spans="1:5" ht="15.75" x14ac:dyDescent="0.3">
      <c r="A66" s="22" t="s">
        <v>2915</v>
      </c>
      <c r="B66" s="22" t="s">
        <v>2916</v>
      </c>
      <c r="C66" s="23" t="s">
        <v>2979</v>
      </c>
      <c r="D66" s="22" t="str">
        <f t="shared" si="8"/>
        <v>3#9#0|3#10#100|3#11#0|3#12#100|3#65#400</v>
      </c>
      <c r="E66" s="161"/>
    </row>
    <row r="67" spans="1:5" ht="15.75" x14ac:dyDescent="0.3">
      <c r="A67" s="22" t="s">
        <v>2915</v>
      </c>
      <c r="B67" s="22" t="s">
        <v>2916</v>
      </c>
      <c r="C67" s="23" t="s">
        <v>2980</v>
      </c>
      <c r="D67" s="22" t="str">
        <f t="shared" si="8"/>
        <v>3#9#0|3#10#125|3#11#0|3#12#125|3#65#500</v>
      </c>
      <c r="E67" s="161"/>
    </row>
    <row r="68" spans="1:5" ht="15.75" x14ac:dyDescent="0.3">
      <c r="A68" s="22" t="s">
        <v>2915</v>
      </c>
      <c r="B68" s="22" t="s">
        <v>2916</v>
      </c>
      <c r="C68" s="23" t="s">
        <v>2981</v>
      </c>
      <c r="D68" s="22" t="str">
        <f t="shared" si="8"/>
        <v>3#9#0|3#10#150|3#11#0|3#12#150|3#65#600</v>
      </c>
      <c r="E68" s="161"/>
    </row>
    <row r="69" spans="1:5" ht="15.75" x14ac:dyDescent="0.3">
      <c r="A69" s="22" t="s">
        <v>2915</v>
      </c>
      <c r="B69" s="22" t="s">
        <v>2916</v>
      </c>
      <c r="C69" s="23" t="s">
        <v>2982</v>
      </c>
      <c r="D69" s="22" t="str">
        <f t="shared" si="8"/>
        <v>3#9#0|3#10#175|3#11#0|3#12#175|3#65#700</v>
      </c>
      <c r="E69" s="161"/>
    </row>
    <row r="70" spans="1:5" ht="15.75" x14ac:dyDescent="0.3">
      <c r="A70" s="22" t="s">
        <v>2915</v>
      </c>
      <c r="B70" s="22" t="s">
        <v>2916</v>
      </c>
      <c r="C70" s="23" t="s">
        <v>2983</v>
      </c>
      <c r="D70" s="22" t="str">
        <f t="shared" si="8"/>
        <v>3#9#0|3#10#200|3#11#0|3#12#200|3#65#800</v>
      </c>
      <c r="E70" s="161"/>
    </row>
    <row r="71" spans="1:5" ht="15.75" x14ac:dyDescent="0.3">
      <c r="A71" s="22" t="s">
        <v>2915</v>
      </c>
      <c r="B71" s="22" t="s">
        <v>2916</v>
      </c>
      <c r="C71" s="23" t="s">
        <v>2984</v>
      </c>
      <c r="D71" s="22" t="str">
        <f t="shared" si="8"/>
        <v>3#9#0|3#10#225|3#11#0|3#12#225|3#65#900</v>
      </c>
      <c r="E71" s="161"/>
    </row>
    <row r="72" spans="1:5" ht="15.75" x14ac:dyDescent="0.3">
      <c r="A72" s="22" t="s">
        <v>2915</v>
      </c>
      <c r="B72" s="22" t="s">
        <v>2916</v>
      </c>
      <c r="C72" s="23" t="s">
        <v>2985</v>
      </c>
      <c r="D72" s="22" t="str">
        <f>"3#9#"&amp;0&amp;"|"&amp;"3#10#"&amp;G13&amp;"|"&amp;"3#11#"&amp;0&amp;"|"&amp;"3#12#"&amp;G13&amp;"|"&amp;"3#65#"&amp;100*J13</f>
        <v>3#9#0|3#10#250|3#11#0|3#12#250|3#65#1000</v>
      </c>
      <c r="E72" s="161"/>
    </row>
    <row r="73" spans="1:5" ht="15.75" x14ac:dyDescent="0.3">
      <c r="A73" s="22" t="s">
        <v>2915</v>
      </c>
      <c r="B73" s="22" t="s">
        <v>2916</v>
      </c>
      <c r="C73" s="23" t="s">
        <v>2986</v>
      </c>
      <c r="D73" s="22" t="str">
        <f t="shared" ref="D73:D81" si="9">"3#9#"&amp;0&amp;"|"&amp;"3#10#"&amp;G4&amp;"|"&amp;"3#11#"&amp;0&amp;"|"&amp;"3#12#"&amp;G4&amp;"|"&amp;"3#82#"&amp;100*J4</f>
        <v>3#9#0|3#10#25|3#11#0|3#12#25|3#82#100</v>
      </c>
      <c r="E73" s="161"/>
    </row>
    <row r="74" spans="1:5" ht="15.75" x14ac:dyDescent="0.3">
      <c r="A74" s="22" t="s">
        <v>2915</v>
      </c>
      <c r="B74" s="22" t="s">
        <v>2916</v>
      </c>
      <c r="C74" s="23" t="s">
        <v>2987</v>
      </c>
      <c r="D74" s="22" t="str">
        <f t="shared" si="9"/>
        <v>3#9#0|3#10#50|3#11#0|3#12#50|3#82#200</v>
      </c>
      <c r="E74" s="161"/>
    </row>
    <row r="75" spans="1:5" ht="15.75" x14ac:dyDescent="0.3">
      <c r="A75" s="22" t="s">
        <v>2915</v>
      </c>
      <c r="B75" s="22" t="s">
        <v>2916</v>
      </c>
      <c r="C75" s="23" t="s">
        <v>2988</v>
      </c>
      <c r="D75" s="22" t="str">
        <f t="shared" si="9"/>
        <v>3#9#0|3#10#75|3#11#0|3#12#75|3#82#300</v>
      </c>
      <c r="E75" s="161"/>
    </row>
    <row r="76" spans="1:5" ht="15.75" x14ac:dyDescent="0.3">
      <c r="A76" s="22" t="s">
        <v>2915</v>
      </c>
      <c r="B76" s="22" t="s">
        <v>2916</v>
      </c>
      <c r="C76" s="23" t="s">
        <v>2989</v>
      </c>
      <c r="D76" s="22" t="str">
        <f t="shared" si="9"/>
        <v>3#9#0|3#10#100|3#11#0|3#12#100|3#82#400</v>
      </c>
      <c r="E76" s="161"/>
    </row>
    <row r="77" spans="1:5" ht="15.75" x14ac:dyDescent="0.3">
      <c r="A77" s="22" t="s">
        <v>2915</v>
      </c>
      <c r="B77" s="22" t="s">
        <v>2916</v>
      </c>
      <c r="C77" s="23" t="s">
        <v>2990</v>
      </c>
      <c r="D77" s="22" t="str">
        <f t="shared" si="9"/>
        <v>3#9#0|3#10#125|3#11#0|3#12#125|3#82#500</v>
      </c>
      <c r="E77" s="161"/>
    </row>
    <row r="78" spans="1:5" ht="15.75" x14ac:dyDescent="0.3">
      <c r="A78" s="22" t="s">
        <v>2915</v>
      </c>
      <c r="B78" s="22" t="s">
        <v>2916</v>
      </c>
      <c r="C78" s="23" t="s">
        <v>2991</v>
      </c>
      <c r="D78" s="22" t="str">
        <f t="shared" si="9"/>
        <v>3#9#0|3#10#150|3#11#0|3#12#150|3#82#600</v>
      </c>
      <c r="E78" s="161"/>
    </row>
    <row r="79" spans="1:5" ht="15.75" x14ac:dyDescent="0.3">
      <c r="A79" s="22" t="s">
        <v>2915</v>
      </c>
      <c r="B79" s="22" t="s">
        <v>2916</v>
      </c>
      <c r="C79" s="23" t="s">
        <v>2992</v>
      </c>
      <c r="D79" s="22" t="str">
        <f t="shared" si="9"/>
        <v>3#9#0|3#10#175|3#11#0|3#12#175|3#82#700</v>
      </c>
      <c r="E79" s="161"/>
    </row>
    <row r="80" spans="1:5" ht="15.75" x14ac:dyDescent="0.3">
      <c r="A80" s="22" t="s">
        <v>2915</v>
      </c>
      <c r="B80" s="22" t="s">
        <v>2916</v>
      </c>
      <c r="C80" s="23" t="s">
        <v>2993</v>
      </c>
      <c r="D80" s="22" t="str">
        <f t="shared" si="9"/>
        <v>3#9#0|3#10#200|3#11#0|3#12#200|3#82#800</v>
      </c>
      <c r="E80" s="161"/>
    </row>
    <row r="81" spans="1:5" ht="15.75" x14ac:dyDescent="0.3">
      <c r="A81" s="22" t="s">
        <v>2915</v>
      </c>
      <c r="B81" s="22" t="s">
        <v>2916</v>
      </c>
      <c r="C81" s="23" t="s">
        <v>2994</v>
      </c>
      <c r="D81" s="22" t="str">
        <f t="shared" si="9"/>
        <v>3#9#0|3#10#225|3#11#0|3#12#225|3#82#900</v>
      </c>
      <c r="E81" s="161"/>
    </row>
    <row r="82" spans="1:5" ht="15.75" x14ac:dyDescent="0.3">
      <c r="A82" s="22" t="s">
        <v>2915</v>
      </c>
      <c r="B82" s="22" t="s">
        <v>2916</v>
      </c>
      <c r="C82" s="23" t="s">
        <v>2995</v>
      </c>
      <c r="D82" s="22" t="str">
        <f>"3#9#"&amp;0&amp;"|"&amp;"3#10#"&amp;G13&amp;"|"&amp;"3#11#"&amp;0&amp;"|"&amp;"3#12#"&amp;G13&amp;"|"&amp;"3#82#"&amp;100*J13</f>
        <v>3#9#0|3#10#250|3#11#0|3#12#250|3#82#1000</v>
      </c>
      <c r="E82" s="161"/>
    </row>
    <row r="83" spans="1:5" ht="15.75" x14ac:dyDescent="0.3">
      <c r="A83" s="22" t="s">
        <v>2915</v>
      </c>
      <c r="B83" s="22" t="s">
        <v>2916</v>
      </c>
      <c r="C83" s="23" t="s">
        <v>2996</v>
      </c>
      <c r="D83" s="22" t="str">
        <f t="shared" ref="D83:D91" si="10">"3#9#"&amp;0&amp;"|"&amp;"3#10#"&amp;G4&amp;"|"&amp;"3#11#"&amp;0&amp;"|"&amp;"3#12#"&amp;G4&amp;"|"&amp;"3#29#"&amp;J4</f>
        <v>3#9#0|3#10#25|3#11#0|3#12#25|3#29#1</v>
      </c>
      <c r="E83" s="161"/>
    </row>
    <row r="84" spans="1:5" ht="15.75" x14ac:dyDescent="0.3">
      <c r="A84" s="22" t="s">
        <v>2915</v>
      </c>
      <c r="B84" s="22" t="s">
        <v>2916</v>
      </c>
      <c r="C84" s="23" t="s">
        <v>2997</v>
      </c>
      <c r="D84" s="22" t="str">
        <f t="shared" si="10"/>
        <v>3#9#0|3#10#50|3#11#0|3#12#50|3#29#2</v>
      </c>
      <c r="E84" s="161"/>
    </row>
    <row r="85" spans="1:5" ht="15.75" x14ac:dyDescent="0.3">
      <c r="A85" s="22" t="s">
        <v>2915</v>
      </c>
      <c r="B85" s="22" t="s">
        <v>2916</v>
      </c>
      <c r="C85" s="23" t="s">
        <v>2998</v>
      </c>
      <c r="D85" s="22" t="str">
        <f t="shared" si="10"/>
        <v>3#9#0|3#10#75|3#11#0|3#12#75|3#29#3</v>
      </c>
      <c r="E85" s="161"/>
    </row>
    <row r="86" spans="1:5" ht="15.75" x14ac:dyDescent="0.3">
      <c r="A86" s="22" t="s">
        <v>2915</v>
      </c>
      <c r="B86" s="22" t="s">
        <v>2916</v>
      </c>
      <c r="C86" s="23" t="s">
        <v>2999</v>
      </c>
      <c r="D86" s="22" t="str">
        <f t="shared" si="10"/>
        <v>3#9#0|3#10#100|3#11#0|3#12#100|3#29#4</v>
      </c>
      <c r="E86" s="161"/>
    </row>
    <row r="87" spans="1:5" ht="15.75" x14ac:dyDescent="0.3">
      <c r="A87" s="22" t="s">
        <v>2915</v>
      </c>
      <c r="B87" s="22" t="s">
        <v>2916</v>
      </c>
      <c r="C87" s="23" t="s">
        <v>3000</v>
      </c>
      <c r="D87" s="22" t="str">
        <f t="shared" si="10"/>
        <v>3#9#0|3#10#125|3#11#0|3#12#125|3#29#5</v>
      </c>
      <c r="E87" s="161"/>
    </row>
    <row r="88" spans="1:5" ht="15.75" x14ac:dyDescent="0.3">
      <c r="A88" s="22" t="s">
        <v>2915</v>
      </c>
      <c r="B88" s="22" t="s">
        <v>2916</v>
      </c>
      <c r="C88" s="23" t="s">
        <v>3001</v>
      </c>
      <c r="D88" s="22" t="str">
        <f t="shared" si="10"/>
        <v>3#9#0|3#10#150|3#11#0|3#12#150|3#29#6</v>
      </c>
      <c r="E88" s="161"/>
    </row>
    <row r="89" spans="1:5" ht="15.75" x14ac:dyDescent="0.3">
      <c r="A89" s="22" t="s">
        <v>2915</v>
      </c>
      <c r="B89" s="22" t="s">
        <v>2916</v>
      </c>
      <c r="C89" s="23" t="s">
        <v>3002</v>
      </c>
      <c r="D89" s="22" t="str">
        <f t="shared" si="10"/>
        <v>3#9#0|3#10#175|3#11#0|3#12#175|3#29#7</v>
      </c>
      <c r="E89" s="161"/>
    </row>
    <row r="90" spans="1:5" ht="15.75" x14ac:dyDescent="0.3">
      <c r="A90" s="22" t="s">
        <v>2915</v>
      </c>
      <c r="B90" s="22" t="s">
        <v>2916</v>
      </c>
      <c r="C90" s="23" t="s">
        <v>3003</v>
      </c>
      <c r="D90" s="22" t="str">
        <f t="shared" si="10"/>
        <v>3#9#0|3#10#200|3#11#0|3#12#200|3#29#8</v>
      </c>
      <c r="E90" s="161"/>
    </row>
    <row r="91" spans="1:5" ht="15.75" x14ac:dyDescent="0.3">
      <c r="A91" s="22" t="s">
        <v>2915</v>
      </c>
      <c r="B91" s="22" t="s">
        <v>2916</v>
      </c>
      <c r="C91" s="23" t="s">
        <v>3004</v>
      </c>
      <c r="D91" s="22" t="str">
        <f t="shared" si="10"/>
        <v>3#9#0|3#10#225|3#11#0|3#12#225|3#29#9</v>
      </c>
      <c r="E91" s="161"/>
    </row>
    <row r="92" spans="1:5" ht="15.75" x14ac:dyDescent="0.3">
      <c r="A92" s="22" t="s">
        <v>2915</v>
      </c>
      <c r="B92" s="22" t="s">
        <v>2916</v>
      </c>
      <c r="C92" s="23" t="s">
        <v>3005</v>
      </c>
      <c r="D92" s="22" t="str">
        <f>"3#9#"&amp;0&amp;"|"&amp;"3#10#"&amp;G13&amp;"|"&amp;"3#11#"&amp;0&amp;"|"&amp;"3#12#"&amp;G13&amp;"|"&amp;"3#29#"&amp;J13</f>
        <v>3#9#0|3#10#250|3#11#0|3#12#250|3#29#10</v>
      </c>
      <c r="E92" s="161"/>
    </row>
    <row r="93" spans="1:5" ht="15.75" x14ac:dyDescent="0.3">
      <c r="A93" s="22" t="s">
        <v>2915</v>
      </c>
      <c r="B93" s="22" t="s">
        <v>2916</v>
      </c>
      <c r="C93" s="23" t="s">
        <v>3006</v>
      </c>
      <c r="D93" s="22" t="str">
        <f t="shared" ref="D93:D101" si="11">"3#9#"&amp;0&amp;"|"&amp;"3#10#"&amp;G4&amp;"|"&amp;"3#11#"&amp;0&amp;"|"&amp;"3#12#"&amp;G4&amp;"|"&amp;"3#30#"&amp;J4</f>
        <v>3#9#0|3#10#25|3#11#0|3#12#25|3#30#1</v>
      </c>
      <c r="E93" s="161"/>
    </row>
    <row r="94" spans="1:5" ht="15.75" x14ac:dyDescent="0.3">
      <c r="A94" s="22" t="s">
        <v>2915</v>
      </c>
      <c r="B94" s="22" t="s">
        <v>2916</v>
      </c>
      <c r="C94" s="23" t="s">
        <v>3007</v>
      </c>
      <c r="D94" s="22" t="str">
        <f t="shared" si="11"/>
        <v>3#9#0|3#10#50|3#11#0|3#12#50|3#30#2</v>
      </c>
      <c r="E94" s="161"/>
    </row>
    <row r="95" spans="1:5" ht="15.75" x14ac:dyDescent="0.3">
      <c r="A95" s="22" t="s">
        <v>2915</v>
      </c>
      <c r="B95" s="22" t="s">
        <v>2916</v>
      </c>
      <c r="C95" s="23" t="s">
        <v>3008</v>
      </c>
      <c r="D95" s="22" t="str">
        <f t="shared" si="11"/>
        <v>3#9#0|3#10#75|3#11#0|3#12#75|3#30#3</v>
      </c>
      <c r="E95" s="161"/>
    </row>
    <row r="96" spans="1:5" ht="15.75" x14ac:dyDescent="0.3">
      <c r="A96" s="22" t="s">
        <v>2915</v>
      </c>
      <c r="B96" s="22" t="s">
        <v>2916</v>
      </c>
      <c r="C96" s="23" t="s">
        <v>3009</v>
      </c>
      <c r="D96" s="22" t="str">
        <f t="shared" si="11"/>
        <v>3#9#0|3#10#100|3#11#0|3#12#100|3#30#4</v>
      </c>
      <c r="E96" s="161"/>
    </row>
    <row r="97" spans="1:5" ht="15.75" x14ac:dyDescent="0.3">
      <c r="A97" s="22" t="s">
        <v>2915</v>
      </c>
      <c r="B97" s="22" t="s">
        <v>2916</v>
      </c>
      <c r="C97" s="23" t="s">
        <v>3010</v>
      </c>
      <c r="D97" s="22" t="str">
        <f t="shared" si="11"/>
        <v>3#9#0|3#10#125|3#11#0|3#12#125|3#30#5</v>
      </c>
      <c r="E97" s="161"/>
    </row>
    <row r="98" spans="1:5" ht="15.75" x14ac:dyDescent="0.3">
      <c r="A98" s="22" t="s">
        <v>2915</v>
      </c>
      <c r="B98" s="22" t="s">
        <v>2916</v>
      </c>
      <c r="C98" s="23" t="s">
        <v>3011</v>
      </c>
      <c r="D98" s="22" t="str">
        <f t="shared" si="11"/>
        <v>3#9#0|3#10#150|3#11#0|3#12#150|3#30#6</v>
      </c>
      <c r="E98" s="161"/>
    </row>
    <row r="99" spans="1:5" ht="15.75" x14ac:dyDescent="0.3">
      <c r="A99" s="22" t="s">
        <v>2915</v>
      </c>
      <c r="B99" s="22" t="s">
        <v>2916</v>
      </c>
      <c r="C99" s="23" t="s">
        <v>3012</v>
      </c>
      <c r="D99" s="22" t="str">
        <f t="shared" si="11"/>
        <v>3#9#0|3#10#175|3#11#0|3#12#175|3#30#7</v>
      </c>
      <c r="E99" s="161"/>
    </row>
    <row r="100" spans="1:5" ht="15.75" x14ac:dyDescent="0.3">
      <c r="A100" s="22" t="s">
        <v>2915</v>
      </c>
      <c r="B100" s="22" t="s">
        <v>2916</v>
      </c>
      <c r="C100" s="23" t="s">
        <v>3013</v>
      </c>
      <c r="D100" s="22" t="str">
        <f t="shared" si="11"/>
        <v>3#9#0|3#10#200|3#11#0|3#12#200|3#30#8</v>
      </c>
      <c r="E100" s="161"/>
    </row>
    <row r="101" spans="1:5" ht="15.75" x14ac:dyDescent="0.3">
      <c r="A101" s="22" t="s">
        <v>2915</v>
      </c>
      <c r="B101" s="22" t="s">
        <v>2916</v>
      </c>
      <c r="C101" s="23" t="s">
        <v>3014</v>
      </c>
      <c r="D101" s="22" t="str">
        <f t="shared" si="11"/>
        <v>3#9#0|3#10#225|3#11#0|3#12#225|3#30#9</v>
      </c>
      <c r="E101" s="161"/>
    </row>
    <row r="102" spans="1:5" ht="15.75" x14ac:dyDescent="0.3">
      <c r="A102" s="22" t="s">
        <v>2915</v>
      </c>
      <c r="B102" s="22" t="s">
        <v>2916</v>
      </c>
      <c r="C102" s="23" t="s">
        <v>3015</v>
      </c>
      <c r="D102" s="22" t="str">
        <f>"3#9#"&amp;0&amp;"|"&amp;"3#10#"&amp;G13&amp;"|"&amp;"3#11#"&amp;0&amp;"|"&amp;"3#12#"&amp;G13&amp;"|"&amp;"3#30#"&amp;J13</f>
        <v>3#9#0|3#10#250|3#11#0|3#12#250|3#30#10</v>
      </c>
      <c r="E102" s="161"/>
    </row>
    <row r="103" spans="1:5" ht="15.75" x14ac:dyDescent="0.3">
      <c r="A103" s="22" t="s">
        <v>2915</v>
      </c>
      <c r="B103" s="22" t="s">
        <v>2916</v>
      </c>
      <c r="C103" s="23" t="s">
        <v>3016</v>
      </c>
      <c r="D103" s="22" t="str">
        <f t="shared" ref="D103:D111" si="12">"3#9#"&amp;0&amp;"|"&amp;"3#10#"&amp;G4&amp;"|"&amp;"3#11#"&amp;0&amp;"|"&amp;"3#12#"&amp;G4&amp;"|"&amp;"3#26#"&amp;J4</f>
        <v>3#9#0|3#10#25|3#11#0|3#12#25|3#26#1</v>
      </c>
      <c r="E103" s="161"/>
    </row>
    <row r="104" spans="1:5" ht="15.75" x14ac:dyDescent="0.3">
      <c r="A104" s="22" t="s">
        <v>2915</v>
      </c>
      <c r="B104" s="22" t="s">
        <v>2916</v>
      </c>
      <c r="C104" s="23" t="s">
        <v>3017</v>
      </c>
      <c r="D104" s="22" t="str">
        <f t="shared" si="12"/>
        <v>3#9#0|3#10#50|3#11#0|3#12#50|3#26#2</v>
      </c>
      <c r="E104" s="161"/>
    </row>
    <row r="105" spans="1:5" ht="15.75" x14ac:dyDescent="0.3">
      <c r="A105" s="22" t="s">
        <v>2915</v>
      </c>
      <c r="B105" s="22" t="s">
        <v>2916</v>
      </c>
      <c r="C105" s="23" t="s">
        <v>3018</v>
      </c>
      <c r="D105" s="22" t="str">
        <f t="shared" si="12"/>
        <v>3#9#0|3#10#75|3#11#0|3#12#75|3#26#3</v>
      </c>
      <c r="E105" s="161"/>
    </row>
    <row r="106" spans="1:5" ht="15.75" x14ac:dyDescent="0.3">
      <c r="A106" s="22" t="s">
        <v>2915</v>
      </c>
      <c r="B106" s="22" t="s">
        <v>2916</v>
      </c>
      <c r="C106" s="23" t="s">
        <v>3019</v>
      </c>
      <c r="D106" s="22" t="str">
        <f t="shared" si="12"/>
        <v>3#9#0|3#10#100|3#11#0|3#12#100|3#26#4</v>
      </c>
      <c r="E106" s="161"/>
    </row>
    <row r="107" spans="1:5" ht="15.75" x14ac:dyDescent="0.3">
      <c r="A107" s="22" t="s">
        <v>2915</v>
      </c>
      <c r="B107" s="22" t="s">
        <v>2916</v>
      </c>
      <c r="C107" s="23" t="s">
        <v>3020</v>
      </c>
      <c r="D107" s="22" t="str">
        <f t="shared" si="12"/>
        <v>3#9#0|3#10#125|3#11#0|3#12#125|3#26#5</v>
      </c>
      <c r="E107" s="161"/>
    </row>
    <row r="108" spans="1:5" ht="15.75" x14ac:dyDescent="0.3">
      <c r="A108" s="22" t="s">
        <v>2915</v>
      </c>
      <c r="B108" s="22" t="s">
        <v>2916</v>
      </c>
      <c r="C108" s="23" t="s">
        <v>3021</v>
      </c>
      <c r="D108" s="22" t="str">
        <f t="shared" si="12"/>
        <v>3#9#0|3#10#150|3#11#0|3#12#150|3#26#6</v>
      </c>
      <c r="E108" s="161"/>
    </row>
    <row r="109" spans="1:5" ht="15.75" x14ac:dyDescent="0.3">
      <c r="A109" s="22" t="s">
        <v>2915</v>
      </c>
      <c r="B109" s="22" t="s">
        <v>2916</v>
      </c>
      <c r="C109" s="23" t="s">
        <v>3022</v>
      </c>
      <c r="D109" s="22" t="str">
        <f t="shared" si="12"/>
        <v>3#9#0|3#10#175|3#11#0|3#12#175|3#26#7</v>
      </c>
      <c r="E109" s="161"/>
    </row>
    <row r="110" spans="1:5" ht="15.75" x14ac:dyDescent="0.3">
      <c r="A110" s="22" t="s">
        <v>2915</v>
      </c>
      <c r="B110" s="22" t="s">
        <v>2916</v>
      </c>
      <c r="C110" s="23" t="s">
        <v>3023</v>
      </c>
      <c r="D110" s="22" t="str">
        <f t="shared" si="12"/>
        <v>3#9#0|3#10#200|3#11#0|3#12#200|3#26#8</v>
      </c>
      <c r="E110" s="161"/>
    </row>
    <row r="111" spans="1:5" ht="15.75" x14ac:dyDescent="0.3">
      <c r="A111" s="22" t="s">
        <v>2915</v>
      </c>
      <c r="B111" s="22" t="s">
        <v>2916</v>
      </c>
      <c r="C111" s="23" t="s">
        <v>3024</v>
      </c>
      <c r="D111" s="22" t="str">
        <f t="shared" si="12"/>
        <v>3#9#0|3#10#225|3#11#0|3#12#225|3#26#9</v>
      </c>
      <c r="E111" s="161"/>
    </row>
    <row r="112" spans="1:5" ht="15.75" x14ac:dyDescent="0.3">
      <c r="A112" s="22" t="s">
        <v>2915</v>
      </c>
      <c r="B112" s="22" t="s">
        <v>2916</v>
      </c>
      <c r="C112" s="23" t="s">
        <v>3025</v>
      </c>
      <c r="D112" s="22" t="str">
        <f>"3#9#"&amp;0&amp;"|"&amp;"3#10#"&amp;G13&amp;"|"&amp;"3#11#"&amp;0&amp;"|"&amp;"3#12#"&amp;G13&amp;"|"&amp;"3#26#"&amp;J13</f>
        <v>3#9#0|3#10#250|3#11#0|3#12#250|3#26#10</v>
      </c>
      <c r="E112" s="161"/>
    </row>
    <row r="113" spans="1:5" ht="15.75" x14ac:dyDescent="0.3">
      <c r="A113" s="22" t="s">
        <v>2915</v>
      </c>
      <c r="B113" s="22" t="s">
        <v>2916</v>
      </c>
      <c r="C113" s="23" t="s">
        <v>3026</v>
      </c>
      <c r="D113" s="22" t="str">
        <f t="shared" ref="D113:D121" si="13">"3#9#"&amp;0&amp;"|"&amp;"3#10#"&amp;G4&amp;"|"&amp;"3#11#"&amp;0&amp;"|"&amp;"3#12#"&amp;G4&amp;"|"&amp;"3#27#"&amp;J4</f>
        <v>3#9#0|3#10#25|3#11#0|3#12#25|3#27#1</v>
      </c>
      <c r="E113" s="161"/>
    </row>
    <row r="114" spans="1:5" ht="15.75" x14ac:dyDescent="0.3">
      <c r="A114" s="22" t="s">
        <v>2915</v>
      </c>
      <c r="B114" s="22" t="s">
        <v>2916</v>
      </c>
      <c r="C114" s="23" t="s">
        <v>3027</v>
      </c>
      <c r="D114" s="22" t="str">
        <f t="shared" si="13"/>
        <v>3#9#0|3#10#50|3#11#0|3#12#50|3#27#2</v>
      </c>
      <c r="E114" s="161"/>
    </row>
    <row r="115" spans="1:5" ht="15.75" x14ac:dyDescent="0.3">
      <c r="A115" s="22" t="s">
        <v>2915</v>
      </c>
      <c r="B115" s="22" t="s">
        <v>2916</v>
      </c>
      <c r="C115" s="23" t="s">
        <v>3028</v>
      </c>
      <c r="D115" s="22" t="str">
        <f t="shared" si="13"/>
        <v>3#9#0|3#10#75|3#11#0|3#12#75|3#27#3</v>
      </c>
      <c r="E115" s="161"/>
    </row>
    <row r="116" spans="1:5" ht="15.75" x14ac:dyDescent="0.3">
      <c r="A116" s="22" t="s">
        <v>2915</v>
      </c>
      <c r="B116" s="22" t="s">
        <v>2916</v>
      </c>
      <c r="C116" s="23" t="s">
        <v>3029</v>
      </c>
      <c r="D116" s="22" t="str">
        <f t="shared" si="13"/>
        <v>3#9#0|3#10#100|3#11#0|3#12#100|3#27#4</v>
      </c>
      <c r="E116" s="161"/>
    </row>
    <row r="117" spans="1:5" ht="15.75" x14ac:dyDescent="0.3">
      <c r="A117" s="22" t="s">
        <v>2915</v>
      </c>
      <c r="B117" s="22" t="s">
        <v>2916</v>
      </c>
      <c r="C117" s="23" t="s">
        <v>3030</v>
      </c>
      <c r="D117" s="22" t="str">
        <f t="shared" si="13"/>
        <v>3#9#0|3#10#125|3#11#0|3#12#125|3#27#5</v>
      </c>
      <c r="E117" s="161"/>
    </row>
    <row r="118" spans="1:5" ht="15.75" x14ac:dyDescent="0.3">
      <c r="A118" s="22" t="s">
        <v>2915</v>
      </c>
      <c r="B118" s="22" t="s">
        <v>2916</v>
      </c>
      <c r="C118" s="23" t="s">
        <v>3031</v>
      </c>
      <c r="D118" s="22" t="str">
        <f t="shared" si="13"/>
        <v>3#9#0|3#10#150|3#11#0|3#12#150|3#27#6</v>
      </c>
      <c r="E118" s="161"/>
    </row>
    <row r="119" spans="1:5" ht="15.75" x14ac:dyDescent="0.3">
      <c r="A119" s="22" t="s">
        <v>2915</v>
      </c>
      <c r="B119" s="22" t="s">
        <v>2916</v>
      </c>
      <c r="C119" s="23" t="s">
        <v>3032</v>
      </c>
      <c r="D119" s="22" t="str">
        <f t="shared" si="13"/>
        <v>3#9#0|3#10#175|3#11#0|3#12#175|3#27#7</v>
      </c>
      <c r="E119" s="161"/>
    </row>
    <row r="120" spans="1:5" ht="15.75" x14ac:dyDescent="0.3">
      <c r="A120" s="22" t="s">
        <v>2915</v>
      </c>
      <c r="B120" s="22" t="s">
        <v>2916</v>
      </c>
      <c r="C120" s="23" t="s">
        <v>3033</v>
      </c>
      <c r="D120" s="22" t="str">
        <f t="shared" si="13"/>
        <v>3#9#0|3#10#200|3#11#0|3#12#200|3#27#8</v>
      </c>
      <c r="E120" s="161"/>
    </row>
    <row r="121" spans="1:5" ht="15.75" x14ac:dyDescent="0.3">
      <c r="A121" s="22" t="s">
        <v>2915</v>
      </c>
      <c r="B121" s="22" t="s">
        <v>2916</v>
      </c>
      <c r="C121" s="23" t="s">
        <v>3034</v>
      </c>
      <c r="D121" s="22" t="str">
        <f t="shared" si="13"/>
        <v>3#9#0|3#10#225|3#11#0|3#12#225|3#27#9</v>
      </c>
      <c r="E121" s="161"/>
    </row>
    <row r="122" spans="1:5" ht="15.75" x14ac:dyDescent="0.3">
      <c r="A122" s="22" t="s">
        <v>2915</v>
      </c>
      <c r="B122" s="22" t="s">
        <v>2916</v>
      </c>
      <c r="C122" s="23" t="s">
        <v>3035</v>
      </c>
      <c r="D122" s="22" t="str">
        <f>"3#9#"&amp;0&amp;"|"&amp;"3#10#"&amp;G13&amp;"|"&amp;"3#11#"&amp;0&amp;"|"&amp;"3#12#"&amp;G13&amp;"|"&amp;"3#27#"&amp;J13</f>
        <v>3#9#0|3#10#250|3#11#0|3#12#250|3#27#10</v>
      </c>
      <c r="E122" s="161"/>
    </row>
    <row r="123" spans="1:5" ht="15.75" x14ac:dyDescent="0.3">
      <c r="A123" s="22" t="s">
        <v>2915</v>
      </c>
      <c r="B123" s="22" t="s">
        <v>3036</v>
      </c>
      <c r="C123" s="23" t="s">
        <v>3037</v>
      </c>
      <c r="D123" s="22" t="str">
        <f t="shared" ref="D123:D131" si="14">"0#3#"&amp;0&amp;"|"&amp;"0#4#"&amp;F4&amp;"|"&amp;"1#5#"&amp;0&amp;"|"&amp;"1#6#"&amp;F4&amp;"|"&amp;"2#7#"&amp;0&amp;"|"&amp;"2#8#"&amp;F4&amp;"|"&amp;"3#28#"&amp;J4</f>
        <v>0#3#0|0#4#50|1#5#0|1#6#50|2#7#0|2#8#50|3#28#1</v>
      </c>
      <c r="E123" s="161"/>
    </row>
    <row r="124" spans="1:5" ht="15.75" x14ac:dyDescent="0.3">
      <c r="A124" s="22" t="s">
        <v>2915</v>
      </c>
      <c r="B124" s="22" t="s">
        <v>3036</v>
      </c>
      <c r="C124" s="23" t="s">
        <v>3038</v>
      </c>
      <c r="D124" s="22" t="str">
        <f t="shared" si="14"/>
        <v>0#3#0|0#4#100|1#5#0|1#6#100|2#7#0|2#8#100|3#28#2</v>
      </c>
      <c r="E124" s="161"/>
    </row>
    <row r="125" spans="1:5" ht="15.75" x14ac:dyDescent="0.3">
      <c r="A125" s="22" t="s">
        <v>2915</v>
      </c>
      <c r="B125" s="22" t="s">
        <v>3036</v>
      </c>
      <c r="C125" s="23" t="s">
        <v>3039</v>
      </c>
      <c r="D125" s="22" t="str">
        <f t="shared" si="14"/>
        <v>0#3#0|0#4#150|1#5#0|1#6#150|2#7#0|2#8#150|3#28#3</v>
      </c>
      <c r="E125" s="161"/>
    </row>
    <row r="126" spans="1:5" ht="15.75" x14ac:dyDescent="0.3">
      <c r="A126" s="22" t="s">
        <v>2915</v>
      </c>
      <c r="B126" s="22" t="s">
        <v>3036</v>
      </c>
      <c r="C126" s="23" t="s">
        <v>3040</v>
      </c>
      <c r="D126" s="22" t="str">
        <f t="shared" si="14"/>
        <v>0#3#0|0#4#200|1#5#0|1#6#200|2#7#0|2#8#200|3#28#4</v>
      </c>
      <c r="E126" s="161"/>
    </row>
    <row r="127" spans="1:5" ht="15.75" x14ac:dyDescent="0.3">
      <c r="A127" s="22" t="s">
        <v>2915</v>
      </c>
      <c r="B127" s="22" t="s">
        <v>3036</v>
      </c>
      <c r="C127" s="23" t="s">
        <v>3041</v>
      </c>
      <c r="D127" s="22" t="str">
        <f t="shared" si="14"/>
        <v>0#3#0|0#4#250|1#5#0|1#6#250|2#7#0|2#8#250|3#28#5</v>
      </c>
      <c r="E127" s="161"/>
    </row>
    <row r="128" spans="1:5" ht="15.75" x14ac:dyDescent="0.3">
      <c r="A128" s="22" t="s">
        <v>2915</v>
      </c>
      <c r="B128" s="22" t="s">
        <v>3036</v>
      </c>
      <c r="C128" s="23" t="s">
        <v>3042</v>
      </c>
      <c r="D128" s="22" t="str">
        <f t="shared" si="14"/>
        <v>0#3#0|0#4#300|1#5#0|1#6#300|2#7#0|2#8#300|3#28#6</v>
      </c>
      <c r="E128" s="161"/>
    </row>
    <row r="129" spans="1:5" ht="15.75" x14ac:dyDescent="0.3">
      <c r="A129" s="22" t="s">
        <v>2915</v>
      </c>
      <c r="B129" s="22" t="s">
        <v>3036</v>
      </c>
      <c r="C129" s="23" t="s">
        <v>3043</v>
      </c>
      <c r="D129" s="22" t="str">
        <f t="shared" si="14"/>
        <v>0#3#0|0#4#350|1#5#0|1#6#350|2#7#0|2#8#350|3#28#7</v>
      </c>
      <c r="E129" s="161"/>
    </row>
    <row r="130" spans="1:5" ht="15.75" x14ac:dyDescent="0.3">
      <c r="A130" s="22" t="s">
        <v>2915</v>
      </c>
      <c r="B130" s="22" t="s">
        <v>3036</v>
      </c>
      <c r="C130" s="23" t="s">
        <v>3044</v>
      </c>
      <c r="D130" s="22" t="str">
        <f t="shared" si="14"/>
        <v>0#3#0|0#4#400|1#5#0|1#6#400|2#7#0|2#8#400|3#28#8</v>
      </c>
      <c r="E130" s="161"/>
    </row>
    <row r="131" spans="1:5" ht="15.75" x14ac:dyDescent="0.3">
      <c r="A131" s="22" t="s">
        <v>2915</v>
      </c>
      <c r="B131" s="22" t="s">
        <v>3036</v>
      </c>
      <c r="C131" s="23" t="s">
        <v>3045</v>
      </c>
      <c r="D131" s="22" t="str">
        <f t="shared" si="14"/>
        <v>0#3#0|0#4#450|1#5#0|1#6#450|2#7#0|2#8#450|3#28#9</v>
      </c>
      <c r="E131" s="161"/>
    </row>
    <row r="132" spans="1:5" ht="15.75" x14ac:dyDescent="0.3">
      <c r="A132" s="22" t="s">
        <v>2915</v>
      </c>
      <c r="B132" s="22" t="s">
        <v>3036</v>
      </c>
      <c r="C132" s="23" t="s">
        <v>3046</v>
      </c>
      <c r="D132" s="22" t="str">
        <f>"0#3#"&amp;0&amp;"|"&amp;"0#4#"&amp;F13&amp;"|"&amp;"1#5#"&amp;0&amp;"|"&amp;"1#6#"&amp;F13&amp;"|"&amp;"2#7#"&amp;0&amp;"|"&amp;"2#8#"&amp;F13&amp;"|"&amp;"3#28#"&amp;J13</f>
        <v>0#3#0|0#4#500|1#5#0|1#6#500|2#7#0|2#8#500|3#28#10</v>
      </c>
      <c r="E132" s="161"/>
    </row>
    <row r="133" spans="1:5" ht="15.75" x14ac:dyDescent="0.3">
      <c r="A133" s="22" t="s">
        <v>2915</v>
      </c>
      <c r="B133" s="22" t="s">
        <v>3036</v>
      </c>
      <c r="C133" s="23" t="s">
        <v>3047</v>
      </c>
      <c r="D133" s="22" t="str">
        <f t="shared" ref="D133:D141" si="15">"0#3#"&amp;0&amp;"|"&amp;"0#4#"&amp;F4&amp;"|"&amp;"1#5#"&amp;0&amp;"|"&amp;"1#6#"&amp;F4&amp;"|"&amp;"2#7#"&amp;0&amp;"|"&amp;"2#8#"&amp;F4&amp;"|"&amp;"3#21#"&amp;J4</f>
        <v>0#3#0|0#4#50|1#5#0|1#6#50|2#7#0|2#8#50|3#21#1</v>
      </c>
      <c r="E133" s="161"/>
    </row>
    <row r="134" spans="1:5" ht="15.75" x14ac:dyDescent="0.3">
      <c r="A134" s="22" t="s">
        <v>2915</v>
      </c>
      <c r="B134" s="22" t="s">
        <v>3036</v>
      </c>
      <c r="C134" s="23" t="s">
        <v>3048</v>
      </c>
      <c r="D134" s="22" t="str">
        <f t="shared" si="15"/>
        <v>0#3#0|0#4#100|1#5#0|1#6#100|2#7#0|2#8#100|3#21#2</v>
      </c>
      <c r="E134" s="161"/>
    </row>
    <row r="135" spans="1:5" ht="15.75" x14ac:dyDescent="0.3">
      <c r="A135" s="22" t="s">
        <v>2915</v>
      </c>
      <c r="B135" s="22" t="s">
        <v>3036</v>
      </c>
      <c r="C135" s="23" t="s">
        <v>3049</v>
      </c>
      <c r="D135" s="22" t="str">
        <f t="shared" si="15"/>
        <v>0#3#0|0#4#150|1#5#0|1#6#150|2#7#0|2#8#150|3#21#3</v>
      </c>
      <c r="E135" s="161"/>
    </row>
    <row r="136" spans="1:5" ht="15.75" x14ac:dyDescent="0.3">
      <c r="A136" s="22" t="s">
        <v>2915</v>
      </c>
      <c r="B136" s="22" t="s">
        <v>3036</v>
      </c>
      <c r="C136" s="23" t="s">
        <v>3050</v>
      </c>
      <c r="D136" s="22" t="str">
        <f t="shared" si="15"/>
        <v>0#3#0|0#4#200|1#5#0|1#6#200|2#7#0|2#8#200|3#21#4</v>
      </c>
      <c r="E136" s="161"/>
    </row>
    <row r="137" spans="1:5" ht="15.75" x14ac:dyDescent="0.3">
      <c r="A137" s="22" t="s">
        <v>2915</v>
      </c>
      <c r="B137" s="22" t="s">
        <v>3036</v>
      </c>
      <c r="C137" s="23" t="s">
        <v>3051</v>
      </c>
      <c r="D137" s="22" t="str">
        <f t="shared" si="15"/>
        <v>0#3#0|0#4#250|1#5#0|1#6#250|2#7#0|2#8#250|3#21#5</v>
      </c>
      <c r="E137" s="161"/>
    </row>
    <row r="138" spans="1:5" ht="15.75" x14ac:dyDescent="0.3">
      <c r="A138" s="22" t="s">
        <v>2915</v>
      </c>
      <c r="B138" s="22" t="s">
        <v>3036</v>
      </c>
      <c r="C138" s="23" t="s">
        <v>3052</v>
      </c>
      <c r="D138" s="22" t="str">
        <f t="shared" si="15"/>
        <v>0#3#0|0#4#300|1#5#0|1#6#300|2#7#0|2#8#300|3#21#6</v>
      </c>
      <c r="E138" s="161"/>
    </row>
    <row r="139" spans="1:5" ht="15.75" x14ac:dyDescent="0.3">
      <c r="A139" s="22" t="s">
        <v>2915</v>
      </c>
      <c r="B139" s="22" t="s">
        <v>3036</v>
      </c>
      <c r="C139" s="23" t="s">
        <v>3053</v>
      </c>
      <c r="D139" s="22" t="str">
        <f t="shared" si="15"/>
        <v>0#3#0|0#4#350|1#5#0|1#6#350|2#7#0|2#8#350|3#21#7</v>
      </c>
      <c r="E139" s="161"/>
    </row>
    <row r="140" spans="1:5" ht="15.75" x14ac:dyDescent="0.3">
      <c r="A140" s="22" t="s">
        <v>2915</v>
      </c>
      <c r="B140" s="22" t="s">
        <v>3036</v>
      </c>
      <c r="C140" s="23" t="s">
        <v>3054</v>
      </c>
      <c r="D140" s="22" t="str">
        <f t="shared" si="15"/>
        <v>0#3#0|0#4#400|1#5#0|1#6#400|2#7#0|2#8#400|3#21#8</v>
      </c>
      <c r="E140" s="161"/>
    </row>
    <row r="141" spans="1:5" ht="15.75" x14ac:dyDescent="0.3">
      <c r="A141" s="22" t="s">
        <v>2915</v>
      </c>
      <c r="B141" s="22" t="s">
        <v>3036</v>
      </c>
      <c r="C141" s="23" t="s">
        <v>3055</v>
      </c>
      <c r="D141" s="22" t="str">
        <f t="shared" si="15"/>
        <v>0#3#0|0#4#450|1#5#0|1#6#450|2#7#0|2#8#450|3#21#9</v>
      </c>
      <c r="E141" s="161"/>
    </row>
    <row r="142" spans="1:5" ht="15.75" x14ac:dyDescent="0.3">
      <c r="A142" s="22" t="s">
        <v>2915</v>
      </c>
      <c r="B142" s="22" t="s">
        <v>3036</v>
      </c>
      <c r="C142" s="23" t="s">
        <v>3056</v>
      </c>
      <c r="D142" s="22" t="str">
        <f>"0#3#"&amp;0&amp;"|"&amp;"0#4#"&amp;F13&amp;"|"&amp;"1#5#"&amp;0&amp;"|"&amp;"1#6#"&amp;F13&amp;"|"&amp;"2#7#"&amp;0&amp;"|"&amp;"2#8#"&amp;F13&amp;"|"&amp;"3#21#"&amp;J13</f>
        <v>0#3#0|0#4#500|1#5#0|1#6#500|2#7#0|2#8#500|3#21#10</v>
      </c>
      <c r="E142" s="161"/>
    </row>
    <row r="143" spans="1:5" ht="15.75" x14ac:dyDescent="0.3">
      <c r="A143" s="22" t="s">
        <v>2915</v>
      </c>
      <c r="B143" s="22" t="s">
        <v>3036</v>
      </c>
      <c r="C143" s="23" t="s">
        <v>3057</v>
      </c>
      <c r="D143" s="22" t="str">
        <f t="shared" ref="D143:D151" si="16">"0#3#"&amp;0&amp;"|"&amp;"0#4#"&amp;F4&amp;"|"&amp;"1#5#"&amp;0&amp;"|"&amp;"1#6#"&amp;F4&amp;"|"&amp;"2#7#"&amp;0&amp;"|"&amp;"2#8#"&amp;F4&amp;"|"&amp;"3#31#"&amp;J4</f>
        <v>0#3#0|0#4#50|1#5#0|1#6#50|2#7#0|2#8#50|3#31#1</v>
      </c>
      <c r="E143" s="161"/>
    </row>
    <row r="144" spans="1:5" ht="15.75" x14ac:dyDescent="0.3">
      <c r="A144" s="22" t="s">
        <v>2915</v>
      </c>
      <c r="B144" s="22" t="s">
        <v>3036</v>
      </c>
      <c r="C144" s="23" t="s">
        <v>3058</v>
      </c>
      <c r="D144" s="22" t="str">
        <f t="shared" si="16"/>
        <v>0#3#0|0#4#100|1#5#0|1#6#100|2#7#0|2#8#100|3#31#2</v>
      </c>
      <c r="E144" s="161"/>
    </row>
    <row r="145" spans="1:5" ht="15.75" x14ac:dyDescent="0.3">
      <c r="A145" s="22" t="s">
        <v>2915</v>
      </c>
      <c r="B145" s="22" t="s">
        <v>3036</v>
      </c>
      <c r="C145" s="23" t="s">
        <v>3059</v>
      </c>
      <c r="D145" s="22" t="str">
        <f t="shared" si="16"/>
        <v>0#3#0|0#4#150|1#5#0|1#6#150|2#7#0|2#8#150|3#31#3</v>
      </c>
      <c r="E145" s="161"/>
    </row>
    <row r="146" spans="1:5" ht="15.75" x14ac:dyDescent="0.3">
      <c r="A146" s="22" t="s">
        <v>2915</v>
      </c>
      <c r="B146" s="22" t="s">
        <v>3036</v>
      </c>
      <c r="C146" s="23" t="s">
        <v>3060</v>
      </c>
      <c r="D146" s="22" t="str">
        <f t="shared" si="16"/>
        <v>0#3#0|0#4#200|1#5#0|1#6#200|2#7#0|2#8#200|3#31#4</v>
      </c>
      <c r="E146" s="161"/>
    </row>
    <row r="147" spans="1:5" ht="15.75" x14ac:dyDescent="0.3">
      <c r="A147" s="22" t="s">
        <v>2915</v>
      </c>
      <c r="B147" s="22" t="s">
        <v>3036</v>
      </c>
      <c r="C147" s="23" t="s">
        <v>3061</v>
      </c>
      <c r="D147" s="22" t="str">
        <f t="shared" si="16"/>
        <v>0#3#0|0#4#250|1#5#0|1#6#250|2#7#0|2#8#250|3#31#5</v>
      </c>
      <c r="E147" s="161"/>
    </row>
    <row r="148" spans="1:5" ht="15.75" x14ac:dyDescent="0.3">
      <c r="A148" s="22" t="s">
        <v>2915</v>
      </c>
      <c r="B148" s="22" t="s">
        <v>3036</v>
      </c>
      <c r="C148" s="23" t="s">
        <v>3062</v>
      </c>
      <c r="D148" s="22" t="str">
        <f t="shared" si="16"/>
        <v>0#3#0|0#4#300|1#5#0|1#6#300|2#7#0|2#8#300|3#31#6</v>
      </c>
      <c r="E148" s="161"/>
    </row>
    <row r="149" spans="1:5" ht="15.75" x14ac:dyDescent="0.3">
      <c r="A149" s="22" t="s">
        <v>2915</v>
      </c>
      <c r="B149" s="22" t="s">
        <v>3036</v>
      </c>
      <c r="C149" s="23" t="s">
        <v>3063</v>
      </c>
      <c r="D149" s="22" t="str">
        <f t="shared" si="16"/>
        <v>0#3#0|0#4#350|1#5#0|1#6#350|2#7#0|2#8#350|3#31#7</v>
      </c>
      <c r="E149" s="161"/>
    </row>
    <row r="150" spans="1:5" ht="15.75" x14ac:dyDescent="0.3">
      <c r="A150" s="22" t="s">
        <v>2915</v>
      </c>
      <c r="B150" s="22" t="s">
        <v>3036</v>
      </c>
      <c r="C150" s="23" t="s">
        <v>3064</v>
      </c>
      <c r="D150" s="22" t="str">
        <f t="shared" si="16"/>
        <v>0#3#0|0#4#400|1#5#0|1#6#400|2#7#0|2#8#400|3#31#8</v>
      </c>
      <c r="E150" s="161"/>
    </row>
    <row r="151" spans="1:5" ht="15.75" x14ac:dyDescent="0.3">
      <c r="A151" s="22" t="s">
        <v>2915</v>
      </c>
      <c r="B151" s="22" t="s">
        <v>3036</v>
      </c>
      <c r="C151" s="23" t="s">
        <v>3065</v>
      </c>
      <c r="D151" s="22" t="str">
        <f t="shared" si="16"/>
        <v>0#3#0|0#4#450|1#5#0|1#6#450|2#7#0|2#8#450|3#31#9</v>
      </c>
      <c r="E151" s="161"/>
    </row>
    <row r="152" spans="1:5" ht="15.75" x14ac:dyDescent="0.3">
      <c r="A152" s="22" t="s">
        <v>2915</v>
      </c>
      <c r="B152" s="22" t="s">
        <v>3036</v>
      </c>
      <c r="C152" s="23" t="s">
        <v>3066</v>
      </c>
      <c r="D152" s="22" t="str">
        <f>"0#3#"&amp;0&amp;"|"&amp;"0#4#"&amp;F13&amp;"|"&amp;"1#5#"&amp;0&amp;"|"&amp;"1#6#"&amp;F13&amp;"|"&amp;"2#7#"&amp;0&amp;"|"&amp;"2#8#"&amp;F13&amp;"|"&amp;"3#31#"&amp;J13</f>
        <v>0#3#0|0#4#500|1#5#0|1#6#500|2#7#0|2#8#500|3#31#10</v>
      </c>
      <c r="E152" s="161"/>
    </row>
    <row r="153" spans="1:5" ht="15.75" x14ac:dyDescent="0.3">
      <c r="A153" s="22" t="s">
        <v>2915</v>
      </c>
      <c r="B153" s="22" t="s">
        <v>3036</v>
      </c>
      <c r="C153" s="23" t="s">
        <v>3067</v>
      </c>
      <c r="D153" s="22" t="str">
        <f t="shared" ref="D153:D161" si="17">"0#3#"&amp;0&amp;"|"&amp;"0#4#"&amp;F4&amp;"|"&amp;"1#5#"&amp;0&amp;"|"&amp;"1#6#"&amp;F4&amp;"|"&amp;"2#7#"&amp;0&amp;"|"&amp;"2#8#"&amp;F4&amp;"|"&amp;"3#25#"&amp;J4</f>
        <v>0#3#0|0#4#50|1#5#0|1#6#50|2#7#0|2#8#50|3#25#1</v>
      </c>
      <c r="E153" s="161"/>
    </row>
    <row r="154" spans="1:5" ht="15.75" x14ac:dyDescent="0.3">
      <c r="A154" s="22" t="s">
        <v>2915</v>
      </c>
      <c r="B154" s="22" t="s">
        <v>3036</v>
      </c>
      <c r="C154" s="23" t="s">
        <v>3068</v>
      </c>
      <c r="D154" s="22" t="str">
        <f t="shared" si="17"/>
        <v>0#3#0|0#4#100|1#5#0|1#6#100|2#7#0|2#8#100|3#25#2</v>
      </c>
      <c r="E154" s="161"/>
    </row>
    <row r="155" spans="1:5" ht="15.75" x14ac:dyDescent="0.3">
      <c r="A155" s="22" t="s">
        <v>2915</v>
      </c>
      <c r="B155" s="22" t="s">
        <v>3036</v>
      </c>
      <c r="C155" s="23" t="s">
        <v>3069</v>
      </c>
      <c r="D155" s="22" t="str">
        <f t="shared" si="17"/>
        <v>0#3#0|0#4#150|1#5#0|1#6#150|2#7#0|2#8#150|3#25#3</v>
      </c>
      <c r="E155" s="161"/>
    </row>
    <row r="156" spans="1:5" ht="15.75" x14ac:dyDescent="0.3">
      <c r="A156" s="22" t="s">
        <v>2915</v>
      </c>
      <c r="B156" s="22" t="s">
        <v>3036</v>
      </c>
      <c r="C156" s="23" t="s">
        <v>3070</v>
      </c>
      <c r="D156" s="22" t="str">
        <f t="shared" si="17"/>
        <v>0#3#0|0#4#200|1#5#0|1#6#200|2#7#0|2#8#200|3#25#4</v>
      </c>
      <c r="E156" s="161"/>
    </row>
    <row r="157" spans="1:5" ht="15.75" x14ac:dyDescent="0.3">
      <c r="A157" s="22" t="s">
        <v>2915</v>
      </c>
      <c r="B157" s="22" t="s">
        <v>3036</v>
      </c>
      <c r="C157" s="23" t="s">
        <v>3071</v>
      </c>
      <c r="D157" s="22" t="str">
        <f t="shared" si="17"/>
        <v>0#3#0|0#4#250|1#5#0|1#6#250|2#7#0|2#8#250|3#25#5</v>
      </c>
      <c r="E157" s="161"/>
    </row>
    <row r="158" spans="1:5" ht="15.75" x14ac:dyDescent="0.3">
      <c r="A158" s="22" t="s">
        <v>2915</v>
      </c>
      <c r="B158" s="22" t="s">
        <v>3036</v>
      </c>
      <c r="C158" s="23" t="s">
        <v>3072</v>
      </c>
      <c r="D158" s="22" t="str">
        <f t="shared" si="17"/>
        <v>0#3#0|0#4#300|1#5#0|1#6#300|2#7#0|2#8#300|3#25#6</v>
      </c>
      <c r="E158" s="161"/>
    </row>
    <row r="159" spans="1:5" ht="15.75" x14ac:dyDescent="0.3">
      <c r="A159" s="22" t="s">
        <v>2915</v>
      </c>
      <c r="B159" s="22" t="s">
        <v>3036</v>
      </c>
      <c r="C159" s="23" t="s">
        <v>3073</v>
      </c>
      <c r="D159" s="22" t="str">
        <f t="shared" si="17"/>
        <v>0#3#0|0#4#350|1#5#0|1#6#350|2#7#0|2#8#350|3#25#7</v>
      </c>
      <c r="E159" s="161"/>
    </row>
    <row r="160" spans="1:5" ht="15.75" x14ac:dyDescent="0.3">
      <c r="A160" s="22" t="s">
        <v>2915</v>
      </c>
      <c r="B160" s="22" t="s">
        <v>3036</v>
      </c>
      <c r="C160" s="23" t="s">
        <v>3074</v>
      </c>
      <c r="D160" s="22" t="str">
        <f t="shared" si="17"/>
        <v>0#3#0|0#4#400|1#5#0|1#6#400|2#7#0|2#8#400|3#25#8</v>
      </c>
      <c r="E160" s="161"/>
    </row>
    <row r="161" spans="1:5" ht="15.75" x14ac:dyDescent="0.3">
      <c r="A161" s="22" t="s">
        <v>2915</v>
      </c>
      <c r="B161" s="22" t="s">
        <v>3036</v>
      </c>
      <c r="C161" s="23" t="s">
        <v>3075</v>
      </c>
      <c r="D161" s="22" t="str">
        <f t="shared" si="17"/>
        <v>0#3#0|0#4#450|1#5#0|1#6#450|2#7#0|2#8#450|3#25#9</v>
      </c>
      <c r="E161" s="161"/>
    </row>
    <row r="162" spans="1:5" ht="15.75" x14ac:dyDescent="0.3">
      <c r="A162" s="22" t="s">
        <v>2915</v>
      </c>
      <c r="B162" s="22" t="s">
        <v>3036</v>
      </c>
      <c r="C162" s="23" t="s">
        <v>3076</v>
      </c>
      <c r="D162" s="22" t="str">
        <f>"0#3#"&amp;0&amp;"|"&amp;"0#4#"&amp;F13&amp;"|"&amp;"1#5#"&amp;0&amp;"|"&amp;"1#6#"&amp;F13&amp;"|"&amp;"2#7#"&amp;0&amp;"|"&amp;"2#8#"&amp;F13&amp;"|"&amp;"3#25#"&amp;J13</f>
        <v>0#3#0|0#4#500|1#5#0|1#6#500|2#7#0|2#8#500|3#25#10</v>
      </c>
      <c r="E162" s="161"/>
    </row>
    <row r="163" spans="1:5" ht="15.75" x14ac:dyDescent="0.3">
      <c r="A163" s="22" t="s">
        <v>2915</v>
      </c>
      <c r="B163" s="22" t="s">
        <v>3036</v>
      </c>
      <c r="C163" s="23" t="s">
        <v>3077</v>
      </c>
      <c r="D163" s="22" t="str">
        <f t="shared" ref="D163:D171" si="18">"0#3#"&amp;0&amp;"|"&amp;"0#4#"&amp;F4&amp;"|"&amp;"1#5#"&amp;0&amp;"|"&amp;"1#6#"&amp;F4&amp;"|"&amp;"2#7#"&amp;0&amp;"|"&amp;"2#8#"&amp;F4&amp;"|"&amp;"3#34#"&amp;100*J4</f>
        <v>0#3#0|0#4#50|1#5#0|1#6#50|2#7#0|2#8#50|3#34#100</v>
      </c>
      <c r="E163" s="161"/>
    </row>
    <row r="164" spans="1:5" ht="15.75" x14ac:dyDescent="0.3">
      <c r="A164" s="22" t="s">
        <v>2915</v>
      </c>
      <c r="B164" s="22" t="s">
        <v>3036</v>
      </c>
      <c r="C164" s="23" t="s">
        <v>3078</v>
      </c>
      <c r="D164" s="22" t="str">
        <f t="shared" si="18"/>
        <v>0#3#0|0#4#100|1#5#0|1#6#100|2#7#0|2#8#100|3#34#200</v>
      </c>
      <c r="E164" s="161"/>
    </row>
    <row r="165" spans="1:5" ht="15.75" x14ac:dyDescent="0.3">
      <c r="A165" s="22" t="s">
        <v>2915</v>
      </c>
      <c r="B165" s="22" t="s">
        <v>3036</v>
      </c>
      <c r="C165" s="23" t="s">
        <v>3079</v>
      </c>
      <c r="D165" s="22" t="str">
        <f t="shared" si="18"/>
        <v>0#3#0|0#4#150|1#5#0|1#6#150|2#7#0|2#8#150|3#34#300</v>
      </c>
      <c r="E165" s="161"/>
    </row>
    <row r="166" spans="1:5" ht="15.75" x14ac:dyDescent="0.3">
      <c r="A166" s="22" t="s">
        <v>2915</v>
      </c>
      <c r="B166" s="22" t="s">
        <v>3036</v>
      </c>
      <c r="C166" s="23" t="s">
        <v>3080</v>
      </c>
      <c r="D166" s="22" t="str">
        <f t="shared" si="18"/>
        <v>0#3#0|0#4#200|1#5#0|1#6#200|2#7#0|2#8#200|3#34#400</v>
      </c>
      <c r="E166" s="161"/>
    </row>
    <row r="167" spans="1:5" ht="15.75" x14ac:dyDescent="0.3">
      <c r="A167" s="22" t="s">
        <v>2915</v>
      </c>
      <c r="B167" s="22" t="s">
        <v>3036</v>
      </c>
      <c r="C167" s="23" t="s">
        <v>3081</v>
      </c>
      <c r="D167" s="22" t="str">
        <f t="shared" si="18"/>
        <v>0#3#0|0#4#250|1#5#0|1#6#250|2#7#0|2#8#250|3#34#500</v>
      </c>
      <c r="E167" s="161"/>
    </row>
    <row r="168" spans="1:5" ht="15.75" x14ac:dyDescent="0.3">
      <c r="A168" s="22" t="s">
        <v>2915</v>
      </c>
      <c r="B168" s="22" t="s">
        <v>3036</v>
      </c>
      <c r="C168" s="23" t="s">
        <v>3082</v>
      </c>
      <c r="D168" s="22" t="str">
        <f t="shared" si="18"/>
        <v>0#3#0|0#4#300|1#5#0|1#6#300|2#7#0|2#8#300|3#34#600</v>
      </c>
      <c r="E168" s="161"/>
    </row>
    <row r="169" spans="1:5" ht="15.75" x14ac:dyDescent="0.3">
      <c r="A169" s="22" t="s">
        <v>2915</v>
      </c>
      <c r="B169" s="22" t="s">
        <v>3036</v>
      </c>
      <c r="C169" s="23" t="s">
        <v>3083</v>
      </c>
      <c r="D169" s="22" t="str">
        <f t="shared" si="18"/>
        <v>0#3#0|0#4#350|1#5#0|1#6#350|2#7#0|2#8#350|3#34#700</v>
      </c>
      <c r="E169" s="161"/>
    </row>
    <row r="170" spans="1:5" ht="15.75" x14ac:dyDescent="0.3">
      <c r="A170" s="22" t="s">
        <v>2915</v>
      </c>
      <c r="B170" s="22" t="s">
        <v>3036</v>
      </c>
      <c r="C170" s="23" t="s">
        <v>3084</v>
      </c>
      <c r="D170" s="22" t="str">
        <f t="shared" si="18"/>
        <v>0#3#0|0#4#400|1#5#0|1#6#400|2#7#0|2#8#400|3#34#800</v>
      </c>
      <c r="E170" s="161"/>
    </row>
    <row r="171" spans="1:5" ht="15.75" x14ac:dyDescent="0.3">
      <c r="A171" s="22" t="s">
        <v>2915</v>
      </c>
      <c r="B171" s="22" t="s">
        <v>3036</v>
      </c>
      <c r="C171" s="23" t="s">
        <v>3085</v>
      </c>
      <c r="D171" s="22" t="str">
        <f t="shared" si="18"/>
        <v>0#3#0|0#4#450|1#5#0|1#6#450|2#7#0|2#8#450|3#34#900</v>
      </c>
      <c r="E171" s="161"/>
    </row>
    <row r="172" spans="1:5" ht="15.75" x14ac:dyDescent="0.3">
      <c r="A172" s="22" t="s">
        <v>2915</v>
      </c>
      <c r="B172" s="22" t="s">
        <v>3036</v>
      </c>
      <c r="C172" s="23" t="s">
        <v>3086</v>
      </c>
      <c r="D172" s="22" t="str">
        <f>"0#3#"&amp;0&amp;"|"&amp;"0#4#"&amp;F13&amp;"|"&amp;"1#5#"&amp;0&amp;"|"&amp;"1#6#"&amp;F13&amp;"|"&amp;"2#7#"&amp;0&amp;"|"&amp;"2#8#"&amp;F13&amp;"|"&amp;"3#34#"&amp;100*J13</f>
        <v>0#3#0|0#4#500|1#5#0|1#6#500|2#7#0|2#8#500|3#34#1000</v>
      </c>
      <c r="E172" s="161"/>
    </row>
    <row r="173" spans="1:5" ht="15.75" x14ac:dyDescent="0.3">
      <c r="A173" s="22" t="s">
        <v>2915</v>
      </c>
      <c r="B173" s="22" t="s">
        <v>3036</v>
      </c>
      <c r="C173" s="23" t="s">
        <v>3087</v>
      </c>
      <c r="D173" s="22" t="str">
        <f t="shared" ref="D173:D181" si="19">"0#3#"&amp;0&amp;"|"&amp;"0#4#"&amp;F4&amp;"|"&amp;"1#5#"&amp;0&amp;"|"&amp;"1#6#"&amp;F4&amp;"|"&amp;"2#7#"&amp;0&amp;"|"&amp;"2#8#"&amp;F4&amp;"|"&amp;"3#40#"&amp;100*J4</f>
        <v>0#3#0|0#4#50|1#5#0|1#6#50|2#7#0|2#8#50|3#40#100</v>
      </c>
      <c r="E173" s="161"/>
    </row>
    <row r="174" spans="1:5" ht="15.75" x14ac:dyDescent="0.3">
      <c r="A174" s="22" t="s">
        <v>2915</v>
      </c>
      <c r="B174" s="22" t="s">
        <v>3036</v>
      </c>
      <c r="C174" s="23" t="s">
        <v>3088</v>
      </c>
      <c r="D174" s="22" t="str">
        <f t="shared" si="19"/>
        <v>0#3#0|0#4#100|1#5#0|1#6#100|2#7#0|2#8#100|3#40#200</v>
      </c>
      <c r="E174" s="161"/>
    </row>
    <row r="175" spans="1:5" ht="15.75" x14ac:dyDescent="0.3">
      <c r="A175" s="22" t="s">
        <v>2915</v>
      </c>
      <c r="B175" s="22" t="s">
        <v>3036</v>
      </c>
      <c r="C175" s="23" t="s">
        <v>3089</v>
      </c>
      <c r="D175" s="22" t="str">
        <f t="shared" si="19"/>
        <v>0#3#0|0#4#150|1#5#0|1#6#150|2#7#0|2#8#150|3#40#300</v>
      </c>
      <c r="E175" s="161"/>
    </row>
    <row r="176" spans="1:5" ht="15.75" x14ac:dyDescent="0.3">
      <c r="A176" s="22" t="s">
        <v>2915</v>
      </c>
      <c r="B176" s="22" t="s">
        <v>3036</v>
      </c>
      <c r="C176" s="23" t="s">
        <v>3090</v>
      </c>
      <c r="D176" s="22" t="str">
        <f t="shared" si="19"/>
        <v>0#3#0|0#4#200|1#5#0|1#6#200|2#7#0|2#8#200|3#40#400</v>
      </c>
      <c r="E176" s="161"/>
    </row>
    <row r="177" spans="1:5" ht="15.75" x14ac:dyDescent="0.3">
      <c r="A177" s="22" t="s">
        <v>2915</v>
      </c>
      <c r="B177" s="22" t="s">
        <v>3036</v>
      </c>
      <c r="C177" s="23" t="s">
        <v>3091</v>
      </c>
      <c r="D177" s="22" t="str">
        <f t="shared" si="19"/>
        <v>0#3#0|0#4#250|1#5#0|1#6#250|2#7#0|2#8#250|3#40#500</v>
      </c>
      <c r="E177" s="161"/>
    </row>
    <row r="178" spans="1:5" ht="15.75" x14ac:dyDescent="0.3">
      <c r="A178" s="22" t="s">
        <v>2915</v>
      </c>
      <c r="B178" s="22" t="s">
        <v>3036</v>
      </c>
      <c r="C178" s="23" t="s">
        <v>3092</v>
      </c>
      <c r="D178" s="22" t="str">
        <f t="shared" si="19"/>
        <v>0#3#0|0#4#300|1#5#0|1#6#300|2#7#0|2#8#300|3#40#600</v>
      </c>
      <c r="E178" s="161"/>
    </row>
    <row r="179" spans="1:5" ht="15.75" x14ac:dyDescent="0.3">
      <c r="A179" s="22" t="s">
        <v>2915</v>
      </c>
      <c r="B179" s="22" t="s">
        <v>3036</v>
      </c>
      <c r="C179" s="23" t="s">
        <v>3093</v>
      </c>
      <c r="D179" s="22" t="str">
        <f t="shared" si="19"/>
        <v>0#3#0|0#4#350|1#5#0|1#6#350|2#7#0|2#8#350|3#40#700</v>
      </c>
      <c r="E179" s="161"/>
    </row>
    <row r="180" spans="1:5" ht="15.75" x14ac:dyDescent="0.3">
      <c r="A180" s="22" t="s">
        <v>2915</v>
      </c>
      <c r="B180" s="22" t="s">
        <v>3036</v>
      </c>
      <c r="C180" s="23" t="s">
        <v>3094</v>
      </c>
      <c r="D180" s="22" t="str">
        <f t="shared" si="19"/>
        <v>0#3#0|0#4#400|1#5#0|1#6#400|2#7#0|2#8#400|3#40#800</v>
      </c>
      <c r="E180" s="161"/>
    </row>
    <row r="181" spans="1:5" ht="15.75" x14ac:dyDescent="0.3">
      <c r="A181" s="22" t="s">
        <v>2915</v>
      </c>
      <c r="B181" s="22" t="s">
        <v>3036</v>
      </c>
      <c r="C181" s="23" t="s">
        <v>3095</v>
      </c>
      <c r="D181" s="22" t="str">
        <f t="shared" si="19"/>
        <v>0#3#0|0#4#450|1#5#0|1#6#450|2#7#0|2#8#450|3#40#900</v>
      </c>
      <c r="E181" s="161"/>
    </row>
    <row r="182" spans="1:5" ht="15.75" x14ac:dyDescent="0.3">
      <c r="A182" s="22" t="s">
        <v>2915</v>
      </c>
      <c r="B182" s="22" t="s">
        <v>3036</v>
      </c>
      <c r="C182" s="23" t="s">
        <v>3096</v>
      </c>
      <c r="D182" s="22" t="str">
        <f>"0#3#"&amp;0&amp;"|"&amp;"0#4#"&amp;F13&amp;"|"&amp;"1#5#"&amp;0&amp;"|"&amp;"1#6#"&amp;F13&amp;"|"&amp;"2#7#"&amp;0&amp;"|"&amp;"2#8#"&amp;F13&amp;"|"&amp;"3#40#"&amp;100*J13</f>
        <v>0#3#0|0#4#500|1#5#0|1#6#500|2#7#0|2#8#500|3#40#1000</v>
      </c>
      <c r="E182" s="161"/>
    </row>
    <row r="183" spans="1:5" ht="15.75" x14ac:dyDescent="0.3">
      <c r="A183" s="22" t="s">
        <v>2915</v>
      </c>
      <c r="B183" s="22" t="s">
        <v>3036</v>
      </c>
      <c r="C183" s="23" t="s">
        <v>3097</v>
      </c>
      <c r="D183" s="22" t="str">
        <f t="shared" ref="D183:D191" si="20">"0#3#"&amp;0&amp;"|"&amp;"0#4#"&amp;F4&amp;"|"&amp;"1#5#"&amp;0&amp;"|"&amp;"1#6#"&amp;F4&amp;"|"&amp;"2#7#"&amp;0&amp;"|"&amp;"2#8#"&amp;F4&amp;"|"&amp;"3#65#"&amp;100*J4</f>
        <v>0#3#0|0#4#50|1#5#0|1#6#50|2#7#0|2#8#50|3#65#100</v>
      </c>
      <c r="E183" s="161"/>
    </row>
    <row r="184" spans="1:5" ht="15.75" x14ac:dyDescent="0.3">
      <c r="A184" s="22" t="s">
        <v>2915</v>
      </c>
      <c r="B184" s="22" t="s">
        <v>3036</v>
      </c>
      <c r="C184" s="23" t="s">
        <v>3098</v>
      </c>
      <c r="D184" s="22" t="str">
        <f t="shared" si="20"/>
        <v>0#3#0|0#4#100|1#5#0|1#6#100|2#7#0|2#8#100|3#65#200</v>
      </c>
      <c r="E184" s="161"/>
    </row>
    <row r="185" spans="1:5" ht="15.75" x14ac:dyDescent="0.3">
      <c r="A185" s="22" t="s">
        <v>2915</v>
      </c>
      <c r="B185" s="22" t="s">
        <v>3036</v>
      </c>
      <c r="C185" s="23" t="s">
        <v>3099</v>
      </c>
      <c r="D185" s="22" t="str">
        <f t="shared" si="20"/>
        <v>0#3#0|0#4#150|1#5#0|1#6#150|2#7#0|2#8#150|3#65#300</v>
      </c>
      <c r="E185" s="161"/>
    </row>
    <row r="186" spans="1:5" ht="15.75" x14ac:dyDescent="0.3">
      <c r="A186" s="22" t="s">
        <v>2915</v>
      </c>
      <c r="B186" s="22" t="s">
        <v>3036</v>
      </c>
      <c r="C186" s="23" t="s">
        <v>3100</v>
      </c>
      <c r="D186" s="22" t="str">
        <f t="shared" si="20"/>
        <v>0#3#0|0#4#200|1#5#0|1#6#200|2#7#0|2#8#200|3#65#400</v>
      </c>
      <c r="E186" s="161"/>
    </row>
    <row r="187" spans="1:5" ht="15.75" x14ac:dyDescent="0.3">
      <c r="A187" s="22" t="s">
        <v>2915</v>
      </c>
      <c r="B187" s="22" t="s">
        <v>3036</v>
      </c>
      <c r="C187" s="23" t="s">
        <v>3101</v>
      </c>
      <c r="D187" s="22" t="str">
        <f t="shared" si="20"/>
        <v>0#3#0|0#4#250|1#5#0|1#6#250|2#7#0|2#8#250|3#65#500</v>
      </c>
      <c r="E187" s="161"/>
    </row>
    <row r="188" spans="1:5" ht="15.75" x14ac:dyDescent="0.3">
      <c r="A188" s="22" t="s">
        <v>2915</v>
      </c>
      <c r="B188" s="22" t="s">
        <v>3036</v>
      </c>
      <c r="C188" s="23" t="s">
        <v>3102</v>
      </c>
      <c r="D188" s="22" t="str">
        <f t="shared" si="20"/>
        <v>0#3#0|0#4#300|1#5#0|1#6#300|2#7#0|2#8#300|3#65#600</v>
      </c>
      <c r="E188" s="161"/>
    </row>
    <row r="189" spans="1:5" ht="15.75" x14ac:dyDescent="0.3">
      <c r="A189" s="22" t="s">
        <v>2915</v>
      </c>
      <c r="B189" s="22" t="s">
        <v>3036</v>
      </c>
      <c r="C189" s="23" t="s">
        <v>3103</v>
      </c>
      <c r="D189" s="22" t="str">
        <f t="shared" si="20"/>
        <v>0#3#0|0#4#350|1#5#0|1#6#350|2#7#0|2#8#350|3#65#700</v>
      </c>
      <c r="E189" s="161"/>
    </row>
    <row r="190" spans="1:5" ht="15.75" x14ac:dyDescent="0.3">
      <c r="A190" s="22" t="s">
        <v>2915</v>
      </c>
      <c r="B190" s="22" t="s">
        <v>3036</v>
      </c>
      <c r="C190" s="23" t="s">
        <v>3104</v>
      </c>
      <c r="D190" s="22" t="str">
        <f t="shared" si="20"/>
        <v>0#3#0|0#4#400|1#5#0|1#6#400|2#7#0|2#8#400|3#65#800</v>
      </c>
      <c r="E190" s="161"/>
    </row>
    <row r="191" spans="1:5" ht="15.75" x14ac:dyDescent="0.3">
      <c r="A191" s="22" t="s">
        <v>2915</v>
      </c>
      <c r="B191" s="22" t="s">
        <v>3036</v>
      </c>
      <c r="C191" s="23" t="s">
        <v>3105</v>
      </c>
      <c r="D191" s="22" t="str">
        <f t="shared" si="20"/>
        <v>0#3#0|0#4#450|1#5#0|1#6#450|2#7#0|2#8#450|3#65#900</v>
      </c>
      <c r="E191" s="161"/>
    </row>
    <row r="192" spans="1:5" ht="15.75" x14ac:dyDescent="0.3">
      <c r="A192" s="22" t="s">
        <v>2915</v>
      </c>
      <c r="B192" s="22" t="s">
        <v>3036</v>
      </c>
      <c r="C192" s="23" t="s">
        <v>3106</v>
      </c>
      <c r="D192" s="22" t="str">
        <f>"0#3#"&amp;0&amp;"|"&amp;"0#4#"&amp;F13&amp;"|"&amp;"1#5#"&amp;0&amp;"|"&amp;"1#6#"&amp;F13&amp;"|"&amp;"2#7#"&amp;0&amp;"|"&amp;"2#8#"&amp;F13&amp;"|"&amp;"3#65#"&amp;100*J13</f>
        <v>0#3#0|0#4#500|1#5#0|1#6#500|2#7#0|2#8#500|3#65#1000</v>
      </c>
      <c r="E192" s="161"/>
    </row>
    <row r="193" spans="1:5" ht="15.75" x14ac:dyDescent="0.3">
      <c r="A193" s="22" t="s">
        <v>2915</v>
      </c>
      <c r="B193" s="22" t="s">
        <v>3036</v>
      </c>
      <c r="C193" s="23" t="s">
        <v>3107</v>
      </c>
      <c r="D193" s="22" t="str">
        <f t="shared" ref="D193:D201" si="21">"0#3#"&amp;0&amp;"|"&amp;"0#4#"&amp;F4&amp;"|"&amp;"1#5#"&amp;0&amp;"|"&amp;"1#6#"&amp;F4&amp;"|"&amp;"2#7#"&amp;0&amp;"|"&amp;"2#8#"&amp;F4&amp;"|"&amp;"3#82#"&amp;100*J4</f>
        <v>0#3#0|0#4#50|1#5#0|1#6#50|2#7#0|2#8#50|3#82#100</v>
      </c>
      <c r="E193" s="161"/>
    </row>
    <row r="194" spans="1:5" ht="15.75" x14ac:dyDescent="0.3">
      <c r="A194" s="22" t="s">
        <v>2915</v>
      </c>
      <c r="B194" s="22" t="s">
        <v>3036</v>
      </c>
      <c r="C194" s="23" t="s">
        <v>3108</v>
      </c>
      <c r="D194" s="22" t="str">
        <f t="shared" si="21"/>
        <v>0#3#0|0#4#100|1#5#0|1#6#100|2#7#0|2#8#100|3#82#200</v>
      </c>
      <c r="E194" s="161"/>
    </row>
    <row r="195" spans="1:5" ht="15.75" x14ac:dyDescent="0.3">
      <c r="A195" s="22" t="s">
        <v>2915</v>
      </c>
      <c r="B195" s="22" t="s">
        <v>3036</v>
      </c>
      <c r="C195" s="23" t="s">
        <v>3109</v>
      </c>
      <c r="D195" s="22" t="str">
        <f t="shared" si="21"/>
        <v>0#3#0|0#4#150|1#5#0|1#6#150|2#7#0|2#8#150|3#82#300</v>
      </c>
      <c r="E195" s="161"/>
    </row>
    <row r="196" spans="1:5" ht="15.75" x14ac:dyDescent="0.3">
      <c r="A196" s="22" t="s">
        <v>2915</v>
      </c>
      <c r="B196" s="22" t="s">
        <v>3036</v>
      </c>
      <c r="C196" s="23" t="s">
        <v>3110</v>
      </c>
      <c r="D196" s="22" t="str">
        <f t="shared" si="21"/>
        <v>0#3#0|0#4#200|1#5#0|1#6#200|2#7#0|2#8#200|3#82#400</v>
      </c>
      <c r="E196" s="161"/>
    </row>
    <row r="197" spans="1:5" ht="15.75" x14ac:dyDescent="0.3">
      <c r="A197" s="22" t="s">
        <v>2915</v>
      </c>
      <c r="B197" s="22" t="s">
        <v>3036</v>
      </c>
      <c r="C197" s="23" t="s">
        <v>3111</v>
      </c>
      <c r="D197" s="22" t="str">
        <f t="shared" si="21"/>
        <v>0#3#0|0#4#250|1#5#0|1#6#250|2#7#0|2#8#250|3#82#500</v>
      </c>
      <c r="E197" s="161"/>
    </row>
    <row r="198" spans="1:5" ht="15.75" x14ac:dyDescent="0.3">
      <c r="A198" s="22" t="s">
        <v>2915</v>
      </c>
      <c r="B198" s="22" t="s">
        <v>3036</v>
      </c>
      <c r="C198" s="23" t="s">
        <v>3112</v>
      </c>
      <c r="D198" s="22" t="str">
        <f t="shared" si="21"/>
        <v>0#3#0|0#4#300|1#5#0|1#6#300|2#7#0|2#8#300|3#82#600</v>
      </c>
      <c r="E198" s="161"/>
    </row>
    <row r="199" spans="1:5" ht="15.75" x14ac:dyDescent="0.3">
      <c r="A199" s="22" t="s">
        <v>2915</v>
      </c>
      <c r="B199" s="22" t="s">
        <v>3036</v>
      </c>
      <c r="C199" s="23" t="s">
        <v>3113</v>
      </c>
      <c r="D199" s="22" t="str">
        <f t="shared" si="21"/>
        <v>0#3#0|0#4#350|1#5#0|1#6#350|2#7#0|2#8#350|3#82#700</v>
      </c>
      <c r="E199" s="161"/>
    </row>
    <row r="200" spans="1:5" ht="15.75" x14ac:dyDescent="0.3">
      <c r="A200" s="22" t="s">
        <v>2915</v>
      </c>
      <c r="B200" s="22" t="s">
        <v>3036</v>
      </c>
      <c r="C200" s="23" t="s">
        <v>3114</v>
      </c>
      <c r="D200" s="22" t="str">
        <f t="shared" si="21"/>
        <v>0#3#0|0#4#400|1#5#0|1#6#400|2#7#0|2#8#400|3#82#800</v>
      </c>
      <c r="E200" s="161"/>
    </row>
    <row r="201" spans="1:5" ht="15.75" x14ac:dyDescent="0.3">
      <c r="A201" s="22" t="s">
        <v>2915</v>
      </c>
      <c r="B201" s="22" t="s">
        <v>3036</v>
      </c>
      <c r="C201" s="23" t="s">
        <v>3115</v>
      </c>
      <c r="D201" s="22" t="str">
        <f t="shared" si="21"/>
        <v>0#3#0|0#4#450|1#5#0|1#6#450|2#7#0|2#8#450|3#82#900</v>
      </c>
      <c r="E201" s="161"/>
    </row>
    <row r="202" spans="1:5" ht="15.75" x14ac:dyDescent="0.3">
      <c r="A202" s="22" t="s">
        <v>2915</v>
      </c>
      <c r="B202" s="22" t="s">
        <v>3036</v>
      </c>
      <c r="C202" s="23" t="s">
        <v>3116</v>
      </c>
      <c r="D202" s="22" t="str">
        <f>"0#3#"&amp;0&amp;"|"&amp;"0#4#"&amp;F13&amp;"|"&amp;"1#5#"&amp;0&amp;"|"&amp;"1#6#"&amp;F13&amp;"|"&amp;"2#7#"&amp;0&amp;"|"&amp;"2#8#"&amp;F13&amp;"|"&amp;"3#82#"&amp;100*J13</f>
        <v>0#3#0|0#4#500|1#5#0|1#6#500|2#7#0|2#8#500|3#82#1000</v>
      </c>
      <c r="E202" s="161"/>
    </row>
    <row r="203" spans="1:5" ht="15.75" x14ac:dyDescent="0.3">
      <c r="A203" s="22" t="s">
        <v>2915</v>
      </c>
      <c r="B203" s="22" t="s">
        <v>3036</v>
      </c>
      <c r="C203" s="23" t="s">
        <v>3117</v>
      </c>
      <c r="D203" s="22" t="str">
        <f t="shared" ref="D203:D211" si="22">"0#3#"&amp;0&amp;"|"&amp;"0#4#"&amp;F4&amp;"|"&amp;"1#5#"&amp;0&amp;"|"&amp;"1#6#"&amp;F4&amp;"|"&amp;"2#7#"&amp;0&amp;"|"&amp;"2#8#"&amp;F4&amp;"|"&amp;"3#29#"&amp;J4</f>
        <v>0#3#0|0#4#50|1#5#0|1#6#50|2#7#0|2#8#50|3#29#1</v>
      </c>
      <c r="E203" s="161"/>
    </row>
    <row r="204" spans="1:5" ht="15.75" x14ac:dyDescent="0.3">
      <c r="A204" s="22" t="s">
        <v>2915</v>
      </c>
      <c r="B204" s="22" t="s">
        <v>3036</v>
      </c>
      <c r="C204" s="23" t="s">
        <v>3118</v>
      </c>
      <c r="D204" s="22" t="str">
        <f t="shared" si="22"/>
        <v>0#3#0|0#4#100|1#5#0|1#6#100|2#7#0|2#8#100|3#29#2</v>
      </c>
      <c r="E204" s="161"/>
    </row>
    <row r="205" spans="1:5" ht="15.75" x14ac:dyDescent="0.3">
      <c r="A205" s="22" t="s">
        <v>2915</v>
      </c>
      <c r="B205" s="22" t="s">
        <v>3036</v>
      </c>
      <c r="C205" s="23" t="s">
        <v>3119</v>
      </c>
      <c r="D205" s="22" t="str">
        <f t="shared" si="22"/>
        <v>0#3#0|0#4#150|1#5#0|1#6#150|2#7#0|2#8#150|3#29#3</v>
      </c>
      <c r="E205" s="161"/>
    </row>
    <row r="206" spans="1:5" ht="15.75" x14ac:dyDescent="0.3">
      <c r="A206" s="22" t="s">
        <v>2915</v>
      </c>
      <c r="B206" s="22" t="s">
        <v>3036</v>
      </c>
      <c r="C206" s="23" t="s">
        <v>3120</v>
      </c>
      <c r="D206" s="22" t="str">
        <f t="shared" si="22"/>
        <v>0#3#0|0#4#200|1#5#0|1#6#200|2#7#0|2#8#200|3#29#4</v>
      </c>
      <c r="E206" s="161"/>
    </row>
    <row r="207" spans="1:5" ht="15.75" x14ac:dyDescent="0.3">
      <c r="A207" s="22" t="s">
        <v>2915</v>
      </c>
      <c r="B207" s="22" t="s">
        <v>3036</v>
      </c>
      <c r="C207" s="23" t="s">
        <v>3121</v>
      </c>
      <c r="D207" s="22" t="str">
        <f t="shared" si="22"/>
        <v>0#3#0|0#4#250|1#5#0|1#6#250|2#7#0|2#8#250|3#29#5</v>
      </c>
      <c r="E207" s="161"/>
    </row>
    <row r="208" spans="1:5" ht="15.75" x14ac:dyDescent="0.3">
      <c r="A208" s="22" t="s">
        <v>2915</v>
      </c>
      <c r="B208" s="22" t="s">
        <v>3036</v>
      </c>
      <c r="C208" s="23" t="s">
        <v>3122</v>
      </c>
      <c r="D208" s="22" t="str">
        <f t="shared" si="22"/>
        <v>0#3#0|0#4#300|1#5#0|1#6#300|2#7#0|2#8#300|3#29#6</v>
      </c>
      <c r="E208" s="161"/>
    </row>
    <row r="209" spans="1:5" ht="15.75" x14ac:dyDescent="0.3">
      <c r="A209" s="22" t="s">
        <v>2915</v>
      </c>
      <c r="B209" s="22" t="s">
        <v>3036</v>
      </c>
      <c r="C209" s="23" t="s">
        <v>3123</v>
      </c>
      <c r="D209" s="22" t="str">
        <f t="shared" si="22"/>
        <v>0#3#0|0#4#350|1#5#0|1#6#350|2#7#0|2#8#350|3#29#7</v>
      </c>
      <c r="E209" s="161"/>
    </row>
    <row r="210" spans="1:5" ht="15.75" x14ac:dyDescent="0.3">
      <c r="A210" s="22" t="s">
        <v>2915</v>
      </c>
      <c r="B210" s="22" t="s">
        <v>3036</v>
      </c>
      <c r="C210" s="23" t="s">
        <v>3124</v>
      </c>
      <c r="D210" s="22" t="str">
        <f t="shared" si="22"/>
        <v>0#3#0|0#4#400|1#5#0|1#6#400|2#7#0|2#8#400|3#29#8</v>
      </c>
      <c r="E210" s="161"/>
    </row>
    <row r="211" spans="1:5" ht="15.75" x14ac:dyDescent="0.3">
      <c r="A211" s="22" t="s">
        <v>2915</v>
      </c>
      <c r="B211" s="22" t="s">
        <v>3036</v>
      </c>
      <c r="C211" s="23" t="s">
        <v>3125</v>
      </c>
      <c r="D211" s="22" t="str">
        <f t="shared" si="22"/>
        <v>0#3#0|0#4#450|1#5#0|1#6#450|2#7#0|2#8#450|3#29#9</v>
      </c>
      <c r="E211" s="161"/>
    </row>
    <row r="212" spans="1:5" ht="15.75" x14ac:dyDescent="0.3">
      <c r="A212" s="22" t="s">
        <v>2915</v>
      </c>
      <c r="B212" s="22" t="s">
        <v>3036</v>
      </c>
      <c r="C212" s="23" t="s">
        <v>3126</v>
      </c>
      <c r="D212" s="22" t="str">
        <f>"0#3#"&amp;0&amp;"|"&amp;"0#4#"&amp;F13&amp;"|"&amp;"1#5#"&amp;0&amp;"|"&amp;"1#6#"&amp;F13&amp;"|"&amp;"2#7#"&amp;0&amp;"|"&amp;"2#8#"&amp;F13&amp;"|"&amp;"3#29#"&amp;J13</f>
        <v>0#3#0|0#4#500|1#5#0|1#6#500|2#7#0|2#8#500|3#29#10</v>
      </c>
      <c r="E212" s="161"/>
    </row>
    <row r="213" spans="1:5" ht="15.75" x14ac:dyDescent="0.3">
      <c r="A213" s="22" t="s">
        <v>2915</v>
      </c>
      <c r="B213" s="22" t="s">
        <v>3036</v>
      </c>
      <c r="C213" s="23" t="s">
        <v>3127</v>
      </c>
      <c r="D213" s="22" t="str">
        <f t="shared" ref="D213:D221" si="23">"0#3#"&amp;0&amp;"|"&amp;"0#4#"&amp;F4&amp;"|"&amp;"1#5#"&amp;0&amp;"|"&amp;"1#6#"&amp;F4&amp;"|"&amp;"2#7#"&amp;0&amp;"|"&amp;"2#8#"&amp;F4&amp;"|"&amp;"3#30#"&amp;J4</f>
        <v>0#3#0|0#4#50|1#5#0|1#6#50|2#7#0|2#8#50|3#30#1</v>
      </c>
      <c r="E213" s="161"/>
    </row>
    <row r="214" spans="1:5" ht="15.75" x14ac:dyDescent="0.3">
      <c r="A214" s="22" t="s">
        <v>2915</v>
      </c>
      <c r="B214" s="22" t="s">
        <v>3036</v>
      </c>
      <c r="C214" s="23" t="s">
        <v>3128</v>
      </c>
      <c r="D214" s="22" t="str">
        <f t="shared" si="23"/>
        <v>0#3#0|0#4#100|1#5#0|1#6#100|2#7#0|2#8#100|3#30#2</v>
      </c>
      <c r="E214" s="161"/>
    </row>
    <row r="215" spans="1:5" ht="15.75" x14ac:dyDescent="0.3">
      <c r="A215" s="22" t="s">
        <v>2915</v>
      </c>
      <c r="B215" s="22" t="s">
        <v>3036</v>
      </c>
      <c r="C215" s="23" t="s">
        <v>3129</v>
      </c>
      <c r="D215" s="22" t="str">
        <f t="shared" si="23"/>
        <v>0#3#0|0#4#150|1#5#0|1#6#150|2#7#0|2#8#150|3#30#3</v>
      </c>
      <c r="E215" s="161"/>
    </row>
    <row r="216" spans="1:5" ht="15.75" x14ac:dyDescent="0.3">
      <c r="A216" s="22" t="s">
        <v>2915</v>
      </c>
      <c r="B216" s="22" t="s">
        <v>3036</v>
      </c>
      <c r="C216" s="23" t="s">
        <v>3130</v>
      </c>
      <c r="D216" s="22" t="str">
        <f t="shared" si="23"/>
        <v>0#3#0|0#4#200|1#5#0|1#6#200|2#7#0|2#8#200|3#30#4</v>
      </c>
      <c r="E216" s="161"/>
    </row>
    <row r="217" spans="1:5" ht="15.75" x14ac:dyDescent="0.3">
      <c r="A217" s="22" t="s">
        <v>2915</v>
      </c>
      <c r="B217" s="22" t="s">
        <v>3036</v>
      </c>
      <c r="C217" s="23" t="s">
        <v>3131</v>
      </c>
      <c r="D217" s="22" t="str">
        <f t="shared" si="23"/>
        <v>0#3#0|0#4#250|1#5#0|1#6#250|2#7#0|2#8#250|3#30#5</v>
      </c>
      <c r="E217" s="161"/>
    </row>
    <row r="218" spans="1:5" ht="15.75" x14ac:dyDescent="0.3">
      <c r="A218" s="22" t="s">
        <v>2915</v>
      </c>
      <c r="B218" s="22" t="s">
        <v>3036</v>
      </c>
      <c r="C218" s="23" t="s">
        <v>3132</v>
      </c>
      <c r="D218" s="22" t="str">
        <f t="shared" si="23"/>
        <v>0#3#0|0#4#300|1#5#0|1#6#300|2#7#0|2#8#300|3#30#6</v>
      </c>
      <c r="E218" s="161"/>
    </row>
    <row r="219" spans="1:5" ht="15.75" x14ac:dyDescent="0.3">
      <c r="A219" s="22" t="s">
        <v>2915</v>
      </c>
      <c r="B219" s="22" t="s">
        <v>3036</v>
      </c>
      <c r="C219" s="23" t="s">
        <v>3133</v>
      </c>
      <c r="D219" s="22" t="str">
        <f t="shared" si="23"/>
        <v>0#3#0|0#4#350|1#5#0|1#6#350|2#7#0|2#8#350|3#30#7</v>
      </c>
      <c r="E219" s="161"/>
    </row>
    <row r="220" spans="1:5" ht="15.75" x14ac:dyDescent="0.3">
      <c r="A220" s="22" t="s">
        <v>2915</v>
      </c>
      <c r="B220" s="22" t="s">
        <v>3036</v>
      </c>
      <c r="C220" s="23" t="s">
        <v>3134</v>
      </c>
      <c r="D220" s="22" t="str">
        <f t="shared" si="23"/>
        <v>0#3#0|0#4#400|1#5#0|1#6#400|2#7#0|2#8#400|3#30#8</v>
      </c>
      <c r="E220" s="161"/>
    </row>
    <row r="221" spans="1:5" ht="15.75" x14ac:dyDescent="0.3">
      <c r="A221" s="22" t="s">
        <v>2915</v>
      </c>
      <c r="B221" s="22" t="s">
        <v>3036</v>
      </c>
      <c r="C221" s="23" t="s">
        <v>3135</v>
      </c>
      <c r="D221" s="22" t="str">
        <f t="shared" si="23"/>
        <v>0#3#0|0#4#450|1#5#0|1#6#450|2#7#0|2#8#450|3#30#9</v>
      </c>
      <c r="E221" s="161"/>
    </row>
    <row r="222" spans="1:5" ht="15.75" x14ac:dyDescent="0.3">
      <c r="A222" s="22" t="s">
        <v>2915</v>
      </c>
      <c r="B222" s="22" t="s">
        <v>3036</v>
      </c>
      <c r="C222" s="23" t="s">
        <v>3136</v>
      </c>
      <c r="D222" s="22" t="str">
        <f>"0#3#"&amp;0&amp;"|"&amp;"0#4#"&amp;F13&amp;"|"&amp;"1#5#"&amp;0&amp;"|"&amp;"1#6#"&amp;F13&amp;"|"&amp;"2#7#"&amp;0&amp;"|"&amp;"2#8#"&amp;F13&amp;"|"&amp;"3#30#"&amp;J13</f>
        <v>0#3#0|0#4#500|1#5#0|1#6#500|2#7#0|2#8#500|3#30#10</v>
      </c>
      <c r="E222" s="161"/>
    </row>
    <row r="223" spans="1:5" ht="15.75" x14ac:dyDescent="0.3">
      <c r="A223" s="22" t="s">
        <v>2915</v>
      </c>
      <c r="B223" s="22" t="s">
        <v>3036</v>
      </c>
      <c r="C223" s="23" t="s">
        <v>3137</v>
      </c>
      <c r="D223" s="22" t="str">
        <f t="shared" ref="D223:D231" si="24">"0#3#"&amp;0&amp;"|"&amp;"0#4#"&amp;F4&amp;"|"&amp;"1#5#"&amp;0&amp;"|"&amp;"1#6#"&amp;F4&amp;"|"&amp;"2#7#"&amp;0&amp;"|"&amp;"2#8#"&amp;F4&amp;"|"&amp;"3#26#"&amp;J4</f>
        <v>0#3#0|0#4#50|1#5#0|1#6#50|2#7#0|2#8#50|3#26#1</v>
      </c>
      <c r="E223" s="161"/>
    </row>
    <row r="224" spans="1:5" ht="15.75" x14ac:dyDescent="0.3">
      <c r="A224" s="22" t="s">
        <v>2915</v>
      </c>
      <c r="B224" s="22" t="s">
        <v>3036</v>
      </c>
      <c r="C224" s="23" t="s">
        <v>3138</v>
      </c>
      <c r="D224" s="22" t="str">
        <f t="shared" si="24"/>
        <v>0#3#0|0#4#100|1#5#0|1#6#100|2#7#0|2#8#100|3#26#2</v>
      </c>
      <c r="E224" s="161"/>
    </row>
    <row r="225" spans="1:5" ht="15.75" x14ac:dyDescent="0.3">
      <c r="A225" s="22" t="s">
        <v>2915</v>
      </c>
      <c r="B225" s="22" t="s">
        <v>3036</v>
      </c>
      <c r="C225" s="23" t="s">
        <v>3139</v>
      </c>
      <c r="D225" s="22" t="str">
        <f t="shared" si="24"/>
        <v>0#3#0|0#4#150|1#5#0|1#6#150|2#7#0|2#8#150|3#26#3</v>
      </c>
      <c r="E225" s="161"/>
    </row>
    <row r="226" spans="1:5" ht="15.75" x14ac:dyDescent="0.3">
      <c r="A226" s="22" t="s">
        <v>2915</v>
      </c>
      <c r="B226" s="22" t="s">
        <v>3036</v>
      </c>
      <c r="C226" s="23" t="s">
        <v>3140</v>
      </c>
      <c r="D226" s="22" t="str">
        <f t="shared" si="24"/>
        <v>0#3#0|0#4#200|1#5#0|1#6#200|2#7#0|2#8#200|3#26#4</v>
      </c>
      <c r="E226" s="161"/>
    </row>
    <row r="227" spans="1:5" ht="15.75" x14ac:dyDescent="0.3">
      <c r="A227" s="22" t="s">
        <v>2915</v>
      </c>
      <c r="B227" s="22" t="s">
        <v>3036</v>
      </c>
      <c r="C227" s="23" t="s">
        <v>3141</v>
      </c>
      <c r="D227" s="22" t="str">
        <f t="shared" si="24"/>
        <v>0#3#0|0#4#250|1#5#0|1#6#250|2#7#0|2#8#250|3#26#5</v>
      </c>
      <c r="E227" s="161"/>
    </row>
    <row r="228" spans="1:5" ht="15.75" x14ac:dyDescent="0.3">
      <c r="A228" s="22" t="s">
        <v>2915</v>
      </c>
      <c r="B228" s="22" t="s">
        <v>3036</v>
      </c>
      <c r="C228" s="23" t="s">
        <v>3142</v>
      </c>
      <c r="D228" s="22" t="str">
        <f t="shared" si="24"/>
        <v>0#3#0|0#4#300|1#5#0|1#6#300|2#7#0|2#8#300|3#26#6</v>
      </c>
      <c r="E228" s="161"/>
    </row>
    <row r="229" spans="1:5" ht="15.75" x14ac:dyDescent="0.3">
      <c r="A229" s="22" t="s">
        <v>2915</v>
      </c>
      <c r="B229" s="22" t="s">
        <v>3036</v>
      </c>
      <c r="C229" s="23" t="s">
        <v>3143</v>
      </c>
      <c r="D229" s="22" t="str">
        <f t="shared" si="24"/>
        <v>0#3#0|0#4#350|1#5#0|1#6#350|2#7#0|2#8#350|3#26#7</v>
      </c>
      <c r="E229" s="161"/>
    </row>
    <row r="230" spans="1:5" ht="15.75" x14ac:dyDescent="0.3">
      <c r="A230" s="22" t="s">
        <v>2915</v>
      </c>
      <c r="B230" s="22" t="s">
        <v>3036</v>
      </c>
      <c r="C230" s="23" t="s">
        <v>3144</v>
      </c>
      <c r="D230" s="22" t="str">
        <f t="shared" si="24"/>
        <v>0#3#0|0#4#400|1#5#0|1#6#400|2#7#0|2#8#400|3#26#8</v>
      </c>
      <c r="E230" s="161"/>
    </row>
    <row r="231" spans="1:5" ht="15.75" x14ac:dyDescent="0.3">
      <c r="A231" s="22" t="s">
        <v>2915</v>
      </c>
      <c r="B231" s="22" t="s">
        <v>3036</v>
      </c>
      <c r="C231" s="23" t="s">
        <v>3145</v>
      </c>
      <c r="D231" s="22" t="str">
        <f t="shared" si="24"/>
        <v>0#3#0|0#4#450|1#5#0|1#6#450|2#7#0|2#8#450|3#26#9</v>
      </c>
      <c r="E231" s="161"/>
    </row>
    <row r="232" spans="1:5" ht="15.75" x14ac:dyDescent="0.3">
      <c r="A232" s="22" t="s">
        <v>2915</v>
      </c>
      <c r="B232" s="22" t="s">
        <v>3036</v>
      </c>
      <c r="C232" s="23" t="s">
        <v>3146</v>
      </c>
      <c r="D232" s="22" t="str">
        <f>"0#3#"&amp;0&amp;"|"&amp;"0#4#"&amp;F13&amp;"|"&amp;"1#5#"&amp;0&amp;"|"&amp;"1#6#"&amp;F13&amp;"|"&amp;"2#7#"&amp;0&amp;"|"&amp;"2#8#"&amp;F13&amp;"|"&amp;"3#26#"&amp;J13</f>
        <v>0#3#0|0#4#500|1#5#0|1#6#500|2#7#0|2#8#500|3#26#10</v>
      </c>
      <c r="E232" s="161"/>
    </row>
    <row r="233" spans="1:5" ht="15.75" x14ac:dyDescent="0.3">
      <c r="A233" s="22" t="s">
        <v>2915</v>
      </c>
      <c r="B233" s="22" t="s">
        <v>3036</v>
      </c>
      <c r="C233" s="23" t="s">
        <v>3147</v>
      </c>
      <c r="D233" s="22" t="str">
        <f t="shared" ref="D233:D241" si="25">"0#3#"&amp;0&amp;"|"&amp;"0#4#"&amp;F4&amp;"|"&amp;"1#5#"&amp;0&amp;"|"&amp;"1#6#"&amp;F4&amp;"|"&amp;"2#7#"&amp;0&amp;"|"&amp;"2#8#"&amp;F4&amp;"|"&amp;"3#27#"&amp;J4</f>
        <v>0#3#0|0#4#50|1#5#0|1#6#50|2#7#0|2#8#50|3#27#1</v>
      </c>
      <c r="E233" s="161"/>
    </row>
    <row r="234" spans="1:5" ht="15.75" x14ac:dyDescent="0.3">
      <c r="A234" s="22" t="s">
        <v>2915</v>
      </c>
      <c r="B234" s="22" t="s">
        <v>3036</v>
      </c>
      <c r="C234" s="23" t="s">
        <v>3148</v>
      </c>
      <c r="D234" s="22" t="str">
        <f t="shared" si="25"/>
        <v>0#3#0|0#4#100|1#5#0|1#6#100|2#7#0|2#8#100|3#27#2</v>
      </c>
      <c r="E234" s="161"/>
    </row>
    <row r="235" spans="1:5" ht="15.75" x14ac:dyDescent="0.3">
      <c r="A235" s="22" t="s">
        <v>2915</v>
      </c>
      <c r="B235" s="22" t="s">
        <v>3036</v>
      </c>
      <c r="C235" s="23" t="s">
        <v>3149</v>
      </c>
      <c r="D235" s="22" t="str">
        <f t="shared" si="25"/>
        <v>0#3#0|0#4#150|1#5#0|1#6#150|2#7#0|2#8#150|3#27#3</v>
      </c>
      <c r="E235" s="161"/>
    </row>
    <row r="236" spans="1:5" ht="15.75" x14ac:dyDescent="0.3">
      <c r="A236" s="22" t="s">
        <v>2915</v>
      </c>
      <c r="B236" s="22" t="s">
        <v>3036</v>
      </c>
      <c r="C236" s="23" t="s">
        <v>3150</v>
      </c>
      <c r="D236" s="22" t="str">
        <f t="shared" si="25"/>
        <v>0#3#0|0#4#200|1#5#0|1#6#200|2#7#0|2#8#200|3#27#4</v>
      </c>
      <c r="E236" s="161"/>
    </row>
    <row r="237" spans="1:5" ht="15.75" x14ac:dyDescent="0.3">
      <c r="A237" s="22" t="s">
        <v>2915</v>
      </c>
      <c r="B237" s="22" t="s">
        <v>3036</v>
      </c>
      <c r="C237" s="23" t="s">
        <v>3151</v>
      </c>
      <c r="D237" s="22" t="str">
        <f t="shared" si="25"/>
        <v>0#3#0|0#4#250|1#5#0|1#6#250|2#7#0|2#8#250|3#27#5</v>
      </c>
      <c r="E237" s="161"/>
    </row>
    <row r="238" spans="1:5" ht="15.75" x14ac:dyDescent="0.3">
      <c r="A238" s="22" t="s">
        <v>2915</v>
      </c>
      <c r="B238" s="22" t="s">
        <v>3036</v>
      </c>
      <c r="C238" s="23" t="s">
        <v>3152</v>
      </c>
      <c r="D238" s="22" t="str">
        <f t="shared" si="25"/>
        <v>0#3#0|0#4#300|1#5#0|1#6#300|2#7#0|2#8#300|3#27#6</v>
      </c>
      <c r="E238" s="161"/>
    </row>
    <row r="239" spans="1:5" ht="15.75" x14ac:dyDescent="0.3">
      <c r="A239" s="22" t="s">
        <v>2915</v>
      </c>
      <c r="B239" s="22" t="s">
        <v>3036</v>
      </c>
      <c r="C239" s="23" t="s">
        <v>3153</v>
      </c>
      <c r="D239" s="22" t="str">
        <f t="shared" si="25"/>
        <v>0#3#0|0#4#350|1#5#0|1#6#350|2#7#0|2#8#350|3#27#7</v>
      </c>
      <c r="E239" s="161"/>
    </row>
    <row r="240" spans="1:5" ht="15.75" x14ac:dyDescent="0.3">
      <c r="A240" s="22" t="s">
        <v>2915</v>
      </c>
      <c r="B240" s="22" t="s">
        <v>3036</v>
      </c>
      <c r="C240" s="23" t="s">
        <v>3154</v>
      </c>
      <c r="D240" s="22" t="str">
        <f t="shared" si="25"/>
        <v>0#3#0|0#4#400|1#5#0|1#6#400|2#7#0|2#8#400|3#27#8</v>
      </c>
      <c r="E240" s="161"/>
    </row>
    <row r="241" spans="1:5" ht="15.75" x14ac:dyDescent="0.3">
      <c r="A241" s="22" t="s">
        <v>2915</v>
      </c>
      <c r="B241" s="22" t="s">
        <v>3036</v>
      </c>
      <c r="C241" s="23" t="s">
        <v>3155</v>
      </c>
      <c r="D241" s="22" t="str">
        <f t="shared" si="25"/>
        <v>0#3#0|0#4#450|1#5#0|1#6#450|2#7#0|2#8#450|3#27#9</v>
      </c>
      <c r="E241" s="161"/>
    </row>
    <row r="242" spans="1:5" ht="15.75" x14ac:dyDescent="0.3">
      <c r="A242" s="22" t="s">
        <v>2915</v>
      </c>
      <c r="B242" s="22" t="s">
        <v>3036</v>
      </c>
      <c r="C242" s="23" t="s">
        <v>3156</v>
      </c>
      <c r="D242" s="22" t="str">
        <f>"0#3#"&amp;0&amp;"|"&amp;"0#4#"&amp;F13&amp;"|"&amp;"1#5#"&amp;0&amp;"|"&amp;"1#6#"&amp;F13&amp;"|"&amp;"2#7#"&amp;0&amp;"|"&amp;"2#8#"&amp;F13&amp;"|"&amp;"3#27#"&amp;J13</f>
        <v>0#3#0|0#4#500|1#5#0|1#6#500|2#7#0|2#8#500|3#27#10</v>
      </c>
      <c r="E242" s="161"/>
    </row>
  </sheetData>
  <mergeCells count="1">
    <mergeCell ref="E2:U2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2:AL362"/>
  <sheetViews>
    <sheetView topLeftCell="T13" workbookViewId="0">
      <selection activeCell="W41" sqref="W41"/>
    </sheetView>
  </sheetViews>
  <sheetFormatPr defaultRowHeight="14.25" x14ac:dyDescent="0.2"/>
  <cols>
    <col min="4" max="5" width="0" hidden="1" customWidth="1"/>
    <col min="8" max="9" width="0" hidden="1" customWidth="1"/>
    <col min="10" max="10" width="45.125" bestFit="1" customWidth="1"/>
    <col min="11" max="11" width="15.375" customWidth="1"/>
    <col min="12" max="12" width="32.5" customWidth="1"/>
    <col min="13" max="13" width="12.375" customWidth="1"/>
    <col min="19" max="19" width="13" bestFit="1" customWidth="1"/>
    <col min="20" max="20" width="11.25" bestFit="1" customWidth="1"/>
    <col min="21" max="21" width="15.375" bestFit="1" customWidth="1"/>
    <col min="22" max="22" width="34.5" customWidth="1"/>
    <col min="23" max="23" width="15.375" customWidth="1"/>
    <col min="24" max="24" width="37.875" bestFit="1" customWidth="1"/>
    <col min="25" max="25" width="15.375" customWidth="1"/>
    <col min="26" max="26" width="23.875" customWidth="1"/>
    <col min="27" max="31" width="9" style="94"/>
    <col min="32" max="32" width="10.375" style="94" customWidth="1"/>
    <col min="33" max="38" width="9" style="94"/>
  </cols>
  <sheetData>
    <row r="2" spans="1:3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1" t="s">
        <v>172</v>
      </c>
      <c r="K2" s="21" t="s">
        <v>61</v>
      </c>
      <c r="L2" s="21" t="s">
        <v>62</v>
      </c>
      <c r="M2" s="21" t="s">
        <v>3167</v>
      </c>
      <c r="N2" s="265" t="s">
        <v>33</v>
      </c>
      <c r="O2" s="265"/>
      <c r="P2" s="265"/>
      <c r="Q2" s="265"/>
      <c r="R2" s="265" t="s">
        <v>3338</v>
      </c>
      <c r="S2" s="265"/>
      <c r="T2" s="265" t="s">
        <v>3773</v>
      </c>
      <c r="U2" s="265"/>
      <c r="V2" s="265" t="s">
        <v>3782</v>
      </c>
      <c r="W2" s="265"/>
      <c r="X2" s="265" t="s">
        <v>3806</v>
      </c>
      <c r="Y2" s="265"/>
      <c r="AA2" s="284" t="s">
        <v>3635</v>
      </c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</row>
    <row r="3" spans="1:38" ht="16.5" x14ac:dyDescent="0.3">
      <c r="A3" s="22" t="s">
        <v>49</v>
      </c>
      <c r="B3" s="22" t="s">
        <v>33</v>
      </c>
      <c r="C3" s="22" t="s">
        <v>1913</v>
      </c>
      <c r="D3" s="22"/>
      <c r="E3" s="22"/>
      <c r="F3" s="23" t="s">
        <v>3168</v>
      </c>
      <c r="G3" s="22">
        <v>0</v>
      </c>
      <c r="H3" s="32"/>
      <c r="I3" s="22"/>
      <c r="J3" s="22"/>
      <c r="K3" s="22"/>
      <c r="L3" s="33" t="str">
        <f>"凡品升星石"&amp;X4&amp;"/元宝"&amp;Y4</f>
        <v>凡品升星石16/元宝32000</v>
      </c>
      <c r="M3" s="22">
        <v>100</v>
      </c>
      <c r="N3" s="10" t="s">
        <v>55</v>
      </c>
      <c r="O3" s="15" t="s">
        <v>3798</v>
      </c>
      <c r="P3" s="15" t="s">
        <v>3334</v>
      </c>
      <c r="Q3" s="10" t="s">
        <v>3335</v>
      </c>
      <c r="R3" s="10" t="s">
        <v>3336</v>
      </c>
      <c r="S3" s="10" t="s">
        <v>3337</v>
      </c>
      <c r="T3" s="10" t="s">
        <v>3758</v>
      </c>
      <c r="U3" s="10" t="s">
        <v>3771</v>
      </c>
      <c r="V3" s="10" t="s">
        <v>3785</v>
      </c>
      <c r="W3" s="10" t="s">
        <v>3777</v>
      </c>
      <c r="X3" s="10" t="s">
        <v>3785</v>
      </c>
      <c r="Y3" s="10" t="s">
        <v>3777</v>
      </c>
      <c r="Z3" s="184" t="s">
        <v>3339</v>
      </c>
      <c r="AA3" s="15" t="s">
        <v>55</v>
      </c>
      <c r="AB3" s="15" t="s">
        <v>3636</v>
      </c>
      <c r="AC3" s="15" t="s">
        <v>1932</v>
      </c>
      <c r="AD3" s="15" t="s">
        <v>3637</v>
      </c>
      <c r="AE3" s="15" t="s">
        <v>3638</v>
      </c>
      <c r="AF3" s="15" t="s">
        <v>3639</v>
      </c>
      <c r="AG3" s="15" t="s">
        <v>2853</v>
      </c>
      <c r="AH3" s="15" t="s">
        <v>2853</v>
      </c>
      <c r="AI3" s="15" t="s">
        <v>2853</v>
      </c>
      <c r="AJ3" s="15" t="s">
        <v>2853</v>
      </c>
      <c r="AK3" s="15" t="s">
        <v>2851</v>
      </c>
      <c r="AL3" s="15" t="s">
        <v>2851</v>
      </c>
    </row>
    <row r="4" spans="1:38" ht="16.5" x14ac:dyDescent="0.3">
      <c r="A4" s="22" t="s">
        <v>49</v>
      </c>
      <c r="B4" s="22" t="s">
        <v>33</v>
      </c>
      <c r="C4" s="22" t="s">
        <v>1913</v>
      </c>
      <c r="D4" s="22"/>
      <c r="E4" s="22"/>
      <c r="F4" s="23" t="s">
        <v>3169</v>
      </c>
      <c r="G4" s="22">
        <v>1</v>
      </c>
      <c r="H4" s="32"/>
      <c r="I4" s="22"/>
      <c r="J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" s="22"/>
      <c r="L4" s="33" t="str">
        <f t="shared" ref="L4:L14" si="0">"凡品升星石"&amp;X5&amp;"/元宝"&amp;Y5</f>
        <v>凡品升星石16/元宝32000</v>
      </c>
      <c r="M4" s="22">
        <v>100</v>
      </c>
      <c r="N4" s="10">
        <v>1</v>
      </c>
      <c r="O4" s="15">
        <f>材料产出!C13</f>
        <v>1.5</v>
      </c>
      <c r="P4" s="15">
        <f t="shared" ref="P4:P37" si="1">INT(N4/N$39*P$39)</f>
        <v>55</v>
      </c>
      <c r="Q4" s="10">
        <f t="shared" ref="Q4:Q37" si="2">INT(P4*1/5)</f>
        <v>11</v>
      </c>
      <c r="R4" s="15">
        <f>参数调整!W3</f>
        <v>0.5</v>
      </c>
      <c r="S4" s="10">
        <f>INT(Q4*R4)</f>
        <v>5</v>
      </c>
      <c r="T4" s="10">
        <f>P4*(属性价值参考!C$7+属性价值参考!C$8)</f>
        <v>4752</v>
      </c>
      <c r="U4" s="10">
        <f>AB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4" s="10">
        <f t="shared" ref="V4:V38" si="3">(T4+U4)/52*1</f>
        <v>91.384615384615387</v>
      </c>
      <c r="W4" s="10">
        <f t="shared" ref="W4:W38" si="4">(T4+U4)/52*2000</f>
        <v>182769.23076923078</v>
      </c>
      <c r="X4" s="10">
        <f>ROUND(V$39*1/36*O4/11,0)</f>
        <v>16</v>
      </c>
      <c r="Y4" s="10">
        <f t="shared" ref="Y4:Y38" si="5">X4*2000</f>
        <v>32000</v>
      </c>
      <c r="AA4" s="141">
        <v>1</v>
      </c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</row>
    <row r="5" spans="1:38" ht="16.5" x14ac:dyDescent="0.3">
      <c r="A5" s="22" t="s">
        <v>49</v>
      </c>
      <c r="B5" s="22" t="s">
        <v>33</v>
      </c>
      <c r="C5" s="22" t="s">
        <v>1913</v>
      </c>
      <c r="D5" s="2"/>
      <c r="E5" s="2"/>
      <c r="F5" s="23" t="s">
        <v>3170</v>
      </c>
      <c r="G5" s="22">
        <v>2</v>
      </c>
      <c r="H5" s="2"/>
      <c r="I5" s="2"/>
      <c r="J5" s="22" t="str">
        <f t="shared" ref="J5:J39" si="6">"3#3#"&amp;INT(0.5*S5)&amp;"|"&amp;"3#4#"&amp;S5&amp;"|"&amp;"3#5#"&amp;INT(0.5*S5)&amp;"|"&amp;"3#6#"&amp;S5&amp;"|"&amp;"3#7#"&amp;INT(0.5*S5)&amp;"|"&amp;"3#8#"&amp;S5</f>
        <v>3#3#5|3#4#11|3#5#5|3#6#11|3#7#5|3#8#11</v>
      </c>
      <c r="K5" s="22"/>
      <c r="L5" s="33" t="str">
        <f t="shared" si="0"/>
        <v>凡品升星石19/元宝38000</v>
      </c>
      <c r="M5" s="22">
        <v>100</v>
      </c>
      <c r="N5" s="10">
        <v>2</v>
      </c>
      <c r="O5" s="15">
        <f>材料产出!C13</f>
        <v>1.5</v>
      </c>
      <c r="P5" s="15">
        <f t="shared" si="1"/>
        <v>111</v>
      </c>
      <c r="Q5" s="10">
        <f t="shared" si="2"/>
        <v>22</v>
      </c>
      <c r="R5" s="15">
        <f>参数调整!W4</f>
        <v>0.5</v>
      </c>
      <c r="S5" s="10">
        <f t="shared" ref="S5:S39" si="7">INT(Q5*R5)</f>
        <v>11</v>
      </c>
      <c r="T5" s="10">
        <f>P5*(属性价值参考!C$7+属性价值参考!C$8)</f>
        <v>9590.4000000000015</v>
      </c>
      <c r="U5" s="10">
        <f>AB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5" s="10">
        <f t="shared" si="3"/>
        <v>184.43076923076927</v>
      </c>
      <c r="W5" s="10">
        <f t="shared" si="4"/>
        <v>368861.53846153856</v>
      </c>
      <c r="X5" s="10">
        <f>ROUND(V$39*1/36*O5/11,0)</f>
        <v>16</v>
      </c>
      <c r="Y5" s="10">
        <f t="shared" si="5"/>
        <v>32000</v>
      </c>
      <c r="AA5" s="141">
        <v>2</v>
      </c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</row>
    <row r="6" spans="1:38" ht="16.5" x14ac:dyDescent="0.3">
      <c r="A6" s="22" t="s">
        <v>49</v>
      </c>
      <c r="B6" s="22" t="s">
        <v>33</v>
      </c>
      <c r="C6" s="22" t="s">
        <v>1913</v>
      </c>
      <c r="D6" s="2"/>
      <c r="E6" s="2"/>
      <c r="F6" s="23" t="s">
        <v>3171</v>
      </c>
      <c r="G6" s="22">
        <v>3</v>
      </c>
      <c r="H6" s="2"/>
      <c r="I6" s="2"/>
      <c r="J6" s="22" t="str">
        <f t="shared" si="6"/>
        <v>3#3#8|3#4#16|3#5#8|3#6#16|3#7#8|3#8#16</v>
      </c>
      <c r="K6" s="22"/>
      <c r="L6" s="33" t="str">
        <f t="shared" si="0"/>
        <v>凡品升星石19/元宝38000</v>
      </c>
      <c r="M6" s="22">
        <v>90</v>
      </c>
      <c r="N6" s="10">
        <v>3</v>
      </c>
      <c r="O6" s="15">
        <f>材料产出!C14</f>
        <v>1.8</v>
      </c>
      <c r="P6" s="15">
        <f t="shared" si="1"/>
        <v>166</v>
      </c>
      <c r="Q6" s="10">
        <f t="shared" si="2"/>
        <v>33</v>
      </c>
      <c r="R6" s="15">
        <f>参数调整!W5</f>
        <v>0.5</v>
      </c>
      <c r="S6" s="10">
        <f t="shared" si="7"/>
        <v>16</v>
      </c>
      <c r="T6" s="10">
        <f>P6*(属性价值参考!C$7+属性价值参考!C$8)</f>
        <v>14342.400000000001</v>
      </c>
      <c r="U6" s="10">
        <f>AB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6" s="10">
        <f t="shared" si="3"/>
        <v>275.81538461538463</v>
      </c>
      <c r="W6" s="10">
        <f t="shared" si="4"/>
        <v>551630.76923076925</v>
      </c>
      <c r="X6" s="10">
        <f t="shared" ref="X6:X39" si="8">ROUND(V$39*1/36*O6/11,0)</f>
        <v>19</v>
      </c>
      <c r="Y6" s="10">
        <f t="shared" si="5"/>
        <v>38000</v>
      </c>
      <c r="AA6" s="141">
        <v>3</v>
      </c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</row>
    <row r="7" spans="1:38" ht="16.5" x14ac:dyDescent="0.3">
      <c r="A7" s="22" t="s">
        <v>49</v>
      </c>
      <c r="B7" s="22" t="s">
        <v>33</v>
      </c>
      <c r="C7" s="22" t="s">
        <v>1913</v>
      </c>
      <c r="D7" s="2"/>
      <c r="E7" s="2"/>
      <c r="F7" s="23" t="s">
        <v>3172</v>
      </c>
      <c r="G7" s="22">
        <v>4</v>
      </c>
      <c r="H7" s="2"/>
      <c r="I7" s="2"/>
      <c r="J7" s="22" t="str">
        <f t="shared" si="6"/>
        <v>3#3#11|3#4#22|3#5#11|3#6#22|3#7#11|3#8#22</v>
      </c>
      <c r="K7" s="22"/>
      <c r="L7" s="33" t="str">
        <f t="shared" si="0"/>
        <v>凡品升星石22/元宝44000</v>
      </c>
      <c r="M7" s="22">
        <v>80</v>
      </c>
      <c r="N7" s="10">
        <v>4</v>
      </c>
      <c r="O7" s="15">
        <f>材料产出!C14</f>
        <v>1.8</v>
      </c>
      <c r="P7" s="15">
        <f t="shared" si="1"/>
        <v>222</v>
      </c>
      <c r="Q7" s="10">
        <f t="shared" si="2"/>
        <v>44</v>
      </c>
      <c r="R7" s="15">
        <f>参数调整!W6</f>
        <v>0.5</v>
      </c>
      <c r="S7" s="10">
        <f t="shared" si="7"/>
        <v>22</v>
      </c>
      <c r="T7" s="10">
        <f>P7*(属性价值参考!C$7+属性价值参考!C$8)</f>
        <v>19180.800000000003</v>
      </c>
      <c r="U7" s="10">
        <f>AB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7" s="10">
        <f t="shared" si="3"/>
        <v>368.86153846153854</v>
      </c>
      <c r="W7" s="10">
        <f t="shared" si="4"/>
        <v>737723.07692307711</v>
      </c>
      <c r="X7" s="10">
        <f t="shared" si="8"/>
        <v>19</v>
      </c>
      <c r="Y7" s="10">
        <f t="shared" si="5"/>
        <v>38000</v>
      </c>
      <c r="AA7" s="141">
        <v>4</v>
      </c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</row>
    <row r="8" spans="1:38" ht="16.5" x14ac:dyDescent="0.3">
      <c r="A8" s="22" t="s">
        <v>49</v>
      </c>
      <c r="B8" s="22" t="s">
        <v>33</v>
      </c>
      <c r="C8" s="22" t="s">
        <v>1913</v>
      </c>
      <c r="D8" s="2"/>
      <c r="E8" s="2"/>
      <c r="F8" s="23" t="s">
        <v>3173</v>
      </c>
      <c r="G8" s="22">
        <v>5</v>
      </c>
      <c r="H8" s="2"/>
      <c r="I8" s="2"/>
      <c r="J8" s="22" t="str">
        <f t="shared" si="6"/>
        <v>3#3#16|3#4#33|3#5#16|3#6#33|3#7#16|3#8#33</v>
      </c>
      <c r="K8" s="22"/>
      <c r="L8" s="33" t="str">
        <f t="shared" si="0"/>
        <v>凡品升星石22/元宝44000</v>
      </c>
      <c r="M8" s="22">
        <v>70</v>
      </c>
      <c r="N8" s="10">
        <v>5</v>
      </c>
      <c r="O8" s="15">
        <f>材料产出!C15</f>
        <v>2.1</v>
      </c>
      <c r="P8" s="15">
        <f t="shared" si="1"/>
        <v>277</v>
      </c>
      <c r="Q8" s="10">
        <f t="shared" si="2"/>
        <v>55</v>
      </c>
      <c r="R8" s="15">
        <f>参数调整!W7</f>
        <v>0.6</v>
      </c>
      <c r="S8" s="10">
        <f t="shared" si="7"/>
        <v>33</v>
      </c>
      <c r="T8" s="10">
        <f>P8*(属性价值参考!C$7+属性价值参考!C$8)</f>
        <v>23932.800000000003</v>
      </c>
      <c r="U8" s="10">
        <f>AB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8" s="10">
        <f t="shared" si="3"/>
        <v>460.2461538461539</v>
      </c>
      <c r="W8" s="10">
        <f t="shared" si="4"/>
        <v>920492.30769230775</v>
      </c>
      <c r="X8" s="10">
        <f t="shared" si="8"/>
        <v>22</v>
      </c>
      <c r="Y8" s="10">
        <f t="shared" si="5"/>
        <v>44000</v>
      </c>
      <c r="AA8" s="141">
        <v>5</v>
      </c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</row>
    <row r="9" spans="1:38" ht="16.5" x14ac:dyDescent="0.3">
      <c r="A9" s="22" t="s">
        <v>49</v>
      </c>
      <c r="B9" s="22" t="s">
        <v>33</v>
      </c>
      <c r="C9" s="22" t="s">
        <v>1913</v>
      </c>
      <c r="D9" s="2"/>
      <c r="E9" s="2"/>
      <c r="F9" s="23" t="s">
        <v>3174</v>
      </c>
      <c r="G9" s="22">
        <v>6</v>
      </c>
      <c r="H9" s="2"/>
      <c r="I9" s="2"/>
      <c r="J9" s="22" t="str">
        <f t="shared" si="6"/>
        <v>3#3#19|3#4#39|3#5#19|3#6#39|3#7#19|3#8#39</v>
      </c>
      <c r="K9" s="22"/>
      <c r="L9" s="33" t="str">
        <f t="shared" si="0"/>
        <v>凡品升星石26/元宝52000</v>
      </c>
      <c r="M9" s="22">
        <v>60</v>
      </c>
      <c r="N9" s="10">
        <v>6</v>
      </c>
      <c r="O9" s="15">
        <f>材料产出!C15</f>
        <v>2.1</v>
      </c>
      <c r="P9" s="15">
        <f t="shared" si="1"/>
        <v>333</v>
      </c>
      <c r="Q9" s="10">
        <f t="shared" si="2"/>
        <v>66</v>
      </c>
      <c r="R9" s="15">
        <f>参数调整!W8</f>
        <v>0.6</v>
      </c>
      <c r="S9" s="10">
        <f t="shared" si="7"/>
        <v>39</v>
      </c>
      <c r="T9" s="10">
        <f>P9*(属性价值参考!C$7+属性价值参考!C$8)</f>
        <v>28771.200000000001</v>
      </c>
      <c r="U9" s="10">
        <f>AB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9" s="10">
        <f t="shared" si="3"/>
        <v>553.29230769230776</v>
      </c>
      <c r="W9" s="10">
        <f t="shared" si="4"/>
        <v>1106584.6153846155</v>
      </c>
      <c r="X9" s="10">
        <f t="shared" si="8"/>
        <v>22</v>
      </c>
      <c r="Y9" s="10">
        <f t="shared" si="5"/>
        <v>44000</v>
      </c>
      <c r="AA9" s="141">
        <v>6</v>
      </c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</row>
    <row r="10" spans="1:38" ht="16.5" x14ac:dyDescent="0.3">
      <c r="A10" s="22" t="s">
        <v>49</v>
      </c>
      <c r="B10" s="22" t="s">
        <v>33</v>
      </c>
      <c r="C10" s="22" t="s">
        <v>1913</v>
      </c>
      <c r="D10" s="2"/>
      <c r="E10" s="2"/>
      <c r="F10" s="23" t="s">
        <v>3175</v>
      </c>
      <c r="G10" s="22">
        <v>7</v>
      </c>
      <c r="H10" s="2"/>
      <c r="I10" s="2"/>
      <c r="J10" s="22" t="str">
        <f t="shared" si="6"/>
        <v>3#3#23|3#4#46|3#5#23|3#6#46|3#7#23|3#8#46</v>
      </c>
      <c r="K10" s="22" t="s">
        <v>3176</v>
      </c>
      <c r="L10" s="33" t="str">
        <f t="shared" si="0"/>
        <v>凡品升星石26/元宝52000</v>
      </c>
      <c r="M10" s="22">
        <v>50</v>
      </c>
      <c r="N10" s="10">
        <v>7</v>
      </c>
      <c r="O10" s="15">
        <f>材料产出!C16</f>
        <v>2.5</v>
      </c>
      <c r="P10" s="15">
        <f t="shared" si="1"/>
        <v>388</v>
      </c>
      <c r="Q10" s="10">
        <f t="shared" si="2"/>
        <v>77</v>
      </c>
      <c r="R10" s="15">
        <f>参数调整!W9</f>
        <v>0.6</v>
      </c>
      <c r="S10" s="10">
        <f t="shared" si="7"/>
        <v>46</v>
      </c>
      <c r="T10" s="10">
        <f>P10*(属性价值参考!C$7+属性价值参考!C$8)</f>
        <v>33523.200000000004</v>
      </c>
      <c r="U10" s="10">
        <f>AB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V10" s="10">
        <f t="shared" si="3"/>
        <v>693.2307692307694</v>
      </c>
      <c r="W10" s="10">
        <f t="shared" si="4"/>
        <v>1386461.5384615387</v>
      </c>
      <c r="X10" s="10">
        <f t="shared" si="8"/>
        <v>26</v>
      </c>
      <c r="Y10" s="10">
        <f t="shared" si="5"/>
        <v>52000</v>
      </c>
      <c r="AA10" s="141">
        <v>7</v>
      </c>
      <c r="AB10" s="141">
        <v>1</v>
      </c>
      <c r="AC10" s="141">
        <v>1</v>
      </c>
      <c r="AD10" s="141">
        <v>1</v>
      </c>
      <c r="AE10" s="141">
        <v>1</v>
      </c>
      <c r="AF10" s="141">
        <v>1</v>
      </c>
      <c r="AG10" s="141">
        <v>1</v>
      </c>
      <c r="AH10" s="141">
        <v>1</v>
      </c>
      <c r="AI10" s="141">
        <v>1</v>
      </c>
      <c r="AJ10" s="141">
        <v>1</v>
      </c>
      <c r="AK10" s="141">
        <v>1</v>
      </c>
      <c r="AL10" s="141">
        <v>1</v>
      </c>
    </row>
    <row r="11" spans="1:38" ht="16.5" x14ac:dyDescent="0.3">
      <c r="A11" s="22" t="s">
        <v>49</v>
      </c>
      <c r="B11" s="22" t="s">
        <v>33</v>
      </c>
      <c r="C11" s="22" t="s">
        <v>1913</v>
      </c>
      <c r="D11" s="2"/>
      <c r="E11" s="2"/>
      <c r="F11" s="23" t="s">
        <v>3177</v>
      </c>
      <c r="G11" s="22">
        <v>8</v>
      </c>
      <c r="H11" s="2"/>
      <c r="I11" s="2"/>
      <c r="J11" s="22" t="str">
        <f t="shared" si="6"/>
        <v>3#3#26|3#4#52|3#5#26|3#6#52|3#7#26|3#8#52</v>
      </c>
      <c r="K11" s="22" t="s">
        <v>3178</v>
      </c>
      <c r="L11" s="33" t="str">
        <f t="shared" si="0"/>
        <v>凡品升星石32/元宝64000</v>
      </c>
      <c r="M11" s="22">
        <v>40</v>
      </c>
      <c r="N11" s="10">
        <v>8</v>
      </c>
      <c r="O11" s="15">
        <f>材料产出!C16</f>
        <v>2.5</v>
      </c>
      <c r="P11" s="15">
        <f t="shared" si="1"/>
        <v>444</v>
      </c>
      <c r="Q11" s="10">
        <f t="shared" si="2"/>
        <v>88</v>
      </c>
      <c r="R11" s="15">
        <f>参数调整!W10</f>
        <v>0.6</v>
      </c>
      <c r="S11" s="10">
        <f t="shared" si="7"/>
        <v>52</v>
      </c>
      <c r="T11" s="10">
        <f>P11*(属性价值参考!C$7+属性价值参考!C$8)</f>
        <v>38361.600000000006</v>
      </c>
      <c r="U11" s="10">
        <f>AB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V11" s="10">
        <f t="shared" si="3"/>
        <v>834.83076923076931</v>
      </c>
      <c r="W11" s="10">
        <f t="shared" si="4"/>
        <v>1669661.5384615385</v>
      </c>
      <c r="X11" s="10">
        <f t="shared" si="8"/>
        <v>26</v>
      </c>
      <c r="Y11" s="10">
        <f t="shared" si="5"/>
        <v>52000</v>
      </c>
      <c r="AA11" s="141">
        <v>8</v>
      </c>
      <c r="AB11" s="141">
        <v>2</v>
      </c>
      <c r="AC11" s="141">
        <v>2</v>
      </c>
      <c r="AD11" s="141">
        <v>2</v>
      </c>
      <c r="AE11" s="141">
        <v>2</v>
      </c>
      <c r="AF11" s="141">
        <v>2</v>
      </c>
      <c r="AG11" s="141">
        <v>2</v>
      </c>
      <c r="AH11" s="141">
        <v>2</v>
      </c>
      <c r="AI11" s="141">
        <v>2</v>
      </c>
      <c r="AJ11" s="141">
        <v>2</v>
      </c>
      <c r="AK11" s="141">
        <v>2</v>
      </c>
      <c r="AL11" s="141">
        <v>2</v>
      </c>
    </row>
    <row r="12" spans="1:38" ht="16.5" x14ac:dyDescent="0.3">
      <c r="A12" s="22" t="s">
        <v>49</v>
      </c>
      <c r="B12" s="22" t="s">
        <v>33</v>
      </c>
      <c r="C12" s="22" t="s">
        <v>1913</v>
      </c>
      <c r="D12" s="2"/>
      <c r="E12" s="2"/>
      <c r="F12" s="23" t="s">
        <v>3179</v>
      </c>
      <c r="G12" s="22">
        <v>9</v>
      </c>
      <c r="H12" s="2"/>
      <c r="I12" s="2"/>
      <c r="J12" s="22" t="str">
        <f t="shared" si="6"/>
        <v>3#3#35|3#4#70|3#5#35|3#6#70|3#7#35|3#8#70</v>
      </c>
      <c r="K12" s="22" t="s">
        <v>3180</v>
      </c>
      <c r="L12" s="33" t="str">
        <f t="shared" si="0"/>
        <v>凡品升星石32/元宝64000</v>
      </c>
      <c r="M12" s="22">
        <v>30</v>
      </c>
      <c r="N12" s="10">
        <v>9</v>
      </c>
      <c r="O12" s="15">
        <f>材料产出!C17</f>
        <v>3</v>
      </c>
      <c r="P12" s="15">
        <f t="shared" si="1"/>
        <v>500</v>
      </c>
      <c r="Q12" s="10">
        <f t="shared" si="2"/>
        <v>100</v>
      </c>
      <c r="R12" s="15">
        <f>参数调整!W11</f>
        <v>0.7</v>
      </c>
      <c r="S12" s="10">
        <f t="shared" si="7"/>
        <v>70</v>
      </c>
      <c r="T12" s="10">
        <f>P12*(属性价值参考!C$7+属性价值参考!C$8)</f>
        <v>43200</v>
      </c>
      <c r="U12" s="10">
        <f>AB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2" s="10">
        <f t="shared" si="3"/>
        <v>976.43076923076922</v>
      </c>
      <c r="W12" s="10">
        <f t="shared" si="4"/>
        <v>1952861.5384615385</v>
      </c>
      <c r="X12" s="10">
        <f t="shared" si="8"/>
        <v>32</v>
      </c>
      <c r="Y12" s="10">
        <f t="shared" si="5"/>
        <v>64000</v>
      </c>
      <c r="AA12" s="141">
        <v>9</v>
      </c>
      <c r="AB12" s="141">
        <v>3</v>
      </c>
      <c r="AC12" s="141">
        <v>3</v>
      </c>
      <c r="AD12" s="141">
        <v>3</v>
      </c>
      <c r="AE12" s="141">
        <v>3</v>
      </c>
      <c r="AF12" s="141">
        <v>3</v>
      </c>
      <c r="AG12" s="141">
        <v>3</v>
      </c>
      <c r="AH12" s="141">
        <v>3</v>
      </c>
      <c r="AI12" s="141">
        <v>3</v>
      </c>
      <c r="AJ12" s="141">
        <v>3</v>
      </c>
      <c r="AK12" s="141">
        <v>3</v>
      </c>
      <c r="AL12" s="141">
        <v>3</v>
      </c>
    </row>
    <row r="13" spans="1:38" ht="16.5" x14ac:dyDescent="0.3">
      <c r="A13" s="22" t="s">
        <v>49</v>
      </c>
      <c r="B13" s="22" t="s">
        <v>33</v>
      </c>
      <c r="C13" s="22" t="s">
        <v>1913</v>
      </c>
      <c r="D13" s="2"/>
      <c r="E13" s="2"/>
      <c r="F13" s="23" t="s">
        <v>3181</v>
      </c>
      <c r="G13" s="22">
        <v>10</v>
      </c>
      <c r="H13" s="2"/>
      <c r="I13" s="2"/>
      <c r="J13" s="22" t="str">
        <f t="shared" si="6"/>
        <v>3#3#38|3#4#77|3#5#38|3#6#77|3#7#38|3#8#77</v>
      </c>
      <c r="K13" s="22" t="s">
        <v>3182</v>
      </c>
      <c r="L13" s="33" t="str">
        <f t="shared" si="0"/>
        <v>凡品升星石37/元宝74000</v>
      </c>
      <c r="M13" s="22">
        <v>20</v>
      </c>
      <c r="N13" s="10">
        <v>10</v>
      </c>
      <c r="O13" s="15">
        <f>材料产出!C17</f>
        <v>3</v>
      </c>
      <c r="P13" s="15">
        <f t="shared" si="1"/>
        <v>555</v>
      </c>
      <c r="Q13" s="10">
        <f t="shared" si="2"/>
        <v>111</v>
      </c>
      <c r="R13" s="15">
        <f>参数调整!W12</f>
        <v>0.7</v>
      </c>
      <c r="S13" s="10">
        <f t="shared" si="7"/>
        <v>77</v>
      </c>
      <c r="T13" s="10">
        <f>P13*(属性价值参考!C$7+属性价值参考!C$8)</f>
        <v>47952</v>
      </c>
      <c r="U13" s="10">
        <f>AB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3" s="10">
        <f t="shared" si="3"/>
        <v>1067.8153846153846</v>
      </c>
      <c r="W13" s="10">
        <f t="shared" si="4"/>
        <v>2135630.769230769</v>
      </c>
      <c r="X13" s="10">
        <f t="shared" si="8"/>
        <v>32</v>
      </c>
      <c r="Y13" s="10">
        <f t="shared" si="5"/>
        <v>64000</v>
      </c>
      <c r="AA13" s="141">
        <v>10</v>
      </c>
      <c r="AB13" s="141">
        <v>3</v>
      </c>
      <c r="AC13" s="141">
        <v>3</v>
      </c>
      <c r="AD13" s="141">
        <v>3</v>
      </c>
      <c r="AE13" s="141">
        <v>3</v>
      </c>
      <c r="AF13" s="141">
        <v>3</v>
      </c>
      <c r="AG13" s="141">
        <v>3</v>
      </c>
      <c r="AH13" s="141">
        <v>3</v>
      </c>
      <c r="AI13" s="141">
        <v>3</v>
      </c>
      <c r="AJ13" s="141">
        <v>3</v>
      </c>
      <c r="AK13" s="141">
        <v>3</v>
      </c>
      <c r="AL13" s="141">
        <v>3</v>
      </c>
    </row>
    <row r="14" spans="1:38" ht="16.5" x14ac:dyDescent="0.3">
      <c r="A14" s="22" t="s">
        <v>49</v>
      </c>
      <c r="B14" s="22" t="s">
        <v>33</v>
      </c>
      <c r="C14" s="22" t="s">
        <v>1913</v>
      </c>
      <c r="D14" s="2"/>
      <c r="E14" s="2"/>
      <c r="F14" s="23" t="s">
        <v>3183</v>
      </c>
      <c r="G14" s="22">
        <v>11</v>
      </c>
      <c r="H14" s="2"/>
      <c r="I14" s="2"/>
      <c r="J14" s="22" t="str">
        <f t="shared" si="6"/>
        <v>3#3#42|3#4#85|3#5#42|3#6#85|3#7#42|3#8#85</v>
      </c>
      <c r="K14" s="22" t="s">
        <v>3184</v>
      </c>
      <c r="L14" s="33" t="str">
        <f t="shared" si="0"/>
        <v>凡品升星石37/元宝74000</v>
      </c>
      <c r="M14" s="22">
        <v>15</v>
      </c>
      <c r="N14" s="10">
        <v>11</v>
      </c>
      <c r="O14" s="15">
        <f>材料产出!C18</f>
        <v>3.5</v>
      </c>
      <c r="P14" s="15">
        <f t="shared" si="1"/>
        <v>611</v>
      </c>
      <c r="Q14" s="10">
        <f t="shared" si="2"/>
        <v>122</v>
      </c>
      <c r="R14" s="15">
        <f>参数调整!W13</f>
        <v>0.7</v>
      </c>
      <c r="S14" s="10">
        <f t="shared" si="7"/>
        <v>85</v>
      </c>
      <c r="T14" s="10">
        <f>P14*(属性价值参考!C$7+属性价值参考!C$8)</f>
        <v>52790.400000000001</v>
      </c>
      <c r="U14" s="10">
        <f>AB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4" s="10">
        <f t="shared" si="3"/>
        <v>1209.4153846153847</v>
      </c>
      <c r="W14" s="10">
        <f t="shared" si="4"/>
        <v>2418830.7692307695</v>
      </c>
      <c r="X14" s="10">
        <f t="shared" si="8"/>
        <v>37</v>
      </c>
      <c r="Y14" s="10">
        <f t="shared" si="5"/>
        <v>74000</v>
      </c>
      <c r="AA14" s="141">
        <v>11</v>
      </c>
      <c r="AB14" s="141">
        <v>4</v>
      </c>
      <c r="AC14" s="141">
        <v>4</v>
      </c>
      <c r="AD14" s="141">
        <v>4</v>
      </c>
      <c r="AE14" s="141">
        <v>4</v>
      </c>
      <c r="AF14" s="141">
        <v>4</v>
      </c>
      <c r="AG14" s="141">
        <v>4</v>
      </c>
      <c r="AH14" s="141">
        <v>4</v>
      </c>
      <c r="AI14" s="141">
        <v>4</v>
      </c>
      <c r="AJ14" s="141">
        <v>4</v>
      </c>
      <c r="AK14" s="141">
        <v>4</v>
      </c>
      <c r="AL14" s="141">
        <v>4</v>
      </c>
    </row>
    <row r="15" spans="1:38" ht="16.5" x14ac:dyDescent="0.3">
      <c r="A15" s="22" t="s">
        <v>49</v>
      </c>
      <c r="B15" s="22" t="s">
        <v>33</v>
      </c>
      <c r="C15" s="22" t="s">
        <v>1913</v>
      </c>
      <c r="D15" s="2"/>
      <c r="E15" s="2"/>
      <c r="F15" s="23" t="s">
        <v>3185</v>
      </c>
      <c r="G15" s="22">
        <v>12</v>
      </c>
      <c r="H15" s="2"/>
      <c r="I15" s="2"/>
      <c r="J15" s="22" t="str">
        <f t="shared" si="6"/>
        <v>3#3#46|3#4#93|3#5#46|3#6#93|3#7#46|3#8#93</v>
      </c>
      <c r="K15" s="22" t="s">
        <v>3186</v>
      </c>
      <c r="L15" s="33" t="str">
        <f>"仙品升星石"&amp;INT(X16/2)&amp;"/元宝"&amp;Y16</f>
        <v>仙品升星石19/元宝78000</v>
      </c>
      <c r="M15" s="22">
        <v>100</v>
      </c>
      <c r="N15" s="10">
        <v>12</v>
      </c>
      <c r="O15" s="15">
        <f>材料产出!C18</f>
        <v>3.5</v>
      </c>
      <c r="P15" s="15">
        <f t="shared" si="1"/>
        <v>666</v>
      </c>
      <c r="Q15" s="10">
        <f t="shared" si="2"/>
        <v>133</v>
      </c>
      <c r="R15" s="15">
        <f>参数调整!W14</f>
        <v>0.7</v>
      </c>
      <c r="S15" s="10">
        <f t="shared" si="7"/>
        <v>93</v>
      </c>
      <c r="T15" s="10">
        <f>P15*(属性价值参考!C$7+属性价值参考!C$8)</f>
        <v>57542.400000000001</v>
      </c>
      <c r="U15" s="10">
        <f>AB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5" s="10">
        <f t="shared" si="3"/>
        <v>1300.8000000000002</v>
      </c>
      <c r="W15" s="10">
        <f t="shared" si="4"/>
        <v>2601600.0000000005</v>
      </c>
      <c r="X15" s="10">
        <f t="shared" si="8"/>
        <v>37</v>
      </c>
      <c r="Y15" s="10">
        <f t="shared" si="5"/>
        <v>74000</v>
      </c>
      <c r="AA15" s="141">
        <v>12</v>
      </c>
      <c r="AB15" s="141">
        <v>4</v>
      </c>
      <c r="AC15" s="141">
        <v>4</v>
      </c>
      <c r="AD15" s="141">
        <v>4</v>
      </c>
      <c r="AE15" s="141">
        <v>4</v>
      </c>
      <c r="AF15" s="141">
        <v>4</v>
      </c>
      <c r="AG15" s="141">
        <v>4</v>
      </c>
      <c r="AH15" s="141">
        <v>4</v>
      </c>
      <c r="AI15" s="141">
        <v>4</v>
      </c>
      <c r="AJ15" s="141">
        <v>4</v>
      </c>
      <c r="AK15" s="141">
        <v>4</v>
      </c>
      <c r="AL15" s="141">
        <v>4</v>
      </c>
    </row>
    <row r="16" spans="1:38" ht="16.5" x14ac:dyDescent="0.3">
      <c r="A16" s="22" t="s">
        <v>49</v>
      </c>
      <c r="B16" s="22" t="s">
        <v>33</v>
      </c>
      <c r="C16" s="22" t="s">
        <v>1913</v>
      </c>
      <c r="D16" s="2"/>
      <c r="E16" s="2"/>
      <c r="F16" s="23" t="s">
        <v>3187</v>
      </c>
      <c r="G16" s="22">
        <v>13</v>
      </c>
      <c r="H16" s="2"/>
      <c r="I16" s="2"/>
      <c r="J16" s="22" t="str">
        <f t="shared" si="6"/>
        <v>3#3#54|3#4#108|3#5#54|3#6#108|3#7#54|3#8#108</v>
      </c>
      <c r="K16" s="22" t="s">
        <v>3186</v>
      </c>
      <c r="L16" s="33" t="str">
        <f t="shared" ref="L16:L26" si="9">"仙品升星石"&amp;INT(X17/2)&amp;"/元宝"&amp;Y17</f>
        <v>仙品升星石19/元宝78000</v>
      </c>
      <c r="M16" s="22">
        <v>100</v>
      </c>
      <c r="N16" s="10">
        <v>13</v>
      </c>
      <c r="O16" s="15">
        <f>材料产出!C19</f>
        <v>3.7</v>
      </c>
      <c r="P16" s="15">
        <f t="shared" si="1"/>
        <v>722</v>
      </c>
      <c r="Q16" s="10">
        <f t="shared" si="2"/>
        <v>144</v>
      </c>
      <c r="R16" s="15">
        <f>参数调整!W15</f>
        <v>0.75</v>
      </c>
      <c r="S16" s="10">
        <f t="shared" si="7"/>
        <v>108</v>
      </c>
      <c r="T16" s="10">
        <f>P16*(属性价值参考!C$7+属性价值参考!C$8)</f>
        <v>62380.800000000003</v>
      </c>
      <c r="U16" s="10">
        <f>AB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6" s="10">
        <f t="shared" si="3"/>
        <v>1442.4</v>
      </c>
      <c r="W16" s="10">
        <f t="shared" si="4"/>
        <v>2884800</v>
      </c>
      <c r="X16" s="10">
        <f t="shared" si="8"/>
        <v>39</v>
      </c>
      <c r="Y16" s="10">
        <f t="shared" si="5"/>
        <v>78000</v>
      </c>
      <c r="AA16" s="141">
        <v>13</v>
      </c>
      <c r="AB16" s="141">
        <v>5</v>
      </c>
      <c r="AC16" s="141">
        <v>5</v>
      </c>
      <c r="AD16" s="141">
        <v>5</v>
      </c>
      <c r="AE16" s="141">
        <v>5</v>
      </c>
      <c r="AF16" s="141">
        <v>5</v>
      </c>
      <c r="AG16" s="141">
        <v>5</v>
      </c>
      <c r="AH16" s="141">
        <v>5</v>
      </c>
      <c r="AI16" s="141">
        <v>5</v>
      </c>
      <c r="AJ16" s="141">
        <v>5</v>
      </c>
      <c r="AK16" s="141">
        <v>5</v>
      </c>
      <c r="AL16" s="141">
        <v>5</v>
      </c>
    </row>
    <row r="17" spans="1:38" ht="16.5" x14ac:dyDescent="0.3">
      <c r="A17" s="22" t="s">
        <v>49</v>
      </c>
      <c r="B17" s="22" t="s">
        <v>33</v>
      </c>
      <c r="C17" s="22" t="s">
        <v>1913</v>
      </c>
      <c r="D17" s="2"/>
      <c r="E17" s="2"/>
      <c r="F17" s="23" t="s">
        <v>3188</v>
      </c>
      <c r="G17" s="22">
        <v>14</v>
      </c>
      <c r="H17" s="2"/>
      <c r="I17" s="2"/>
      <c r="J17" s="22" t="str">
        <f t="shared" si="6"/>
        <v>3#3#58|3#4#116|3#5#58|3#6#116|3#7#58|3#8#116</v>
      </c>
      <c r="K17" s="22" t="s">
        <v>3186</v>
      </c>
      <c r="L17" s="33" t="str">
        <f t="shared" si="9"/>
        <v>仙品升星石21/元宝84000</v>
      </c>
      <c r="M17" s="22">
        <v>100</v>
      </c>
      <c r="N17" s="10">
        <v>14</v>
      </c>
      <c r="O17" s="15">
        <f>材料产出!C19</f>
        <v>3.7</v>
      </c>
      <c r="P17" s="15">
        <f t="shared" si="1"/>
        <v>777</v>
      </c>
      <c r="Q17" s="10">
        <f t="shared" si="2"/>
        <v>155</v>
      </c>
      <c r="R17" s="15">
        <f>参数调整!W16</f>
        <v>0.75</v>
      </c>
      <c r="S17" s="10">
        <f t="shared" si="7"/>
        <v>116</v>
      </c>
      <c r="T17" s="10">
        <f>P17*(属性价值参考!C$7+属性价值参考!C$8)</f>
        <v>67132.800000000003</v>
      </c>
      <c r="U17" s="10">
        <f>AB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7" s="10">
        <f t="shared" si="3"/>
        <v>1533.7846153846153</v>
      </c>
      <c r="W17" s="10">
        <f t="shared" si="4"/>
        <v>3067569.2307692305</v>
      </c>
      <c r="X17" s="10">
        <f t="shared" si="8"/>
        <v>39</v>
      </c>
      <c r="Y17" s="10">
        <f t="shared" si="5"/>
        <v>78000</v>
      </c>
      <c r="AA17" s="141">
        <v>14</v>
      </c>
      <c r="AB17" s="141">
        <v>5</v>
      </c>
      <c r="AC17" s="141">
        <v>5</v>
      </c>
      <c r="AD17" s="141">
        <v>5</v>
      </c>
      <c r="AE17" s="141">
        <v>5</v>
      </c>
      <c r="AF17" s="141">
        <v>5</v>
      </c>
      <c r="AG17" s="141">
        <v>5</v>
      </c>
      <c r="AH17" s="141">
        <v>5</v>
      </c>
      <c r="AI17" s="141">
        <v>5</v>
      </c>
      <c r="AJ17" s="141">
        <v>5</v>
      </c>
      <c r="AK17" s="141">
        <v>5</v>
      </c>
      <c r="AL17" s="141">
        <v>5</v>
      </c>
    </row>
    <row r="18" spans="1:38" ht="16.5" x14ac:dyDescent="0.3">
      <c r="A18" s="22" t="s">
        <v>49</v>
      </c>
      <c r="B18" s="22" t="s">
        <v>33</v>
      </c>
      <c r="C18" s="22" t="s">
        <v>1913</v>
      </c>
      <c r="D18" s="2"/>
      <c r="E18" s="2"/>
      <c r="F18" s="23" t="s">
        <v>3189</v>
      </c>
      <c r="G18" s="22">
        <v>15</v>
      </c>
      <c r="H18" s="2"/>
      <c r="I18" s="2"/>
      <c r="J18" s="22" t="str">
        <f t="shared" si="6"/>
        <v>3#3#62|3#4#124|3#5#62|3#6#124|3#7#62|3#8#124</v>
      </c>
      <c r="K18" s="22" t="s">
        <v>3186</v>
      </c>
      <c r="L18" s="33" t="str">
        <f t="shared" si="9"/>
        <v>仙品升星石21/元宝84000</v>
      </c>
      <c r="M18" s="22">
        <v>70</v>
      </c>
      <c r="N18" s="10">
        <v>15</v>
      </c>
      <c r="O18" s="15">
        <f>材料产出!C20</f>
        <v>4</v>
      </c>
      <c r="P18" s="15">
        <f t="shared" si="1"/>
        <v>833</v>
      </c>
      <c r="Q18" s="10">
        <f t="shared" si="2"/>
        <v>166</v>
      </c>
      <c r="R18" s="15">
        <f>参数调整!W17</f>
        <v>0.75</v>
      </c>
      <c r="S18" s="10">
        <f t="shared" si="7"/>
        <v>124</v>
      </c>
      <c r="T18" s="10">
        <f>P18*(属性价值参考!C$7+属性价值参考!C$8)</f>
        <v>71971.200000000012</v>
      </c>
      <c r="U18" s="10">
        <f>AB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8" s="10">
        <f t="shared" si="3"/>
        <v>1675.3846153846157</v>
      </c>
      <c r="W18" s="10">
        <f t="shared" si="4"/>
        <v>3350769.2307692314</v>
      </c>
      <c r="X18" s="10">
        <f t="shared" si="8"/>
        <v>42</v>
      </c>
      <c r="Y18" s="10">
        <f t="shared" si="5"/>
        <v>84000</v>
      </c>
      <c r="AA18" s="141">
        <v>15</v>
      </c>
      <c r="AB18" s="141">
        <v>6</v>
      </c>
      <c r="AC18" s="141">
        <v>6</v>
      </c>
      <c r="AD18" s="141">
        <v>6</v>
      </c>
      <c r="AE18" s="141">
        <v>6</v>
      </c>
      <c r="AF18" s="141">
        <v>6</v>
      </c>
      <c r="AG18" s="141">
        <v>6</v>
      </c>
      <c r="AH18" s="141">
        <v>6</v>
      </c>
      <c r="AI18" s="141">
        <v>6</v>
      </c>
      <c r="AJ18" s="141">
        <v>6</v>
      </c>
      <c r="AK18" s="141">
        <v>6</v>
      </c>
      <c r="AL18" s="141">
        <v>6</v>
      </c>
    </row>
    <row r="19" spans="1:38" ht="16.5" x14ac:dyDescent="0.3">
      <c r="A19" s="22" t="s">
        <v>49</v>
      </c>
      <c r="B19" s="22" t="s">
        <v>33</v>
      </c>
      <c r="C19" s="22" t="s">
        <v>1913</v>
      </c>
      <c r="D19" s="2"/>
      <c r="E19" s="2"/>
      <c r="F19" s="23" t="s">
        <v>3190</v>
      </c>
      <c r="G19" s="22">
        <v>16</v>
      </c>
      <c r="H19" s="2"/>
      <c r="I19" s="2"/>
      <c r="J19" s="22" t="str">
        <f t="shared" si="6"/>
        <v>3#3#66|3#4#132|3#5#66|3#6#132|3#7#66|3#8#132</v>
      </c>
      <c r="K19" s="22" t="s">
        <v>3186</v>
      </c>
      <c r="L19" s="33" t="str">
        <f t="shared" si="9"/>
        <v>仙品升星石23/元宝92000</v>
      </c>
      <c r="M19" s="22">
        <v>60</v>
      </c>
      <c r="N19" s="10">
        <v>16</v>
      </c>
      <c r="O19" s="15">
        <f>材料产出!C20</f>
        <v>4</v>
      </c>
      <c r="P19" s="15">
        <f t="shared" si="1"/>
        <v>888</v>
      </c>
      <c r="Q19" s="10">
        <f t="shared" si="2"/>
        <v>177</v>
      </c>
      <c r="R19" s="15">
        <f>参数调整!W18</f>
        <v>0.75</v>
      </c>
      <c r="S19" s="10">
        <f t="shared" si="7"/>
        <v>132</v>
      </c>
      <c r="T19" s="10">
        <f>P19*(属性价值参考!C$7+属性价值参考!C$8)</f>
        <v>76723.200000000012</v>
      </c>
      <c r="U19" s="10">
        <f>AB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9" s="10">
        <f t="shared" si="3"/>
        <v>1766.7692307692309</v>
      </c>
      <c r="W19" s="10">
        <f t="shared" si="4"/>
        <v>3533538.461538462</v>
      </c>
      <c r="X19" s="10">
        <f t="shared" si="8"/>
        <v>42</v>
      </c>
      <c r="Y19" s="10">
        <f t="shared" si="5"/>
        <v>84000</v>
      </c>
      <c r="AA19" s="141">
        <v>16</v>
      </c>
      <c r="AB19" s="141">
        <v>6</v>
      </c>
      <c r="AC19" s="141">
        <v>6</v>
      </c>
      <c r="AD19" s="141">
        <v>6</v>
      </c>
      <c r="AE19" s="141">
        <v>6</v>
      </c>
      <c r="AF19" s="141">
        <v>6</v>
      </c>
      <c r="AG19" s="141">
        <v>6</v>
      </c>
      <c r="AH19" s="141">
        <v>6</v>
      </c>
      <c r="AI19" s="141">
        <v>6</v>
      </c>
      <c r="AJ19" s="141">
        <v>6</v>
      </c>
      <c r="AK19" s="141">
        <v>6</v>
      </c>
      <c r="AL19" s="141">
        <v>6</v>
      </c>
    </row>
    <row r="20" spans="1:38" ht="16.5" x14ac:dyDescent="0.3">
      <c r="A20" s="22" t="s">
        <v>49</v>
      </c>
      <c r="B20" s="22" t="s">
        <v>33</v>
      </c>
      <c r="C20" s="22" t="s">
        <v>1913</v>
      </c>
      <c r="D20" s="2"/>
      <c r="E20" s="2"/>
      <c r="F20" s="23" t="s">
        <v>3191</v>
      </c>
      <c r="G20" s="22">
        <v>17</v>
      </c>
      <c r="H20" s="2"/>
      <c r="I20" s="2"/>
      <c r="J20" s="22" t="str">
        <f t="shared" si="6"/>
        <v>3#3#79|3#4#159|3#5#79|3#6#159|3#7#79|3#8#159</v>
      </c>
      <c r="K20" s="22" t="s">
        <v>3186</v>
      </c>
      <c r="L20" s="33" t="str">
        <f t="shared" si="9"/>
        <v>仙品升星石23/元宝92000</v>
      </c>
      <c r="M20" s="22">
        <v>50</v>
      </c>
      <c r="N20" s="10">
        <v>17</v>
      </c>
      <c r="O20" s="15">
        <f>材料产出!C21</f>
        <v>4.3</v>
      </c>
      <c r="P20" s="15">
        <f t="shared" si="1"/>
        <v>944</v>
      </c>
      <c r="Q20" s="10">
        <f t="shared" si="2"/>
        <v>188</v>
      </c>
      <c r="R20" s="15">
        <f>参数调整!W19</f>
        <v>0.85</v>
      </c>
      <c r="S20" s="10">
        <f t="shared" si="7"/>
        <v>159</v>
      </c>
      <c r="T20" s="10">
        <f>P20*(属性价值参考!C$7+属性价值参考!C$8)</f>
        <v>81561.600000000006</v>
      </c>
      <c r="U20" s="10">
        <f>AB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0" s="10">
        <f t="shared" si="3"/>
        <v>1908.3692307692311</v>
      </c>
      <c r="W20" s="10">
        <f t="shared" si="4"/>
        <v>3816738.461538462</v>
      </c>
      <c r="X20" s="10">
        <f t="shared" si="8"/>
        <v>46</v>
      </c>
      <c r="Y20" s="10">
        <f t="shared" si="5"/>
        <v>92000</v>
      </c>
      <c r="AA20" s="141">
        <v>17</v>
      </c>
      <c r="AB20" s="141">
        <v>7</v>
      </c>
      <c r="AC20" s="141">
        <v>7</v>
      </c>
      <c r="AD20" s="141">
        <v>7</v>
      </c>
      <c r="AE20" s="141">
        <v>7</v>
      </c>
      <c r="AF20" s="141">
        <v>7</v>
      </c>
      <c r="AG20" s="141">
        <v>7</v>
      </c>
      <c r="AH20" s="141">
        <v>7</v>
      </c>
      <c r="AI20" s="141">
        <v>7</v>
      </c>
      <c r="AJ20" s="141">
        <v>7</v>
      </c>
      <c r="AK20" s="141">
        <v>7</v>
      </c>
      <c r="AL20" s="141">
        <v>7</v>
      </c>
    </row>
    <row r="21" spans="1:38" ht="16.5" x14ac:dyDescent="0.3">
      <c r="A21" s="22" t="s">
        <v>49</v>
      </c>
      <c r="B21" s="22" t="s">
        <v>33</v>
      </c>
      <c r="C21" s="22" t="s">
        <v>1913</v>
      </c>
      <c r="D21" s="2"/>
      <c r="E21" s="2"/>
      <c r="F21" s="23" t="s">
        <v>3192</v>
      </c>
      <c r="G21" s="22">
        <v>18</v>
      </c>
      <c r="H21" s="2"/>
      <c r="I21" s="2"/>
      <c r="J21" s="22" t="str">
        <f t="shared" si="6"/>
        <v>3#3#85|3#4#170|3#5#85|3#6#170|3#7#85|3#8#170</v>
      </c>
      <c r="K21" s="22" t="s">
        <v>3193</v>
      </c>
      <c r="L21" s="33" t="str">
        <f t="shared" si="9"/>
        <v>仙品升星石24/元宝98000</v>
      </c>
      <c r="M21" s="22">
        <v>40</v>
      </c>
      <c r="N21" s="10">
        <v>18</v>
      </c>
      <c r="O21" s="15">
        <f>材料产出!C21</f>
        <v>4.3</v>
      </c>
      <c r="P21" s="15">
        <f t="shared" si="1"/>
        <v>1000</v>
      </c>
      <c r="Q21" s="10">
        <f t="shared" si="2"/>
        <v>200</v>
      </c>
      <c r="R21" s="15">
        <f>参数调整!W20</f>
        <v>0.85</v>
      </c>
      <c r="S21" s="10">
        <f t="shared" si="7"/>
        <v>170</v>
      </c>
      <c r="T21" s="10">
        <f>P21*(属性价值参考!C$7+属性价值参考!C$8)</f>
        <v>86400</v>
      </c>
      <c r="U21" s="10">
        <f>AB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1" s="10">
        <f t="shared" si="3"/>
        <v>2001.4153846153847</v>
      </c>
      <c r="W21" s="10">
        <f t="shared" si="4"/>
        <v>4002830.7692307695</v>
      </c>
      <c r="X21" s="10">
        <f t="shared" si="8"/>
        <v>46</v>
      </c>
      <c r="Y21" s="10">
        <f t="shared" si="5"/>
        <v>92000</v>
      </c>
      <c r="AA21" s="141">
        <v>18</v>
      </c>
      <c r="AB21" s="141">
        <v>7</v>
      </c>
      <c r="AC21" s="141">
        <v>7</v>
      </c>
      <c r="AD21" s="141">
        <v>7</v>
      </c>
      <c r="AE21" s="141">
        <v>7</v>
      </c>
      <c r="AF21" s="141">
        <v>7</v>
      </c>
      <c r="AG21" s="141">
        <v>7</v>
      </c>
      <c r="AH21" s="141">
        <v>7</v>
      </c>
      <c r="AI21" s="141">
        <v>7</v>
      </c>
      <c r="AJ21" s="141">
        <v>7</v>
      </c>
      <c r="AK21" s="141">
        <v>7</v>
      </c>
      <c r="AL21" s="141">
        <v>7</v>
      </c>
    </row>
    <row r="22" spans="1:38" ht="16.5" x14ac:dyDescent="0.3">
      <c r="A22" s="22" t="s">
        <v>49</v>
      </c>
      <c r="B22" s="22" t="s">
        <v>33</v>
      </c>
      <c r="C22" s="22" t="s">
        <v>1913</v>
      </c>
      <c r="D22" s="2"/>
      <c r="E22" s="2"/>
      <c r="F22" s="23" t="s">
        <v>3194</v>
      </c>
      <c r="G22" s="22">
        <v>19</v>
      </c>
      <c r="H22" s="2"/>
      <c r="I22" s="2"/>
      <c r="J22" s="22" t="str">
        <f t="shared" si="6"/>
        <v>3#3#89|3#4#179|3#5#89|3#6#179|3#7#89|3#8#179</v>
      </c>
      <c r="K22" s="22" t="s">
        <v>3195</v>
      </c>
      <c r="L22" s="33" t="str">
        <f t="shared" si="9"/>
        <v>仙品升星石24/元宝98000</v>
      </c>
      <c r="M22" s="22">
        <v>30</v>
      </c>
      <c r="N22" s="10">
        <v>19</v>
      </c>
      <c r="O22" s="15">
        <f>材料产出!C22</f>
        <v>4.5999999999999996</v>
      </c>
      <c r="P22" s="15">
        <f t="shared" si="1"/>
        <v>1055</v>
      </c>
      <c r="Q22" s="10">
        <f t="shared" si="2"/>
        <v>211</v>
      </c>
      <c r="R22" s="15">
        <f>参数调整!W21</f>
        <v>0.85</v>
      </c>
      <c r="S22" s="10">
        <f t="shared" si="7"/>
        <v>179</v>
      </c>
      <c r="T22" s="10">
        <f>P22*(属性价值参考!C$7+属性价值参考!C$8)</f>
        <v>91152</v>
      </c>
      <c r="U22" s="10">
        <f>AB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2" s="10">
        <f t="shared" si="3"/>
        <v>2141.353846153846</v>
      </c>
      <c r="W22" s="10">
        <f t="shared" si="4"/>
        <v>4282707.692307692</v>
      </c>
      <c r="X22" s="10">
        <f t="shared" si="8"/>
        <v>49</v>
      </c>
      <c r="Y22" s="10">
        <f t="shared" si="5"/>
        <v>98000</v>
      </c>
      <c r="AA22" s="141">
        <v>19</v>
      </c>
      <c r="AB22" s="141">
        <v>8</v>
      </c>
      <c r="AC22" s="141">
        <v>8</v>
      </c>
      <c r="AD22" s="141">
        <v>8</v>
      </c>
      <c r="AE22" s="141">
        <v>8</v>
      </c>
      <c r="AF22" s="141">
        <v>8</v>
      </c>
      <c r="AG22" s="141">
        <v>8</v>
      </c>
      <c r="AH22" s="141">
        <v>8</v>
      </c>
      <c r="AI22" s="141">
        <v>8</v>
      </c>
      <c r="AJ22" s="141">
        <v>8</v>
      </c>
      <c r="AK22" s="141">
        <v>8</v>
      </c>
      <c r="AL22" s="141">
        <v>8</v>
      </c>
    </row>
    <row r="23" spans="1:38" ht="16.5" x14ac:dyDescent="0.3">
      <c r="A23" s="22" t="s">
        <v>49</v>
      </c>
      <c r="B23" s="22" t="s">
        <v>33</v>
      </c>
      <c r="C23" s="22" t="s">
        <v>1913</v>
      </c>
      <c r="D23" s="2"/>
      <c r="E23" s="2"/>
      <c r="F23" s="23" t="s">
        <v>3196</v>
      </c>
      <c r="G23" s="22">
        <v>20</v>
      </c>
      <c r="H23" s="2"/>
      <c r="I23" s="2"/>
      <c r="J23" s="22" t="str">
        <f t="shared" si="6"/>
        <v>3#3#94|3#4#188|3#5#94|3#6#188|3#7#94|3#8#188</v>
      </c>
      <c r="K23" s="22" t="s">
        <v>3195</v>
      </c>
      <c r="L23" s="33" t="str">
        <f t="shared" si="9"/>
        <v>仙品升星石26/元宝104000</v>
      </c>
      <c r="M23" s="22">
        <v>25</v>
      </c>
      <c r="N23" s="10">
        <v>20</v>
      </c>
      <c r="O23" s="15">
        <f>材料产出!C22</f>
        <v>4.5999999999999996</v>
      </c>
      <c r="P23" s="15">
        <f t="shared" si="1"/>
        <v>1111</v>
      </c>
      <c r="Q23" s="10">
        <f t="shared" si="2"/>
        <v>222</v>
      </c>
      <c r="R23" s="15">
        <f>参数调整!W22</f>
        <v>0.85</v>
      </c>
      <c r="S23" s="10">
        <f t="shared" si="7"/>
        <v>188</v>
      </c>
      <c r="T23" s="10">
        <f>P23*(属性价值参考!C$7+属性价值参考!C$8)</f>
        <v>95990.400000000009</v>
      </c>
      <c r="U23" s="10">
        <f>AB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3" s="10">
        <f t="shared" si="3"/>
        <v>2234.4000000000005</v>
      </c>
      <c r="W23" s="10">
        <f t="shared" si="4"/>
        <v>4468800.0000000009</v>
      </c>
      <c r="X23" s="10">
        <f t="shared" si="8"/>
        <v>49</v>
      </c>
      <c r="Y23" s="10">
        <f t="shared" si="5"/>
        <v>98000</v>
      </c>
      <c r="AA23" s="141">
        <v>20</v>
      </c>
      <c r="AB23" s="141">
        <v>8</v>
      </c>
      <c r="AC23" s="141">
        <v>8</v>
      </c>
      <c r="AD23" s="141">
        <v>8</v>
      </c>
      <c r="AE23" s="141">
        <v>8</v>
      </c>
      <c r="AF23" s="141">
        <v>8</v>
      </c>
      <c r="AG23" s="141">
        <v>8</v>
      </c>
      <c r="AH23" s="141">
        <v>8</v>
      </c>
      <c r="AI23" s="141">
        <v>8</v>
      </c>
      <c r="AJ23" s="141">
        <v>8</v>
      </c>
      <c r="AK23" s="141">
        <v>8</v>
      </c>
      <c r="AL23" s="141">
        <v>8</v>
      </c>
    </row>
    <row r="24" spans="1:38" ht="16.5" x14ac:dyDescent="0.3">
      <c r="A24" s="22" t="s">
        <v>49</v>
      </c>
      <c r="B24" s="22" t="s">
        <v>33</v>
      </c>
      <c r="C24" s="22" t="s">
        <v>1913</v>
      </c>
      <c r="D24" s="2"/>
      <c r="E24" s="2"/>
      <c r="F24" s="23" t="s">
        <v>3197</v>
      </c>
      <c r="G24" s="22">
        <v>21</v>
      </c>
      <c r="H24" s="2"/>
      <c r="I24" s="2"/>
      <c r="J24" s="22" t="str">
        <f t="shared" si="6"/>
        <v>3#3#110|3#4#221|3#5#110|3#6#221|3#7#110|3#8#221</v>
      </c>
      <c r="K24" s="22" t="s">
        <v>3198</v>
      </c>
      <c r="L24" s="33" t="str">
        <f t="shared" si="9"/>
        <v>仙品升星石26/元宝104000</v>
      </c>
      <c r="M24" s="22">
        <v>20</v>
      </c>
      <c r="N24" s="10">
        <v>21</v>
      </c>
      <c r="O24" s="15">
        <f>材料产出!C23</f>
        <v>4.9000000000000004</v>
      </c>
      <c r="P24" s="15">
        <f t="shared" si="1"/>
        <v>1166</v>
      </c>
      <c r="Q24" s="10">
        <f t="shared" si="2"/>
        <v>233</v>
      </c>
      <c r="R24" s="15">
        <f>参数调整!W23</f>
        <v>0.95</v>
      </c>
      <c r="S24" s="10">
        <f t="shared" si="7"/>
        <v>221</v>
      </c>
      <c r="T24" s="10">
        <f>P24*(属性价值参考!C$7+属性价值参考!C$8)</f>
        <v>100742.40000000001</v>
      </c>
      <c r="U24" s="10">
        <f>AB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4" s="10">
        <f t="shared" si="3"/>
        <v>2374.3384615384616</v>
      </c>
      <c r="W24" s="10">
        <f t="shared" si="4"/>
        <v>4748676.923076923</v>
      </c>
      <c r="X24" s="10">
        <f t="shared" si="8"/>
        <v>52</v>
      </c>
      <c r="Y24" s="10">
        <f t="shared" si="5"/>
        <v>104000</v>
      </c>
      <c r="AA24" s="141">
        <v>21</v>
      </c>
      <c r="AB24" s="141">
        <v>9</v>
      </c>
      <c r="AC24" s="141">
        <v>9</v>
      </c>
      <c r="AD24" s="141">
        <v>9</v>
      </c>
      <c r="AE24" s="141">
        <v>9</v>
      </c>
      <c r="AF24" s="141">
        <v>9</v>
      </c>
      <c r="AG24" s="141">
        <v>9</v>
      </c>
      <c r="AH24" s="141">
        <v>9</v>
      </c>
      <c r="AI24" s="141">
        <v>9</v>
      </c>
      <c r="AJ24" s="141">
        <v>9</v>
      </c>
      <c r="AK24" s="141">
        <v>9</v>
      </c>
      <c r="AL24" s="141">
        <v>9</v>
      </c>
    </row>
    <row r="25" spans="1:38" ht="16.5" x14ac:dyDescent="0.3">
      <c r="A25" s="22" t="s">
        <v>49</v>
      </c>
      <c r="B25" s="22" t="s">
        <v>33</v>
      </c>
      <c r="C25" s="22" t="s">
        <v>1913</v>
      </c>
      <c r="D25" s="2"/>
      <c r="E25" s="2"/>
      <c r="F25" s="23" t="s">
        <v>3199</v>
      </c>
      <c r="G25" s="22">
        <v>22</v>
      </c>
      <c r="H25" s="2"/>
      <c r="I25" s="2"/>
      <c r="J25" s="22" t="str">
        <f t="shared" si="6"/>
        <v>3#3#115|3#4#231|3#5#115|3#6#231|3#7#115|3#8#231</v>
      </c>
      <c r="K25" s="22" t="s">
        <v>3200</v>
      </c>
      <c r="L25" s="33" t="str">
        <f t="shared" si="9"/>
        <v>仙品升星石27/元宝110000</v>
      </c>
      <c r="M25" s="22">
        <v>15</v>
      </c>
      <c r="N25" s="10">
        <v>22</v>
      </c>
      <c r="O25" s="15">
        <f>材料产出!C23</f>
        <v>4.9000000000000004</v>
      </c>
      <c r="P25" s="15">
        <f t="shared" si="1"/>
        <v>1222</v>
      </c>
      <c r="Q25" s="10">
        <f t="shared" si="2"/>
        <v>244</v>
      </c>
      <c r="R25" s="15">
        <f>参数调整!W24</f>
        <v>0.95</v>
      </c>
      <c r="S25" s="10">
        <f t="shared" si="7"/>
        <v>231</v>
      </c>
      <c r="T25" s="10">
        <f>P25*(属性价值参考!C$7+属性价值参考!C$8)</f>
        <v>105580.8</v>
      </c>
      <c r="U25" s="10">
        <f>AB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5" s="10">
        <f t="shared" si="3"/>
        <v>2467.3846153846152</v>
      </c>
      <c r="W25" s="10">
        <f t="shared" si="4"/>
        <v>4934769.2307692301</v>
      </c>
      <c r="X25" s="10">
        <f t="shared" si="8"/>
        <v>52</v>
      </c>
      <c r="Y25" s="10">
        <f t="shared" si="5"/>
        <v>104000</v>
      </c>
      <c r="AA25" s="141">
        <v>22</v>
      </c>
      <c r="AB25" s="141">
        <v>9</v>
      </c>
      <c r="AC25" s="141">
        <v>9</v>
      </c>
      <c r="AD25" s="141">
        <v>9</v>
      </c>
      <c r="AE25" s="141">
        <v>9</v>
      </c>
      <c r="AF25" s="141">
        <v>9</v>
      </c>
      <c r="AG25" s="141">
        <v>9</v>
      </c>
      <c r="AH25" s="141">
        <v>9</v>
      </c>
      <c r="AI25" s="141">
        <v>9</v>
      </c>
      <c r="AJ25" s="141">
        <v>9</v>
      </c>
      <c r="AK25" s="141">
        <v>9</v>
      </c>
      <c r="AL25" s="141">
        <v>9</v>
      </c>
    </row>
    <row r="26" spans="1:38" ht="16.5" x14ac:dyDescent="0.3">
      <c r="A26" s="22" t="s">
        <v>49</v>
      </c>
      <c r="B26" s="22" t="s">
        <v>33</v>
      </c>
      <c r="C26" s="22" t="s">
        <v>1913</v>
      </c>
      <c r="D26" s="2"/>
      <c r="E26" s="2"/>
      <c r="F26" s="23" t="s">
        <v>3201</v>
      </c>
      <c r="G26" s="22">
        <v>23</v>
      </c>
      <c r="H26" s="2"/>
      <c r="I26" s="2"/>
      <c r="J26" s="22" t="str">
        <f t="shared" si="6"/>
        <v>3#3#121|3#4#242|3#5#121|3#6#242|3#7#121|3#8#242</v>
      </c>
      <c r="K26" s="22" t="s">
        <v>3202</v>
      </c>
      <c r="L26" s="33" t="str">
        <f t="shared" si="9"/>
        <v>仙品升星石27/元宝110000</v>
      </c>
      <c r="M26" s="22">
        <v>10</v>
      </c>
      <c r="N26" s="10">
        <v>23</v>
      </c>
      <c r="O26" s="15">
        <f>材料产出!C24</f>
        <v>5.2</v>
      </c>
      <c r="P26" s="15">
        <f t="shared" si="1"/>
        <v>1277</v>
      </c>
      <c r="Q26" s="10">
        <f t="shared" si="2"/>
        <v>255</v>
      </c>
      <c r="R26" s="15">
        <f>参数调整!W25</f>
        <v>0.95</v>
      </c>
      <c r="S26" s="10">
        <f t="shared" si="7"/>
        <v>242</v>
      </c>
      <c r="T26" s="10">
        <f>P26*(属性价值参考!C$7+属性价值参考!C$8)</f>
        <v>110332.8</v>
      </c>
      <c r="U26" s="10">
        <f>AB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6" s="10">
        <f t="shared" si="3"/>
        <v>2607.3230769230768</v>
      </c>
      <c r="W26" s="10">
        <f t="shared" si="4"/>
        <v>5214646.153846154</v>
      </c>
      <c r="X26" s="10">
        <f t="shared" si="8"/>
        <v>55</v>
      </c>
      <c r="Y26" s="10">
        <f t="shared" si="5"/>
        <v>110000</v>
      </c>
      <c r="AA26" s="141">
        <v>23</v>
      </c>
      <c r="AB26" s="141">
        <v>10</v>
      </c>
      <c r="AC26" s="141">
        <v>10</v>
      </c>
      <c r="AD26" s="141">
        <v>10</v>
      </c>
      <c r="AE26" s="141">
        <v>10</v>
      </c>
      <c r="AF26" s="141">
        <v>10</v>
      </c>
      <c r="AG26" s="141">
        <v>10</v>
      </c>
      <c r="AH26" s="141">
        <v>10</v>
      </c>
      <c r="AI26" s="141">
        <v>10</v>
      </c>
      <c r="AJ26" s="141">
        <v>10</v>
      </c>
      <c r="AK26" s="141">
        <v>10</v>
      </c>
      <c r="AL26" s="141">
        <v>10</v>
      </c>
    </row>
    <row r="27" spans="1:38" ht="16.5" x14ac:dyDescent="0.3">
      <c r="A27" s="22" t="s">
        <v>49</v>
      </c>
      <c r="B27" s="22" t="s">
        <v>33</v>
      </c>
      <c r="C27" s="22" t="s">
        <v>1913</v>
      </c>
      <c r="D27" s="2"/>
      <c r="E27" s="2"/>
      <c r="F27" s="23" t="s">
        <v>3203</v>
      </c>
      <c r="G27" s="22">
        <v>24</v>
      </c>
      <c r="H27" s="2"/>
      <c r="I27" s="2"/>
      <c r="J27" s="22" t="str">
        <f t="shared" si="6"/>
        <v>3#3#126|3#4#252|3#5#126|3#6#252|3#7#126|3#8#252</v>
      </c>
      <c r="K27" s="22" t="s">
        <v>3204</v>
      </c>
      <c r="L27" s="33" t="str">
        <f>"神品升星石"&amp;INT(X28/10)&amp;"/元宝"&amp;Y28</f>
        <v>神品升星石5/元宝116000</v>
      </c>
      <c r="M27" s="22">
        <v>100</v>
      </c>
      <c r="N27" s="10">
        <v>24</v>
      </c>
      <c r="O27" s="15">
        <f>材料产出!C24</f>
        <v>5.2</v>
      </c>
      <c r="P27" s="15">
        <f t="shared" si="1"/>
        <v>1333</v>
      </c>
      <c r="Q27" s="10">
        <f t="shared" si="2"/>
        <v>266</v>
      </c>
      <c r="R27" s="15">
        <f>参数调整!W26</f>
        <v>0.95</v>
      </c>
      <c r="S27" s="10">
        <f t="shared" si="7"/>
        <v>252</v>
      </c>
      <c r="T27" s="10">
        <f>P27*(属性价值参考!C$7+属性价值参考!C$8)</f>
        <v>115171.20000000001</v>
      </c>
      <c r="U27" s="10">
        <f>AB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7" s="10">
        <f t="shared" si="3"/>
        <v>2700.3692307692309</v>
      </c>
      <c r="W27" s="10">
        <f t="shared" si="4"/>
        <v>5400738.461538462</v>
      </c>
      <c r="X27" s="10">
        <f t="shared" si="8"/>
        <v>55</v>
      </c>
      <c r="Y27" s="10">
        <f t="shared" si="5"/>
        <v>110000</v>
      </c>
      <c r="AA27" s="141">
        <v>24</v>
      </c>
      <c r="AB27" s="141">
        <v>10</v>
      </c>
      <c r="AC27" s="141">
        <v>10</v>
      </c>
      <c r="AD27" s="141">
        <v>10</v>
      </c>
      <c r="AE27" s="141">
        <v>10</v>
      </c>
      <c r="AF27" s="141">
        <v>10</v>
      </c>
      <c r="AG27" s="141">
        <v>10</v>
      </c>
      <c r="AH27" s="141">
        <v>10</v>
      </c>
      <c r="AI27" s="141">
        <v>10</v>
      </c>
      <c r="AJ27" s="141">
        <v>10</v>
      </c>
      <c r="AK27" s="141">
        <v>10</v>
      </c>
      <c r="AL27" s="141">
        <v>10</v>
      </c>
    </row>
    <row r="28" spans="1:38" ht="16.5" x14ac:dyDescent="0.3">
      <c r="A28" s="22" t="s">
        <v>49</v>
      </c>
      <c r="B28" s="22" t="s">
        <v>33</v>
      </c>
      <c r="C28" s="22" t="s">
        <v>1913</v>
      </c>
      <c r="D28" s="2"/>
      <c r="E28" s="2"/>
      <c r="F28" s="23" t="s">
        <v>3205</v>
      </c>
      <c r="G28" s="22">
        <v>25</v>
      </c>
      <c r="H28" s="2"/>
      <c r="I28" s="2"/>
      <c r="J28" s="22" t="str">
        <f t="shared" si="6"/>
        <v>3#3#138|3#4#277|3#5#138|3#6#277|3#7#138|3#8#277</v>
      </c>
      <c r="K28" s="22" t="s">
        <v>3204</v>
      </c>
      <c r="L28" s="33" t="str">
        <f t="shared" ref="L28:L38" si="10">"神品升星石"&amp;INT(X29/10)&amp;"/元宝"&amp;Y29</f>
        <v>神品升星石5/元宝116000</v>
      </c>
      <c r="M28" s="22">
        <v>100</v>
      </c>
      <c r="N28" s="10">
        <v>25</v>
      </c>
      <c r="O28" s="15">
        <f>材料产出!C25</f>
        <v>5.5</v>
      </c>
      <c r="P28" s="15">
        <f t="shared" si="1"/>
        <v>1388</v>
      </c>
      <c r="Q28" s="10">
        <f t="shared" si="2"/>
        <v>277</v>
      </c>
      <c r="R28" s="15">
        <f>参数调整!W27</f>
        <v>1</v>
      </c>
      <c r="S28" s="10">
        <f t="shared" si="7"/>
        <v>277</v>
      </c>
      <c r="T28" s="10">
        <f>P28*(属性价值参考!C$7+属性价值参考!C$8)</f>
        <v>119923.20000000001</v>
      </c>
      <c r="U28" s="10">
        <f>AB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8" s="10">
        <f t="shared" si="3"/>
        <v>2840.3076923076924</v>
      </c>
      <c r="W28" s="10">
        <f t="shared" si="4"/>
        <v>5680615.384615385</v>
      </c>
      <c r="X28" s="10">
        <f t="shared" si="8"/>
        <v>58</v>
      </c>
      <c r="Y28" s="10">
        <f t="shared" si="5"/>
        <v>116000</v>
      </c>
      <c r="AA28" s="141">
        <v>25</v>
      </c>
      <c r="AB28" s="141">
        <v>11</v>
      </c>
      <c r="AC28" s="141">
        <v>11</v>
      </c>
      <c r="AD28" s="141">
        <v>11</v>
      </c>
      <c r="AE28" s="141">
        <v>11</v>
      </c>
      <c r="AF28" s="141">
        <v>11</v>
      </c>
      <c r="AG28" s="141">
        <v>11</v>
      </c>
      <c r="AH28" s="141">
        <v>11</v>
      </c>
      <c r="AI28" s="141">
        <v>11</v>
      </c>
      <c r="AJ28" s="141">
        <v>11</v>
      </c>
      <c r="AK28" s="141">
        <v>11</v>
      </c>
      <c r="AL28" s="141">
        <v>11</v>
      </c>
    </row>
    <row r="29" spans="1:38" ht="16.5" x14ac:dyDescent="0.3">
      <c r="A29" s="22" t="s">
        <v>49</v>
      </c>
      <c r="B29" s="22" t="s">
        <v>33</v>
      </c>
      <c r="C29" s="22" t="s">
        <v>1913</v>
      </c>
      <c r="D29" s="2"/>
      <c r="E29" s="2"/>
      <c r="F29" s="23" t="s">
        <v>3206</v>
      </c>
      <c r="G29" s="22">
        <v>26</v>
      </c>
      <c r="H29" s="2"/>
      <c r="I29" s="2"/>
      <c r="J29" s="22" t="str">
        <f t="shared" si="6"/>
        <v>3#3#144|3#4#288|3#5#144|3#6#288|3#7#144|3#8#288</v>
      </c>
      <c r="K29" s="22" t="s">
        <v>3204</v>
      </c>
      <c r="L29" s="33" t="str">
        <f t="shared" si="10"/>
        <v>神品升星石6/元宝122000</v>
      </c>
      <c r="M29" s="22">
        <v>100</v>
      </c>
      <c r="N29" s="10">
        <v>26</v>
      </c>
      <c r="O29" s="15">
        <f>材料产出!C25</f>
        <v>5.5</v>
      </c>
      <c r="P29" s="15">
        <f t="shared" si="1"/>
        <v>1444</v>
      </c>
      <c r="Q29" s="10">
        <f t="shared" si="2"/>
        <v>288</v>
      </c>
      <c r="R29" s="15">
        <f>参数调整!W28</f>
        <v>1</v>
      </c>
      <c r="S29" s="10">
        <f t="shared" si="7"/>
        <v>288</v>
      </c>
      <c r="T29" s="10">
        <f>P29*(属性价值参考!C$7+属性价值参考!C$8)</f>
        <v>124761.60000000001</v>
      </c>
      <c r="U29" s="10">
        <f>AB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9" s="10">
        <f t="shared" si="3"/>
        <v>2933.3538461538465</v>
      </c>
      <c r="W29" s="10">
        <f t="shared" si="4"/>
        <v>5866707.692307693</v>
      </c>
      <c r="X29" s="10">
        <f t="shared" si="8"/>
        <v>58</v>
      </c>
      <c r="Y29" s="10">
        <f t="shared" si="5"/>
        <v>116000</v>
      </c>
      <c r="AA29" s="141">
        <v>26</v>
      </c>
      <c r="AB29" s="141">
        <v>11</v>
      </c>
      <c r="AC29" s="141">
        <v>11</v>
      </c>
      <c r="AD29" s="141">
        <v>11</v>
      </c>
      <c r="AE29" s="141">
        <v>11</v>
      </c>
      <c r="AF29" s="141">
        <v>11</v>
      </c>
      <c r="AG29" s="141">
        <v>11</v>
      </c>
      <c r="AH29" s="141">
        <v>11</v>
      </c>
      <c r="AI29" s="141">
        <v>11</v>
      </c>
      <c r="AJ29" s="141">
        <v>11</v>
      </c>
      <c r="AK29" s="141">
        <v>11</v>
      </c>
      <c r="AL29" s="141">
        <v>11</v>
      </c>
    </row>
    <row r="30" spans="1:38" ht="16.5" x14ac:dyDescent="0.3">
      <c r="A30" s="22" t="s">
        <v>49</v>
      </c>
      <c r="B30" s="22" t="s">
        <v>33</v>
      </c>
      <c r="C30" s="22" t="s">
        <v>1913</v>
      </c>
      <c r="D30" s="2"/>
      <c r="E30" s="2"/>
      <c r="F30" s="23" t="s">
        <v>3207</v>
      </c>
      <c r="G30" s="22">
        <v>27</v>
      </c>
      <c r="H30" s="2"/>
      <c r="I30" s="2"/>
      <c r="J30" s="22" t="str">
        <f t="shared" si="6"/>
        <v>3#3#150|3#4#300|3#5#150|3#6#300|3#7#150|3#8#300</v>
      </c>
      <c r="K30" s="22" t="s">
        <v>3204</v>
      </c>
      <c r="L30" s="33" t="str">
        <f t="shared" si="10"/>
        <v>神品升星石6/元宝122000</v>
      </c>
      <c r="M30" s="22">
        <v>70</v>
      </c>
      <c r="N30" s="10">
        <v>27</v>
      </c>
      <c r="O30" s="15">
        <f>材料产出!C26</f>
        <v>5.8</v>
      </c>
      <c r="P30" s="15">
        <f t="shared" si="1"/>
        <v>1500</v>
      </c>
      <c r="Q30" s="10">
        <f t="shared" si="2"/>
        <v>300</v>
      </c>
      <c r="R30" s="15">
        <f>参数调整!W29</f>
        <v>1</v>
      </c>
      <c r="S30" s="10">
        <f t="shared" si="7"/>
        <v>300</v>
      </c>
      <c r="T30" s="10">
        <f>P30*(属性价值参考!C$7+属性价值参考!C$8)</f>
        <v>129600.00000000001</v>
      </c>
      <c r="U30" s="10">
        <f>AB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0" s="10">
        <f t="shared" si="3"/>
        <v>3074.9538461538464</v>
      </c>
      <c r="W30" s="10">
        <f t="shared" si="4"/>
        <v>6149907.692307693</v>
      </c>
      <c r="X30" s="10">
        <f t="shared" si="8"/>
        <v>61</v>
      </c>
      <c r="Y30" s="10">
        <f t="shared" si="5"/>
        <v>122000</v>
      </c>
      <c r="AA30" s="141">
        <v>27</v>
      </c>
      <c r="AB30" s="141">
        <v>12</v>
      </c>
      <c r="AC30" s="141">
        <v>12</v>
      </c>
      <c r="AD30" s="141">
        <v>12</v>
      </c>
      <c r="AE30" s="141">
        <v>12</v>
      </c>
      <c r="AF30" s="141">
        <v>12</v>
      </c>
      <c r="AG30" s="141">
        <v>12</v>
      </c>
      <c r="AH30" s="141">
        <v>12</v>
      </c>
      <c r="AI30" s="141">
        <v>12</v>
      </c>
      <c r="AJ30" s="141">
        <v>12</v>
      </c>
      <c r="AK30" s="141">
        <v>12</v>
      </c>
      <c r="AL30" s="141">
        <v>12</v>
      </c>
    </row>
    <row r="31" spans="1:38" ht="16.5" x14ac:dyDescent="0.3">
      <c r="A31" s="22" t="s">
        <v>49</v>
      </c>
      <c r="B31" s="22" t="s">
        <v>33</v>
      </c>
      <c r="C31" s="22" t="s">
        <v>1913</v>
      </c>
      <c r="D31" s="2"/>
      <c r="E31" s="2"/>
      <c r="F31" s="23" t="s">
        <v>3208</v>
      </c>
      <c r="G31" s="22">
        <v>28</v>
      </c>
      <c r="H31" s="2"/>
      <c r="I31" s="2"/>
      <c r="J31" s="22" t="str">
        <f t="shared" si="6"/>
        <v>3#3#155|3#4#311|3#5#155|3#6#311|3#7#155|3#8#311</v>
      </c>
      <c r="K31" s="22" t="s">
        <v>3204</v>
      </c>
      <c r="L31" s="33" t="str">
        <f t="shared" si="10"/>
        <v>神品升星石6/元宝130000</v>
      </c>
      <c r="M31" s="22">
        <v>60</v>
      </c>
      <c r="N31" s="10">
        <v>28</v>
      </c>
      <c r="O31" s="15">
        <f>材料产出!C26</f>
        <v>5.8</v>
      </c>
      <c r="P31" s="15">
        <f t="shared" si="1"/>
        <v>1555</v>
      </c>
      <c r="Q31" s="10">
        <f t="shared" si="2"/>
        <v>311</v>
      </c>
      <c r="R31" s="15">
        <f>参数调整!W30</f>
        <v>1</v>
      </c>
      <c r="S31" s="10">
        <f t="shared" si="7"/>
        <v>311</v>
      </c>
      <c r="T31" s="10">
        <f>P31*(属性价值参考!C$7+属性价值参考!C$8)</f>
        <v>134352</v>
      </c>
      <c r="U31" s="10">
        <f>AB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1" s="10">
        <f t="shared" si="3"/>
        <v>3166.3384615384616</v>
      </c>
      <c r="W31" s="10">
        <f t="shared" si="4"/>
        <v>6332676.923076923</v>
      </c>
      <c r="X31" s="10">
        <f t="shared" si="8"/>
        <v>61</v>
      </c>
      <c r="Y31" s="10">
        <f t="shared" si="5"/>
        <v>122000</v>
      </c>
      <c r="AA31" s="141">
        <v>28</v>
      </c>
      <c r="AB31" s="141">
        <v>12</v>
      </c>
      <c r="AC31" s="141">
        <v>12</v>
      </c>
      <c r="AD31" s="141">
        <v>12</v>
      </c>
      <c r="AE31" s="141">
        <v>12</v>
      </c>
      <c r="AF31" s="141">
        <v>12</v>
      </c>
      <c r="AG31" s="141">
        <v>12</v>
      </c>
      <c r="AH31" s="141">
        <v>12</v>
      </c>
      <c r="AI31" s="141">
        <v>12</v>
      </c>
      <c r="AJ31" s="141">
        <v>12</v>
      </c>
      <c r="AK31" s="141">
        <v>12</v>
      </c>
      <c r="AL31" s="141">
        <v>12</v>
      </c>
    </row>
    <row r="32" spans="1:38" ht="16.5" x14ac:dyDescent="0.3">
      <c r="A32" s="22" t="s">
        <v>49</v>
      </c>
      <c r="B32" s="22" t="s">
        <v>33</v>
      </c>
      <c r="C32" s="22" t="s">
        <v>1913</v>
      </c>
      <c r="D32" s="2"/>
      <c r="E32" s="2"/>
      <c r="F32" s="23" t="s">
        <v>3209</v>
      </c>
      <c r="G32" s="22">
        <v>29</v>
      </c>
      <c r="H32" s="2"/>
      <c r="I32" s="2"/>
      <c r="J32" s="22" t="str">
        <f t="shared" si="6"/>
        <v>3#3#161|3#4#322|3#5#161|3#6#322|3#7#161|3#8#322</v>
      </c>
      <c r="K32" s="22" t="s">
        <v>3204</v>
      </c>
      <c r="L32" s="33" t="str">
        <f t="shared" si="10"/>
        <v>神品升星石6/元宝130000</v>
      </c>
      <c r="M32" s="22">
        <v>50</v>
      </c>
      <c r="N32" s="10">
        <v>29</v>
      </c>
      <c r="O32" s="15">
        <f>材料产出!C27</f>
        <v>6.1</v>
      </c>
      <c r="P32" s="15">
        <f t="shared" si="1"/>
        <v>1611</v>
      </c>
      <c r="Q32" s="10">
        <f t="shared" si="2"/>
        <v>322</v>
      </c>
      <c r="R32" s="15">
        <f>参数调整!W31</f>
        <v>1</v>
      </c>
      <c r="S32" s="10">
        <f t="shared" si="7"/>
        <v>322</v>
      </c>
      <c r="T32" s="10">
        <f>P32*(属性价值参考!C$7+属性价值参考!C$8)</f>
        <v>139190.40000000002</v>
      </c>
      <c r="U32" s="10">
        <f>AB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2" s="10">
        <f t="shared" si="3"/>
        <v>3307.938461538462</v>
      </c>
      <c r="W32" s="10">
        <f t="shared" si="4"/>
        <v>6615876.9230769239</v>
      </c>
      <c r="X32" s="10">
        <f t="shared" si="8"/>
        <v>65</v>
      </c>
      <c r="Y32" s="10">
        <f t="shared" si="5"/>
        <v>130000</v>
      </c>
      <c r="AA32" s="141">
        <v>29</v>
      </c>
      <c r="AB32" s="141">
        <v>13</v>
      </c>
      <c r="AC32" s="141">
        <v>13</v>
      </c>
      <c r="AD32" s="141">
        <v>13</v>
      </c>
      <c r="AE32" s="141">
        <v>13</v>
      </c>
      <c r="AF32" s="141">
        <v>13</v>
      </c>
      <c r="AG32" s="141">
        <v>13</v>
      </c>
      <c r="AH32" s="141">
        <v>13</v>
      </c>
      <c r="AI32" s="141">
        <v>13</v>
      </c>
      <c r="AJ32" s="141">
        <v>13</v>
      </c>
      <c r="AK32" s="141">
        <v>13</v>
      </c>
      <c r="AL32" s="141">
        <v>13</v>
      </c>
    </row>
    <row r="33" spans="1:38" ht="16.5" x14ac:dyDescent="0.3">
      <c r="A33" s="22" t="s">
        <v>49</v>
      </c>
      <c r="B33" s="22" t="s">
        <v>33</v>
      </c>
      <c r="C33" s="22" t="s">
        <v>1913</v>
      </c>
      <c r="D33" s="2"/>
      <c r="E33" s="2"/>
      <c r="F33" s="23" t="s">
        <v>3210</v>
      </c>
      <c r="G33" s="22">
        <v>30</v>
      </c>
      <c r="H33" s="2"/>
      <c r="I33" s="2"/>
      <c r="J33" s="22" t="str">
        <f t="shared" si="6"/>
        <v>3#3#166|3#4#333|3#5#166|3#6#333|3#7#166|3#8#333</v>
      </c>
      <c r="K33" s="22" t="s">
        <v>3204</v>
      </c>
      <c r="L33" s="33" t="str">
        <f t="shared" si="10"/>
        <v>神品升星石6/元宝136000</v>
      </c>
      <c r="M33" s="22">
        <v>40</v>
      </c>
      <c r="N33" s="10">
        <v>30</v>
      </c>
      <c r="O33" s="15">
        <f>材料产出!C27</f>
        <v>6.1</v>
      </c>
      <c r="P33" s="15">
        <f t="shared" si="1"/>
        <v>1666</v>
      </c>
      <c r="Q33" s="10">
        <f t="shared" si="2"/>
        <v>333</v>
      </c>
      <c r="R33" s="15">
        <f>参数调整!W32</f>
        <v>1</v>
      </c>
      <c r="S33" s="10">
        <f t="shared" si="7"/>
        <v>333</v>
      </c>
      <c r="T33" s="10">
        <f>P33*(属性价值参考!C$7+属性价值参考!C$8)</f>
        <v>143942.40000000002</v>
      </c>
      <c r="U33" s="10">
        <f>AB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3" s="10">
        <f t="shared" si="3"/>
        <v>3399.3230769230772</v>
      </c>
      <c r="W33" s="10">
        <f t="shared" si="4"/>
        <v>6798646.153846154</v>
      </c>
      <c r="X33" s="10">
        <f t="shared" si="8"/>
        <v>65</v>
      </c>
      <c r="Y33" s="10">
        <f t="shared" si="5"/>
        <v>130000</v>
      </c>
      <c r="AA33" s="141">
        <v>30</v>
      </c>
      <c r="AB33" s="141">
        <v>13</v>
      </c>
      <c r="AC33" s="141">
        <v>13</v>
      </c>
      <c r="AD33" s="141">
        <v>13</v>
      </c>
      <c r="AE33" s="141">
        <v>13</v>
      </c>
      <c r="AF33" s="141">
        <v>13</v>
      </c>
      <c r="AG33" s="141">
        <v>13</v>
      </c>
      <c r="AH33" s="141">
        <v>13</v>
      </c>
      <c r="AI33" s="141">
        <v>13</v>
      </c>
      <c r="AJ33" s="141">
        <v>13</v>
      </c>
      <c r="AK33" s="141">
        <v>13</v>
      </c>
      <c r="AL33" s="141">
        <v>13</v>
      </c>
    </row>
    <row r="34" spans="1:38" ht="16.5" x14ac:dyDescent="0.3">
      <c r="A34" s="22" t="s">
        <v>49</v>
      </c>
      <c r="B34" s="22" t="s">
        <v>33</v>
      </c>
      <c r="C34" s="22" t="s">
        <v>1913</v>
      </c>
      <c r="D34" s="2"/>
      <c r="E34" s="2"/>
      <c r="F34" s="23" t="s">
        <v>3211</v>
      </c>
      <c r="G34" s="22">
        <v>31</v>
      </c>
      <c r="H34" s="2"/>
      <c r="I34" s="2"/>
      <c r="J34" s="22" t="str">
        <f t="shared" si="6"/>
        <v>3#3#172|3#4#344|3#5#172|3#6#344|3#7#172|3#8#344</v>
      </c>
      <c r="K34" s="22" t="s">
        <v>3212</v>
      </c>
      <c r="L34" s="33" t="str">
        <f t="shared" si="10"/>
        <v>神品升星石6/元宝136000</v>
      </c>
      <c r="M34" s="22">
        <v>30</v>
      </c>
      <c r="N34" s="10">
        <v>31</v>
      </c>
      <c r="O34" s="15">
        <f>材料产出!C28</f>
        <v>6.4</v>
      </c>
      <c r="P34" s="15">
        <f t="shared" si="1"/>
        <v>1722</v>
      </c>
      <c r="Q34" s="10">
        <f t="shared" si="2"/>
        <v>344</v>
      </c>
      <c r="R34" s="15">
        <f>参数调整!W33</f>
        <v>1</v>
      </c>
      <c r="S34" s="10">
        <f t="shared" si="7"/>
        <v>344</v>
      </c>
      <c r="T34" s="10">
        <f>P34*(属性价值参考!C$7+属性价值参考!C$8)</f>
        <v>148780.80000000002</v>
      </c>
      <c r="U34" s="10">
        <f>AB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4" s="10">
        <f t="shared" si="3"/>
        <v>3540.9230769230776</v>
      </c>
      <c r="W34" s="10">
        <f t="shared" si="4"/>
        <v>7081846.1538461549</v>
      </c>
      <c r="X34" s="10">
        <f t="shared" si="8"/>
        <v>68</v>
      </c>
      <c r="Y34" s="10">
        <f t="shared" si="5"/>
        <v>136000</v>
      </c>
      <c r="AA34" s="141">
        <v>31</v>
      </c>
      <c r="AB34" s="141">
        <v>14</v>
      </c>
      <c r="AC34" s="141">
        <v>14</v>
      </c>
      <c r="AD34" s="141">
        <v>14</v>
      </c>
      <c r="AE34" s="141">
        <v>14</v>
      </c>
      <c r="AF34" s="141">
        <v>14</v>
      </c>
      <c r="AG34" s="141">
        <v>14</v>
      </c>
      <c r="AH34" s="141">
        <v>14</v>
      </c>
      <c r="AI34" s="141">
        <v>14</v>
      </c>
      <c r="AJ34" s="141">
        <v>14</v>
      </c>
      <c r="AK34" s="141">
        <v>14</v>
      </c>
      <c r="AL34" s="141">
        <v>14</v>
      </c>
    </row>
    <row r="35" spans="1:38" ht="16.5" x14ac:dyDescent="0.3">
      <c r="A35" s="22" t="s">
        <v>49</v>
      </c>
      <c r="B35" s="22" t="s">
        <v>33</v>
      </c>
      <c r="C35" s="22" t="s">
        <v>1913</v>
      </c>
      <c r="D35" s="2"/>
      <c r="E35" s="2"/>
      <c r="F35" s="23" t="s">
        <v>3213</v>
      </c>
      <c r="G35" s="22">
        <v>32</v>
      </c>
      <c r="H35" s="2"/>
      <c r="I35" s="2"/>
      <c r="J35" s="22" t="str">
        <f t="shared" si="6"/>
        <v>3#3#177|3#4#355|3#5#177|3#6#355|3#7#177|3#8#355</v>
      </c>
      <c r="K35" s="22" t="s">
        <v>3214</v>
      </c>
      <c r="L35" s="33" t="str">
        <f t="shared" si="10"/>
        <v>神品升星石7/元宝142000</v>
      </c>
      <c r="M35" s="22">
        <v>25</v>
      </c>
      <c r="N35" s="10">
        <v>32</v>
      </c>
      <c r="O35" s="15">
        <f>材料产出!C28</f>
        <v>6.4</v>
      </c>
      <c r="P35" s="15">
        <f t="shared" si="1"/>
        <v>1777</v>
      </c>
      <c r="Q35" s="10">
        <f t="shared" si="2"/>
        <v>355</v>
      </c>
      <c r="R35" s="15">
        <f>参数调整!W34</f>
        <v>1</v>
      </c>
      <c r="S35" s="10">
        <f t="shared" si="7"/>
        <v>355</v>
      </c>
      <c r="T35" s="10">
        <f>P35*(属性价值参考!C$7+属性价值参考!C$8)</f>
        <v>153532.80000000002</v>
      </c>
      <c r="U35" s="10">
        <f>AB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5" s="10">
        <f t="shared" si="3"/>
        <v>3632.3076923076928</v>
      </c>
      <c r="W35" s="10">
        <f t="shared" si="4"/>
        <v>7264615.3846153859</v>
      </c>
      <c r="X35" s="10">
        <f t="shared" si="8"/>
        <v>68</v>
      </c>
      <c r="Y35" s="10">
        <f t="shared" si="5"/>
        <v>136000</v>
      </c>
      <c r="AA35" s="141">
        <v>32</v>
      </c>
      <c r="AB35" s="141">
        <v>14</v>
      </c>
      <c r="AC35" s="141">
        <v>14</v>
      </c>
      <c r="AD35" s="141">
        <v>14</v>
      </c>
      <c r="AE35" s="141">
        <v>14</v>
      </c>
      <c r="AF35" s="141">
        <v>14</v>
      </c>
      <c r="AG35" s="141">
        <v>14</v>
      </c>
      <c r="AH35" s="141">
        <v>14</v>
      </c>
      <c r="AI35" s="141">
        <v>14</v>
      </c>
      <c r="AJ35" s="141">
        <v>14</v>
      </c>
      <c r="AK35" s="141">
        <v>14</v>
      </c>
      <c r="AL35" s="141">
        <v>14</v>
      </c>
    </row>
    <row r="36" spans="1:38" ht="16.5" x14ac:dyDescent="0.3">
      <c r="A36" s="22" t="s">
        <v>49</v>
      </c>
      <c r="B36" s="22" t="s">
        <v>33</v>
      </c>
      <c r="C36" s="22" t="s">
        <v>1913</v>
      </c>
      <c r="D36" s="2"/>
      <c r="E36" s="2"/>
      <c r="F36" s="23" t="s">
        <v>3215</v>
      </c>
      <c r="G36" s="22">
        <v>33</v>
      </c>
      <c r="H36" s="2"/>
      <c r="I36" s="2"/>
      <c r="J36" s="22" t="str">
        <f t="shared" si="6"/>
        <v>3#3#183|3#4#366|3#5#183|3#6#366|3#7#183|3#8#366</v>
      </c>
      <c r="K36" s="22" t="s">
        <v>3216</v>
      </c>
      <c r="L36" s="33" t="str">
        <f t="shared" si="10"/>
        <v>神品升星石7/元宝142000</v>
      </c>
      <c r="M36" s="22">
        <v>20</v>
      </c>
      <c r="N36" s="10">
        <v>33</v>
      </c>
      <c r="O36" s="15">
        <f>材料产出!C29</f>
        <v>6.7</v>
      </c>
      <c r="P36" s="15">
        <f t="shared" si="1"/>
        <v>1833</v>
      </c>
      <c r="Q36" s="10">
        <f t="shared" si="2"/>
        <v>366</v>
      </c>
      <c r="R36" s="15">
        <f>参数调整!W35</f>
        <v>1</v>
      </c>
      <c r="S36" s="10">
        <f t="shared" si="7"/>
        <v>366</v>
      </c>
      <c r="T36" s="10">
        <f>P36*(属性价值参考!C$7+属性价值参考!C$8)</f>
        <v>158371.20000000001</v>
      </c>
      <c r="U36" s="10">
        <f>AB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V36" s="10">
        <f t="shared" si="3"/>
        <v>3773.9076923076927</v>
      </c>
      <c r="W36" s="10">
        <f t="shared" si="4"/>
        <v>7547815.3846153859</v>
      </c>
      <c r="X36" s="10">
        <f t="shared" si="8"/>
        <v>71</v>
      </c>
      <c r="Y36" s="10">
        <f t="shared" si="5"/>
        <v>142000</v>
      </c>
      <c r="AA36" s="141">
        <v>33</v>
      </c>
      <c r="AB36" s="141">
        <v>15</v>
      </c>
      <c r="AC36" s="141">
        <v>15</v>
      </c>
      <c r="AD36" s="141">
        <v>15</v>
      </c>
      <c r="AE36" s="141">
        <v>15</v>
      </c>
      <c r="AF36" s="141">
        <v>15</v>
      </c>
      <c r="AG36" s="141">
        <v>15</v>
      </c>
      <c r="AH36" s="141">
        <v>15</v>
      </c>
      <c r="AI36" s="141">
        <v>15</v>
      </c>
      <c r="AJ36" s="141">
        <v>15</v>
      </c>
      <c r="AK36" s="141">
        <v>15</v>
      </c>
      <c r="AL36" s="141">
        <v>15</v>
      </c>
    </row>
    <row r="37" spans="1:38" ht="16.5" x14ac:dyDescent="0.3">
      <c r="A37" s="22" t="s">
        <v>49</v>
      </c>
      <c r="B37" s="22" t="s">
        <v>33</v>
      </c>
      <c r="C37" s="22" t="s">
        <v>1913</v>
      </c>
      <c r="D37" s="2"/>
      <c r="E37" s="2"/>
      <c r="F37" s="23" t="s">
        <v>3217</v>
      </c>
      <c r="G37" s="22">
        <v>34</v>
      </c>
      <c r="H37" s="2"/>
      <c r="I37" s="2"/>
      <c r="J37" s="22" t="str">
        <f t="shared" si="6"/>
        <v>3#3#188|3#4#377|3#5#188|3#6#377|3#7#188|3#8#377</v>
      </c>
      <c r="K37" s="22" t="s">
        <v>3218</v>
      </c>
      <c r="L37" s="33" t="str">
        <f t="shared" si="10"/>
        <v>神品升星石7/元宝148000</v>
      </c>
      <c r="M37" s="22">
        <v>15</v>
      </c>
      <c r="N37" s="10">
        <v>34</v>
      </c>
      <c r="O37" s="15">
        <f>材料产出!C29</f>
        <v>6.7</v>
      </c>
      <c r="P37" s="15">
        <f t="shared" si="1"/>
        <v>1888</v>
      </c>
      <c r="Q37" s="10">
        <f t="shared" si="2"/>
        <v>377</v>
      </c>
      <c r="R37" s="15">
        <f>参数调整!W36</f>
        <v>1</v>
      </c>
      <c r="S37" s="10">
        <f t="shared" si="7"/>
        <v>377</v>
      </c>
      <c r="T37" s="10">
        <f>P37*(属性价值参考!C$7+属性价值参考!C$8)</f>
        <v>163123.20000000001</v>
      </c>
      <c r="U37" s="10">
        <f>AB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V37" s="10">
        <f t="shared" si="3"/>
        <v>3913.8461538461538</v>
      </c>
      <c r="W37" s="10">
        <f t="shared" si="4"/>
        <v>7827692.307692308</v>
      </c>
      <c r="X37" s="10">
        <f t="shared" si="8"/>
        <v>71</v>
      </c>
      <c r="Y37" s="10">
        <f t="shared" si="5"/>
        <v>142000</v>
      </c>
      <c r="AA37" s="141">
        <v>34</v>
      </c>
      <c r="AB37" s="141">
        <v>16</v>
      </c>
      <c r="AC37" s="141">
        <v>16</v>
      </c>
      <c r="AD37" s="141">
        <v>16</v>
      </c>
      <c r="AE37" s="141">
        <v>16</v>
      </c>
      <c r="AF37" s="141">
        <v>16</v>
      </c>
      <c r="AG37" s="141">
        <v>16</v>
      </c>
      <c r="AH37" s="141">
        <v>16</v>
      </c>
      <c r="AI37" s="141">
        <v>16</v>
      </c>
      <c r="AJ37" s="141">
        <v>16</v>
      </c>
      <c r="AK37" s="141">
        <v>16</v>
      </c>
      <c r="AL37" s="141">
        <v>16</v>
      </c>
    </row>
    <row r="38" spans="1:38" ht="16.5" x14ac:dyDescent="0.3">
      <c r="A38" s="22" t="s">
        <v>49</v>
      </c>
      <c r="B38" s="22" t="s">
        <v>33</v>
      </c>
      <c r="C38" s="22" t="s">
        <v>1913</v>
      </c>
      <c r="D38" s="2"/>
      <c r="E38" s="2"/>
      <c r="F38" s="23" t="s">
        <v>3219</v>
      </c>
      <c r="G38" s="22">
        <v>35</v>
      </c>
      <c r="H38" s="2"/>
      <c r="I38" s="2"/>
      <c r="J38" s="22" t="str">
        <f t="shared" si="6"/>
        <v>3#3#194|3#4#388|3#5#194|3#6#388|3#7#194|3#8#388</v>
      </c>
      <c r="K38" s="22" t="s">
        <v>3220</v>
      </c>
      <c r="L38" s="33" t="str">
        <f t="shared" si="10"/>
        <v>神品升星石7/元宝148000</v>
      </c>
      <c r="M38" s="22">
        <v>10</v>
      </c>
      <c r="N38" s="10">
        <v>35</v>
      </c>
      <c r="O38" s="15">
        <f>材料产出!C30</f>
        <v>7</v>
      </c>
      <c r="P38" s="15">
        <f>INT(N38/N$39*P$39)</f>
        <v>1944</v>
      </c>
      <c r="Q38" s="10">
        <f>INT(P38*1/5)</f>
        <v>388</v>
      </c>
      <c r="R38" s="15">
        <f>参数调整!W37</f>
        <v>1</v>
      </c>
      <c r="S38" s="10">
        <f t="shared" si="7"/>
        <v>388</v>
      </c>
      <c r="T38" s="10">
        <f>P38*(属性价值参考!C$7+属性价值参考!C$8)</f>
        <v>167961.60000000001</v>
      </c>
      <c r="U38" s="10">
        <f>AB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V38" s="10">
        <f t="shared" si="3"/>
        <v>4055.4461538461542</v>
      </c>
      <c r="W38" s="10">
        <f t="shared" si="4"/>
        <v>8110892.307692308</v>
      </c>
      <c r="X38" s="10">
        <f t="shared" si="8"/>
        <v>74</v>
      </c>
      <c r="Y38" s="10">
        <f t="shared" si="5"/>
        <v>148000</v>
      </c>
      <c r="AA38" s="141">
        <v>35</v>
      </c>
      <c r="AB38" s="141">
        <v>17</v>
      </c>
      <c r="AC38" s="141">
        <v>17</v>
      </c>
      <c r="AD38" s="141">
        <v>17</v>
      </c>
      <c r="AE38" s="141">
        <v>17</v>
      </c>
      <c r="AF38" s="141">
        <v>17</v>
      </c>
      <c r="AG38" s="141">
        <v>17</v>
      </c>
      <c r="AH38" s="141">
        <v>17</v>
      </c>
      <c r="AI38" s="141">
        <v>17</v>
      </c>
      <c r="AJ38" s="141">
        <v>17</v>
      </c>
      <c r="AK38" s="141">
        <v>17</v>
      </c>
      <c r="AL38" s="141">
        <v>17</v>
      </c>
    </row>
    <row r="39" spans="1:38" ht="16.5" x14ac:dyDescent="0.3">
      <c r="A39" s="22" t="s">
        <v>49</v>
      </c>
      <c r="B39" s="22" t="s">
        <v>33</v>
      </c>
      <c r="C39" s="22" t="s">
        <v>1913</v>
      </c>
      <c r="D39" s="2"/>
      <c r="E39" s="2"/>
      <c r="F39" s="23" t="s">
        <v>3221</v>
      </c>
      <c r="G39" s="22">
        <v>36</v>
      </c>
      <c r="H39" s="2"/>
      <c r="I39" s="2"/>
      <c r="J39" s="22" t="str">
        <f t="shared" si="6"/>
        <v>3#3#200|3#4#400|3#5#200|3#6#400|3#7#200|3#8#400</v>
      </c>
      <c r="K39" s="22" t="s">
        <v>3222</v>
      </c>
      <c r="L39" s="2"/>
      <c r="M39" s="22"/>
      <c r="N39" s="10">
        <v>36</v>
      </c>
      <c r="O39" s="15">
        <f>材料产出!C30</f>
        <v>7</v>
      </c>
      <c r="P39" s="15">
        <f>养成属性分配!AK31</f>
        <v>2000</v>
      </c>
      <c r="Q39" s="10">
        <f t="shared" ref="Q39" si="11">P39*1/5</f>
        <v>400</v>
      </c>
      <c r="R39" s="15">
        <f>参数调整!W38</f>
        <v>1</v>
      </c>
      <c r="S39" s="10">
        <f t="shared" si="7"/>
        <v>400</v>
      </c>
      <c r="T39" s="10">
        <f>P39*(属性价值参考!C$7+属性价值参考!C$8)</f>
        <v>172800</v>
      </c>
      <c r="U39" s="10">
        <f>AB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V39" s="10">
        <f>(T39+U39)/52*1</f>
        <v>4197.0461538461541</v>
      </c>
      <c r="W39" s="10">
        <f>(T39+U39)/52*2000</f>
        <v>8394092.307692308</v>
      </c>
      <c r="X39" s="10">
        <f t="shared" si="8"/>
        <v>74</v>
      </c>
      <c r="Y39" s="10">
        <f>X39*2000</f>
        <v>148000</v>
      </c>
      <c r="AA39" s="141">
        <v>36</v>
      </c>
      <c r="AB39" s="141">
        <v>18</v>
      </c>
      <c r="AC39" s="141">
        <v>18</v>
      </c>
      <c r="AD39" s="141">
        <v>18</v>
      </c>
      <c r="AE39" s="141">
        <v>18</v>
      </c>
      <c r="AF39" s="141">
        <v>18</v>
      </c>
      <c r="AG39" s="141">
        <v>18</v>
      </c>
      <c r="AH39" s="141">
        <v>18</v>
      </c>
      <c r="AI39" s="141">
        <v>18</v>
      </c>
      <c r="AJ39" s="141">
        <v>18</v>
      </c>
      <c r="AK39" s="141">
        <v>18</v>
      </c>
      <c r="AL39" s="141">
        <v>18</v>
      </c>
    </row>
    <row r="40" spans="1:38" ht="15.75" x14ac:dyDescent="0.3">
      <c r="A40" s="22" t="s">
        <v>49</v>
      </c>
      <c r="B40" s="22" t="s">
        <v>33</v>
      </c>
      <c r="C40" s="22" t="s">
        <v>1913</v>
      </c>
      <c r="D40" s="2"/>
      <c r="E40" s="2"/>
      <c r="F40" s="23" t="s">
        <v>3223</v>
      </c>
      <c r="G40" s="22">
        <v>37</v>
      </c>
      <c r="H40" s="2"/>
      <c r="I40" s="2"/>
      <c r="J40" s="22"/>
      <c r="K40" s="22"/>
      <c r="L40" s="2"/>
      <c r="M40" s="22"/>
    </row>
    <row r="41" spans="1:38" ht="15.75" x14ac:dyDescent="0.3">
      <c r="A41" s="22" t="s">
        <v>49</v>
      </c>
      <c r="B41" s="22" t="s">
        <v>33</v>
      </c>
      <c r="C41" s="22" t="s">
        <v>1913</v>
      </c>
      <c r="D41" s="2"/>
      <c r="E41" s="2"/>
      <c r="F41" s="23" t="s">
        <v>3224</v>
      </c>
      <c r="G41" s="22">
        <v>38</v>
      </c>
      <c r="H41" s="2"/>
      <c r="I41" s="2"/>
      <c r="J41" s="22"/>
      <c r="K41" s="22"/>
      <c r="L41" s="2"/>
      <c r="M41" s="22"/>
    </row>
    <row r="42" spans="1:38" ht="15.75" x14ac:dyDescent="0.3">
      <c r="A42" s="22" t="s">
        <v>49</v>
      </c>
      <c r="B42" s="22" t="s">
        <v>33</v>
      </c>
      <c r="C42" s="22" t="s">
        <v>1913</v>
      </c>
      <c r="D42" s="2"/>
      <c r="E42" s="2"/>
      <c r="F42" s="23" t="s">
        <v>3225</v>
      </c>
      <c r="G42" s="22">
        <v>39</v>
      </c>
      <c r="H42" s="2"/>
      <c r="I42" s="2"/>
      <c r="J42" s="22"/>
      <c r="K42" s="22"/>
      <c r="L42" s="2"/>
      <c r="M42" s="22"/>
    </row>
    <row r="43" spans="1:38" ht="15.75" x14ac:dyDescent="0.3">
      <c r="A43" s="22" t="s">
        <v>49</v>
      </c>
      <c r="B43" s="22" t="s">
        <v>33</v>
      </c>
      <c r="C43" s="22" t="s">
        <v>1911</v>
      </c>
      <c r="D43" s="22"/>
      <c r="E43" s="22"/>
      <c r="F43" s="23" t="s">
        <v>3168</v>
      </c>
      <c r="G43" s="22">
        <v>0</v>
      </c>
      <c r="H43" s="32"/>
      <c r="I43" s="22"/>
      <c r="J43" s="22"/>
      <c r="K43" s="22"/>
      <c r="L43" s="33" t="str">
        <f>"凡品升星石"&amp;X4&amp;"/元宝"&amp;Y4</f>
        <v>凡品升星石16/元宝32000</v>
      </c>
      <c r="M43" s="22">
        <v>100</v>
      </c>
    </row>
    <row r="44" spans="1:38" ht="15.75" x14ac:dyDescent="0.3">
      <c r="A44" s="22" t="s">
        <v>49</v>
      </c>
      <c r="B44" s="22" t="s">
        <v>33</v>
      </c>
      <c r="C44" s="22" t="s">
        <v>1911</v>
      </c>
      <c r="D44" s="22"/>
      <c r="E44" s="22"/>
      <c r="F44" s="23" t="s">
        <v>3169</v>
      </c>
      <c r="G44" s="22">
        <v>1</v>
      </c>
      <c r="H44" s="32"/>
      <c r="I44" s="22"/>
      <c r="J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4" s="22"/>
      <c r="L44" s="33" t="str">
        <f t="shared" ref="L44:L54" si="12">"凡品升星石"&amp;X5&amp;"/元宝"&amp;Y5</f>
        <v>凡品升星石16/元宝32000</v>
      </c>
      <c r="M44" s="22">
        <v>100</v>
      </c>
    </row>
    <row r="45" spans="1:38" ht="15.75" x14ac:dyDescent="0.3">
      <c r="A45" s="22" t="s">
        <v>49</v>
      </c>
      <c r="B45" s="22" t="s">
        <v>33</v>
      </c>
      <c r="C45" s="22" t="s">
        <v>1911</v>
      </c>
      <c r="D45" s="2"/>
      <c r="E45" s="2"/>
      <c r="F45" s="23" t="s">
        <v>3170</v>
      </c>
      <c r="G45" s="22">
        <v>2</v>
      </c>
      <c r="H45" s="2"/>
      <c r="I45" s="2"/>
      <c r="J45" s="22" t="str">
        <f t="shared" ref="J45:J79" si="13">"3#3#"&amp;INT(0.5*S5)&amp;"|"&amp;"3#4#"&amp;S5&amp;"|"&amp;"3#5#"&amp;INT(0.5*S5)&amp;"|"&amp;"3#6#"&amp;S5&amp;"|"&amp;"3#7#"&amp;INT(0.5*S5)&amp;"|"&amp;"3#8#"&amp;S5</f>
        <v>3#3#5|3#4#11|3#5#5|3#6#11|3#7#5|3#8#11</v>
      </c>
      <c r="K45" s="22"/>
      <c r="L45" s="33" t="str">
        <f t="shared" si="12"/>
        <v>凡品升星石19/元宝38000</v>
      </c>
      <c r="M45" s="22">
        <v>100</v>
      </c>
    </row>
    <row r="46" spans="1:38" ht="15.75" x14ac:dyDescent="0.3">
      <c r="A46" s="22" t="s">
        <v>49</v>
      </c>
      <c r="B46" s="22" t="s">
        <v>33</v>
      </c>
      <c r="C46" s="22" t="s">
        <v>1911</v>
      </c>
      <c r="D46" s="2"/>
      <c r="E46" s="2"/>
      <c r="F46" s="23" t="s">
        <v>3171</v>
      </c>
      <c r="G46" s="22">
        <v>3</v>
      </c>
      <c r="H46" s="2"/>
      <c r="I46" s="2"/>
      <c r="J46" s="22" t="str">
        <f t="shared" si="13"/>
        <v>3#3#8|3#4#16|3#5#8|3#6#16|3#7#8|3#8#16</v>
      </c>
      <c r="K46" s="22"/>
      <c r="L46" s="33" t="str">
        <f t="shared" si="12"/>
        <v>凡品升星石19/元宝38000</v>
      </c>
      <c r="M46" s="22">
        <v>90</v>
      </c>
    </row>
    <row r="47" spans="1:38" ht="15.75" x14ac:dyDescent="0.3">
      <c r="A47" s="22" t="s">
        <v>49</v>
      </c>
      <c r="B47" s="22" t="s">
        <v>33</v>
      </c>
      <c r="C47" s="22" t="s">
        <v>1911</v>
      </c>
      <c r="D47" s="2"/>
      <c r="E47" s="2"/>
      <c r="F47" s="23" t="s">
        <v>3172</v>
      </c>
      <c r="G47" s="22">
        <v>4</v>
      </c>
      <c r="H47" s="2"/>
      <c r="I47" s="2"/>
      <c r="J47" s="22" t="str">
        <f t="shared" si="13"/>
        <v>3#3#11|3#4#22|3#5#11|3#6#22|3#7#11|3#8#22</v>
      </c>
      <c r="K47" s="22"/>
      <c r="L47" s="33" t="str">
        <f t="shared" si="12"/>
        <v>凡品升星石22/元宝44000</v>
      </c>
      <c r="M47" s="22">
        <v>80</v>
      </c>
    </row>
    <row r="48" spans="1:38" ht="15.75" x14ac:dyDescent="0.3">
      <c r="A48" s="22" t="s">
        <v>49</v>
      </c>
      <c r="B48" s="22" t="s">
        <v>33</v>
      </c>
      <c r="C48" s="22" t="s">
        <v>1911</v>
      </c>
      <c r="D48" s="2"/>
      <c r="E48" s="2"/>
      <c r="F48" s="23" t="s">
        <v>3173</v>
      </c>
      <c r="G48" s="22">
        <v>5</v>
      </c>
      <c r="H48" s="2"/>
      <c r="I48" s="2"/>
      <c r="J48" s="22" t="str">
        <f t="shared" si="13"/>
        <v>3#3#16|3#4#33|3#5#16|3#6#33|3#7#16|3#8#33</v>
      </c>
      <c r="K48" s="22"/>
      <c r="L48" s="33" t="str">
        <f t="shared" si="12"/>
        <v>凡品升星石22/元宝44000</v>
      </c>
      <c r="M48" s="22">
        <v>70</v>
      </c>
    </row>
    <row r="49" spans="1:13" ht="15.75" x14ac:dyDescent="0.3">
      <c r="A49" s="22" t="s">
        <v>49</v>
      </c>
      <c r="B49" s="22" t="s">
        <v>33</v>
      </c>
      <c r="C49" s="22" t="s">
        <v>1911</v>
      </c>
      <c r="D49" s="2"/>
      <c r="E49" s="2"/>
      <c r="F49" s="23" t="s">
        <v>3174</v>
      </c>
      <c r="G49" s="22">
        <v>6</v>
      </c>
      <c r="H49" s="2"/>
      <c r="I49" s="2"/>
      <c r="J49" s="22" t="str">
        <f t="shared" si="13"/>
        <v>3#3#19|3#4#39|3#5#19|3#6#39|3#7#19|3#8#39</v>
      </c>
      <c r="K49" s="22"/>
      <c r="L49" s="33" t="str">
        <f t="shared" si="12"/>
        <v>凡品升星石26/元宝52000</v>
      </c>
      <c r="M49" s="22">
        <v>60</v>
      </c>
    </row>
    <row r="50" spans="1:13" ht="15.75" x14ac:dyDescent="0.3">
      <c r="A50" s="22" t="s">
        <v>49</v>
      </c>
      <c r="B50" s="22" t="s">
        <v>33</v>
      </c>
      <c r="C50" s="22" t="s">
        <v>1911</v>
      </c>
      <c r="D50" s="2"/>
      <c r="E50" s="2"/>
      <c r="F50" s="23" t="s">
        <v>3175</v>
      </c>
      <c r="G50" s="22">
        <v>7</v>
      </c>
      <c r="H50" s="2"/>
      <c r="I50" s="2"/>
      <c r="J50" s="22" t="str">
        <f t="shared" si="13"/>
        <v>3#3#23|3#4#46|3#5#23|3#6#46|3#7#23|3#8#46</v>
      </c>
      <c r="K50" s="22" t="s">
        <v>3226</v>
      </c>
      <c r="L50" s="33" t="str">
        <f t="shared" si="12"/>
        <v>凡品升星石26/元宝52000</v>
      </c>
      <c r="M50" s="22">
        <v>50</v>
      </c>
    </row>
    <row r="51" spans="1:13" ht="15.75" x14ac:dyDescent="0.3">
      <c r="A51" s="22" t="s">
        <v>49</v>
      </c>
      <c r="B51" s="22" t="s">
        <v>33</v>
      </c>
      <c r="C51" s="22" t="s">
        <v>1911</v>
      </c>
      <c r="D51" s="2"/>
      <c r="E51" s="2"/>
      <c r="F51" s="23" t="s">
        <v>3177</v>
      </c>
      <c r="G51" s="22">
        <v>8</v>
      </c>
      <c r="H51" s="2"/>
      <c r="I51" s="2"/>
      <c r="J51" s="22" t="str">
        <f t="shared" si="13"/>
        <v>3#3#26|3#4#52|3#5#26|3#6#52|3#7#26|3#8#52</v>
      </c>
      <c r="K51" s="22" t="s">
        <v>3227</v>
      </c>
      <c r="L51" s="33" t="str">
        <f t="shared" si="12"/>
        <v>凡品升星石32/元宝64000</v>
      </c>
      <c r="M51" s="22">
        <v>40</v>
      </c>
    </row>
    <row r="52" spans="1:13" ht="15.75" x14ac:dyDescent="0.3">
      <c r="A52" s="22" t="s">
        <v>49</v>
      </c>
      <c r="B52" s="22" t="s">
        <v>33</v>
      </c>
      <c r="C52" s="22" t="s">
        <v>1911</v>
      </c>
      <c r="D52" s="2"/>
      <c r="E52" s="2"/>
      <c r="F52" s="23" t="s">
        <v>3179</v>
      </c>
      <c r="G52" s="22">
        <v>9</v>
      </c>
      <c r="H52" s="2"/>
      <c r="I52" s="2"/>
      <c r="J52" s="22" t="str">
        <f t="shared" si="13"/>
        <v>3#3#35|3#4#70|3#5#35|3#6#70|3#7#35|3#8#70</v>
      </c>
      <c r="K52" s="22" t="s">
        <v>3228</v>
      </c>
      <c r="L52" s="33" t="str">
        <f t="shared" si="12"/>
        <v>凡品升星石32/元宝64000</v>
      </c>
      <c r="M52" s="22">
        <v>30</v>
      </c>
    </row>
    <row r="53" spans="1:13" ht="15.75" x14ac:dyDescent="0.3">
      <c r="A53" s="22" t="s">
        <v>49</v>
      </c>
      <c r="B53" s="22" t="s">
        <v>33</v>
      </c>
      <c r="C53" s="22" t="s">
        <v>1911</v>
      </c>
      <c r="D53" s="2"/>
      <c r="E53" s="2"/>
      <c r="F53" s="23" t="s">
        <v>3181</v>
      </c>
      <c r="G53" s="22">
        <v>10</v>
      </c>
      <c r="H53" s="2"/>
      <c r="I53" s="2"/>
      <c r="J53" s="22" t="str">
        <f t="shared" si="13"/>
        <v>3#3#38|3#4#77|3#5#38|3#6#77|3#7#38|3#8#77</v>
      </c>
      <c r="K53" s="22" t="s">
        <v>3229</v>
      </c>
      <c r="L53" s="33" t="str">
        <f t="shared" si="12"/>
        <v>凡品升星石37/元宝74000</v>
      </c>
      <c r="M53" s="22">
        <v>20</v>
      </c>
    </row>
    <row r="54" spans="1:13" ht="15.75" x14ac:dyDescent="0.3">
      <c r="A54" s="22" t="s">
        <v>49</v>
      </c>
      <c r="B54" s="22" t="s">
        <v>33</v>
      </c>
      <c r="C54" s="22" t="s">
        <v>1911</v>
      </c>
      <c r="D54" s="2"/>
      <c r="E54" s="2"/>
      <c r="F54" s="23" t="s">
        <v>3183</v>
      </c>
      <c r="G54" s="22">
        <v>11</v>
      </c>
      <c r="H54" s="2"/>
      <c r="I54" s="2"/>
      <c r="J54" s="22" t="str">
        <f t="shared" si="13"/>
        <v>3#3#42|3#4#85|3#5#42|3#6#85|3#7#42|3#8#85</v>
      </c>
      <c r="K54" s="22" t="s">
        <v>3230</v>
      </c>
      <c r="L54" s="33" t="str">
        <f t="shared" si="12"/>
        <v>凡品升星石37/元宝74000</v>
      </c>
      <c r="M54" s="22">
        <v>15</v>
      </c>
    </row>
    <row r="55" spans="1:13" ht="15.75" x14ac:dyDescent="0.3">
      <c r="A55" s="22" t="s">
        <v>49</v>
      </c>
      <c r="B55" s="22" t="s">
        <v>33</v>
      </c>
      <c r="C55" s="22" t="s">
        <v>1911</v>
      </c>
      <c r="D55" s="2"/>
      <c r="E55" s="2"/>
      <c r="F55" s="23" t="s">
        <v>3185</v>
      </c>
      <c r="G55" s="22">
        <v>12</v>
      </c>
      <c r="H55" s="2"/>
      <c r="I55" s="2"/>
      <c r="J55" s="22" t="str">
        <f t="shared" si="13"/>
        <v>3#3#46|3#4#93|3#5#46|3#6#93|3#7#46|3#8#93</v>
      </c>
      <c r="K55" s="22" t="s">
        <v>3231</v>
      </c>
      <c r="L55" s="33" t="str">
        <f>"仙品升星石"&amp;INT(X16/2)&amp;"/元宝"&amp;Y16</f>
        <v>仙品升星石19/元宝78000</v>
      </c>
      <c r="M55" s="22">
        <v>100</v>
      </c>
    </row>
    <row r="56" spans="1:13" ht="15.75" x14ac:dyDescent="0.3">
      <c r="A56" s="22" t="s">
        <v>49</v>
      </c>
      <c r="B56" s="22" t="s">
        <v>33</v>
      </c>
      <c r="C56" s="22" t="s">
        <v>1911</v>
      </c>
      <c r="D56" s="2"/>
      <c r="E56" s="2"/>
      <c r="F56" s="23" t="s">
        <v>3187</v>
      </c>
      <c r="G56" s="22">
        <v>13</v>
      </c>
      <c r="H56" s="2"/>
      <c r="I56" s="2"/>
      <c r="J56" s="22" t="str">
        <f t="shared" si="13"/>
        <v>3#3#54|3#4#108|3#5#54|3#6#108|3#7#54|3#8#108</v>
      </c>
      <c r="K56" s="22" t="s">
        <v>3231</v>
      </c>
      <c r="L56" s="33" t="str">
        <f t="shared" ref="L56:L66" si="14">"仙品升星石"&amp;INT(X17/2)&amp;"/元宝"&amp;Y17</f>
        <v>仙品升星石19/元宝78000</v>
      </c>
      <c r="M56" s="22">
        <v>100</v>
      </c>
    </row>
    <row r="57" spans="1:13" ht="15.75" x14ac:dyDescent="0.3">
      <c r="A57" s="22" t="s">
        <v>49</v>
      </c>
      <c r="B57" s="22" t="s">
        <v>33</v>
      </c>
      <c r="C57" s="22" t="s">
        <v>1911</v>
      </c>
      <c r="D57" s="2"/>
      <c r="E57" s="2"/>
      <c r="F57" s="23" t="s">
        <v>3188</v>
      </c>
      <c r="G57" s="22">
        <v>14</v>
      </c>
      <c r="H57" s="2"/>
      <c r="I57" s="2"/>
      <c r="J57" s="22" t="str">
        <f t="shared" si="13"/>
        <v>3#3#58|3#4#116|3#5#58|3#6#116|3#7#58|3#8#116</v>
      </c>
      <c r="K57" s="22" t="s">
        <v>3231</v>
      </c>
      <c r="L57" s="33" t="str">
        <f t="shared" si="14"/>
        <v>仙品升星石21/元宝84000</v>
      </c>
      <c r="M57" s="22">
        <v>100</v>
      </c>
    </row>
    <row r="58" spans="1:13" ht="15.75" x14ac:dyDescent="0.3">
      <c r="A58" s="22" t="s">
        <v>49</v>
      </c>
      <c r="B58" s="22" t="s">
        <v>33</v>
      </c>
      <c r="C58" s="22" t="s">
        <v>1911</v>
      </c>
      <c r="D58" s="2"/>
      <c r="E58" s="2"/>
      <c r="F58" s="23" t="s">
        <v>3189</v>
      </c>
      <c r="G58" s="22">
        <v>15</v>
      </c>
      <c r="H58" s="2"/>
      <c r="I58" s="2"/>
      <c r="J58" s="22" t="str">
        <f t="shared" si="13"/>
        <v>3#3#62|3#4#124|3#5#62|3#6#124|3#7#62|3#8#124</v>
      </c>
      <c r="K58" s="22" t="s">
        <v>3231</v>
      </c>
      <c r="L58" s="33" t="str">
        <f t="shared" si="14"/>
        <v>仙品升星石21/元宝84000</v>
      </c>
      <c r="M58" s="22">
        <v>70</v>
      </c>
    </row>
    <row r="59" spans="1:13" ht="15.75" x14ac:dyDescent="0.3">
      <c r="A59" s="22" t="s">
        <v>49</v>
      </c>
      <c r="B59" s="22" t="s">
        <v>33</v>
      </c>
      <c r="C59" s="22" t="s">
        <v>1911</v>
      </c>
      <c r="D59" s="2"/>
      <c r="E59" s="2"/>
      <c r="F59" s="23" t="s">
        <v>3190</v>
      </c>
      <c r="G59" s="22">
        <v>16</v>
      </c>
      <c r="H59" s="2"/>
      <c r="I59" s="2"/>
      <c r="J59" s="22" t="str">
        <f t="shared" si="13"/>
        <v>3#3#66|3#4#132|3#5#66|3#6#132|3#7#66|3#8#132</v>
      </c>
      <c r="K59" s="22" t="s">
        <v>3231</v>
      </c>
      <c r="L59" s="33" t="str">
        <f t="shared" si="14"/>
        <v>仙品升星石23/元宝92000</v>
      </c>
      <c r="M59" s="22">
        <v>60</v>
      </c>
    </row>
    <row r="60" spans="1:13" ht="15.75" x14ac:dyDescent="0.3">
      <c r="A60" s="22" t="s">
        <v>49</v>
      </c>
      <c r="B60" s="22" t="s">
        <v>33</v>
      </c>
      <c r="C60" s="22" t="s">
        <v>1911</v>
      </c>
      <c r="D60" s="2"/>
      <c r="E60" s="2"/>
      <c r="F60" s="23" t="s">
        <v>3191</v>
      </c>
      <c r="G60" s="22">
        <v>17</v>
      </c>
      <c r="H60" s="2"/>
      <c r="I60" s="2"/>
      <c r="J60" s="22" t="str">
        <f t="shared" si="13"/>
        <v>3#3#79|3#4#159|3#5#79|3#6#159|3#7#79|3#8#159</v>
      </c>
      <c r="K60" s="22" t="s">
        <v>3231</v>
      </c>
      <c r="L60" s="33" t="str">
        <f t="shared" si="14"/>
        <v>仙品升星石23/元宝92000</v>
      </c>
      <c r="M60" s="22">
        <v>50</v>
      </c>
    </row>
    <row r="61" spans="1:13" ht="15.75" x14ac:dyDescent="0.3">
      <c r="A61" s="22" t="s">
        <v>49</v>
      </c>
      <c r="B61" s="22" t="s">
        <v>33</v>
      </c>
      <c r="C61" s="22" t="s">
        <v>1911</v>
      </c>
      <c r="D61" s="2"/>
      <c r="E61" s="2"/>
      <c r="F61" s="23" t="s">
        <v>3192</v>
      </c>
      <c r="G61" s="22">
        <v>18</v>
      </c>
      <c r="H61" s="2"/>
      <c r="I61" s="2"/>
      <c r="J61" s="22" t="str">
        <f t="shared" si="13"/>
        <v>3#3#85|3#4#170|3#5#85|3#6#170|3#7#85|3#8#170</v>
      </c>
      <c r="K61" s="22" t="s">
        <v>3232</v>
      </c>
      <c r="L61" s="33" t="str">
        <f t="shared" si="14"/>
        <v>仙品升星石24/元宝98000</v>
      </c>
      <c r="M61" s="22">
        <v>40</v>
      </c>
    </row>
    <row r="62" spans="1:13" ht="15.75" x14ac:dyDescent="0.3">
      <c r="A62" s="22" t="s">
        <v>49</v>
      </c>
      <c r="B62" s="22" t="s">
        <v>33</v>
      </c>
      <c r="C62" s="22" t="s">
        <v>1911</v>
      </c>
      <c r="D62" s="2"/>
      <c r="E62" s="2"/>
      <c r="F62" s="23" t="s">
        <v>3194</v>
      </c>
      <c r="G62" s="22">
        <v>19</v>
      </c>
      <c r="H62" s="2"/>
      <c r="I62" s="2"/>
      <c r="J62" s="22" t="str">
        <f t="shared" si="13"/>
        <v>3#3#89|3#4#179|3#5#89|3#6#179|3#7#89|3#8#179</v>
      </c>
      <c r="K62" s="22" t="s">
        <v>3233</v>
      </c>
      <c r="L62" s="33" t="str">
        <f t="shared" si="14"/>
        <v>仙品升星石24/元宝98000</v>
      </c>
      <c r="M62" s="22">
        <v>30</v>
      </c>
    </row>
    <row r="63" spans="1:13" ht="15.75" x14ac:dyDescent="0.3">
      <c r="A63" s="22" t="s">
        <v>49</v>
      </c>
      <c r="B63" s="22" t="s">
        <v>33</v>
      </c>
      <c r="C63" s="22" t="s">
        <v>1911</v>
      </c>
      <c r="D63" s="2"/>
      <c r="E63" s="2"/>
      <c r="F63" s="23" t="s">
        <v>3196</v>
      </c>
      <c r="G63" s="22">
        <v>20</v>
      </c>
      <c r="H63" s="2"/>
      <c r="I63" s="2"/>
      <c r="J63" s="22" t="str">
        <f t="shared" si="13"/>
        <v>3#3#94|3#4#188|3#5#94|3#6#188|3#7#94|3#8#188</v>
      </c>
      <c r="K63" s="22" t="s">
        <v>3233</v>
      </c>
      <c r="L63" s="33" t="str">
        <f t="shared" si="14"/>
        <v>仙品升星石26/元宝104000</v>
      </c>
      <c r="M63" s="22">
        <v>25</v>
      </c>
    </row>
    <row r="64" spans="1:13" ht="15.75" x14ac:dyDescent="0.3">
      <c r="A64" s="22" t="s">
        <v>49</v>
      </c>
      <c r="B64" s="22" t="s">
        <v>33</v>
      </c>
      <c r="C64" s="22" t="s">
        <v>1911</v>
      </c>
      <c r="D64" s="2"/>
      <c r="E64" s="2"/>
      <c r="F64" s="23" t="s">
        <v>3197</v>
      </c>
      <c r="G64" s="22">
        <v>21</v>
      </c>
      <c r="H64" s="2"/>
      <c r="I64" s="2"/>
      <c r="J64" s="22" t="str">
        <f t="shared" si="13"/>
        <v>3#3#110|3#4#221|3#5#110|3#6#221|3#7#110|3#8#221</v>
      </c>
      <c r="K64" s="22" t="s">
        <v>3234</v>
      </c>
      <c r="L64" s="33" t="str">
        <f t="shared" si="14"/>
        <v>仙品升星石26/元宝104000</v>
      </c>
      <c r="M64" s="22">
        <v>20</v>
      </c>
    </row>
    <row r="65" spans="1:13" ht="15.75" x14ac:dyDescent="0.3">
      <c r="A65" s="22" t="s">
        <v>49</v>
      </c>
      <c r="B65" s="22" t="s">
        <v>33</v>
      </c>
      <c r="C65" s="22" t="s">
        <v>1911</v>
      </c>
      <c r="D65" s="2"/>
      <c r="E65" s="2"/>
      <c r="F65" s="23" t="s">
        <v>3199</v>
      </c>
      <c r="G65" s="22">
        <v>22</v>
      </c>
      <c r="H65" s="2"/>
      <c r="I65" s="2"/>
      <c r="J65" s="22" t="str">
        <f t="shared" si="13"/>
        <v>3#3#115|3#4#231|3#5#115|3#6#231|3#7#115|3#8#231</v>
      </c>
      <c r="K65" s="22" t="s">
        <v>3235</v>
      </c>
      <c r="L65" s="33" t="str">
        <f t="shared" si="14"/>
        <v>仙品升星石27/元宝110000</v>
      </c>
      <c r="M65" s="22">
        <v>15</v>
      </c>
    </row>
    <row r="66" spans="1:13" ht="15.75" x14ac:dyDescent="0.3">
      <c r="A66" s="22" t="s">
        <v>49</v>
      </c>
      <c r="B66" s="22" t="s">
        <v>33</v>
      </c>
      <c r="C66" s="22" t="s">
        <v>1911</v>
      </c>
      <c r="D66" s="2"/>
      <c r="E66" s="2"/>
      <c r="F66" s="23" t="s">
        <v>3201</v>
      </c>
      <c r="G66" s="22">
        <v>23</v>
      </c>
      <c r="H66" s="2"/>
      <c r="I66" s="2"/>
      <c r="J66" s="22" t="str">
        <f t="shared" si="13"/>
        <v>3#3#121|3#4#242|3#5#121|3#6#242|3#7#121|3#8#242</v>
      </c>
      <c r="K66" s="22" t="s">
        <v>3236</v>
      </c>
      <c r="L66" s="33" t="str">
        <f t="shared" si="14"/>
        <v>仙品升星石27/元宝110000</v>
      </c>
      <c r="M66" s="22">
        <v>10</v>
      </c>
    </row>
    <row r="67" spans="1:13" ht="15.75" x14ac:dyDescent="0.3">
      <c r="A67" s="22" t="s">
        <v>49</v>
      </c>
      <c r="B67" s="22" t="s">
        <v>33</v>
      </c>
      <c r="C67" s="22" t="s">
        <v>1911</v>
      </c>
      <c r="D67" s="2"/>
      <c r="E67" s="2"/>
      <c r="F67" s="23" t="s">
        <v>3203</v>
      </c>
      <c r="G67" s="22">
        <v>24</v>
      </c>
      <c r="H67" s="2"/>
      <c r="I67" s="2"/>
      <c r="J67" s="22" t="str">
        <f t="shared" si="13"/>
        <v>3#3#126|3#4#252|3#5#126|3#6#252|3#7#126|3#8#252</v>
      </c>
      <c r="K67" s="22" t="s">
        <v>3237</v>
      </c>
      <c r="L67" s="33" t="str">
        <f>"神品升星石"&amp;INT(X28/10)&amp;"/元宝"&amp;Y28</f>
        <v>神品升星石5/元宝116000</v>
      </c>
      <c r="M67" s="22">
        <v>100</v>
      </c>
    </row>
    <row r="68" spans="1:13" ht="15.75" x14ac:dyDescent="0.3">
      <c r="A68" s="22" t="s">
        <v>49</v>
      </c>
      <c r="B68" s="22" t="s">
        <v>33</v>
      </c>
      <c r="C68" s="22" t="s">
        <v>1911</v>
      </c>
      <c r="D68" s="2"/>
      <c r="E68" s="2"/>
      <c r="F68" s="23" t="s">
        <v>3205</v>
      </c>
      <c r="G68" s="22">
        <v>25</v>
      </c>
      <c r="H68" s="2"/>
      <c r="I68" s="2"/>
      <c r="J68" s="22" t="str">
        <f t="shared" si="13"/>
        <v>3#3#138|3#4#277|3#5#138|3#6#277|3#7#138|3#8#277</v>
      </c>
      <c r="K68" s="22" t="s">
        <v>3237</v>
      </c>
      <c r="L68" s="33" t="str">
        <f t="shared" ref="L68:L78" si="15">"神品升星石"&amp;INT(X29/10)&amp;"/元宝"&amp;Y29</f>
        <v>神品升星石5/元宝116000</v>
      </c>
      <c r="M68" s="22">
        <v>100</v>
      </c>
    </row>
    <row r="69" spans="1:13" ht="15.75" x14ac:dyDescent="0.3">
      <c r="A69" s="22" t="s">
        <v>49</v>
      </c>
      <c r="B69" s="22" t="s">
        <v>33</v>
      </c>
      <c r="C69" s="22" t="s">
        <v>1911</v>
      </c>
      <c r="D69" s="2"/>
      <c r="E69" s="2"/>
      <c r="F69" s="23" t="s">
        <v>3206</v>
      </c>
      <c r="G69" s="22">
        <v>26</v>
      </c>
      <c r="H69" s="2"/>
      <c r="I69" s="2"/>
      <c r="J69" s="22" t="str">
        <f t="shared" si="13"/>
        <v>3#3#144|3#4#288|3#5#144|3#6#288|3#7#144|3#8#288</v>
      </c>
      <c r="K69" s="22" t="s">
        <v>3237</v>
      </c>
      <c r="L69" s="33" t="str">
        <f t="shared" si="15"/>
        <v>神品升星石6/元宝122000</v>
      </c>
      <c r="M69" s="22">
        <v>100</v>
      </c>
    </row>
    <row r="70" spans="1:13" ht="15.75" x14ac:dyDescent="0.3">
      <c r="A70" s="22" t="s">
        <v>49</v>
      </c>
      <c r="B70" s="22" t="s">
        <v>33</v>
      </c>
      <c r="C70" s="22" t="s">
        <v>1911</v>
      </c>
      <c r="D70" s="2"/>
      <c r="E70" s="2"/>
      <c r="F70" s="23" t="s">
        <v>3207</v>
      </c>
      <c r="G70" s="22">
        <v>27</v>
      </c>
      <c r="H70" s="2"/>
      <c r="I70" s="2"/>
      <c r="J70" s="22" t="str">
        <f t="shared" si="13"/>
        <v>3#3#150|3#4#300|3#5#150|3#6#300|3#7#150|3#8#300</v>
      </c>
      <c r="K70" s="22" t="s">
        <v>3237</v>
      </c>
      <c r="L70" s="33" t="str">
        <f t="shared" si="15"/>
        <v>神品升星石6/元宝122000</v>
      </c>
      <c r="M70" s="22">
        <v>70</v>
      </c>
    </row>
    <row r="71" spans="1:13" ht="15.75" x14ac:dyDescent="0.3">
      <c r="A71" s="22" t="s">
        <v>49</v>
      </c>
      <c r="B71" s="22" t="s">
        <v>33</v>
      </c>
      <c r="C71" s="22" t="s">
        <v>1911</v>
      </c>
      <c r="D71" s="2"/>
      <c r="E71" s="2"/>
      <c r="F71" s="23" t="s">
        <v>3208</v>
      </c>
      <c r="G71" s="22">
        <v>28</v>
      </c>
      <c r="H71" s="2"/>
      <c r="I71" s="2"/>
      <c r="J71" s="22" t="str">
        <f t="shared" si="13"/>
        <v>3#3#155|3#4#311|3#5#155|3#6#311|3#7#155|3#8#311</v>
      </c>
      <c r="K71" s="22" t="s">
        <v>3237</v>
      </c>
      <c r="L71" s="33" t="str">
        <f t="shared" si="15"/>
        <v>神品升星石6/元宝130000</v>
      </c>
      <c r="M71" s="22">
        <v>60</v>
      </c>
    </row>
    <row r="72" spans="1:13" ht="15.75" x14ac:dyDescent="0.3">
      <c r="A72" s="22" t="s">
        <v>49</v>
      </c>
      <c r="B72" s="22" t="s">
        <v>33</v>
      </c>
      <c r="C72" s="22" t="s">
        <v>1911</v>
      </c>
      <c r="D72" s="2"/>
      <c r="E72" s="2"/>
      <c r="F72" s="23" t="s">
        <v>3209</v>
      </c>
      <c r="G72" s="22">
        <v>29</v>
      </c>
      <c r="H72" s="2"/>
      <c r="I72" s="2"/>
      <c r="J72" s="22" t="str">
        <f t="shared" si="13"/>
        <v>3#3#161|3#4#322|3#5#161|3#6#322|3#7#161|3#8#322</v>
      </c>
      <c r="K72" s="22" t="s">
        <v>3237</v>
      </c>
      <c r="L72" s="33" t="str">
        <f t="shared" si="15"/>
        <v>神品升星石6/元宝130000</v>
      </c>
      <c r="M72" s="22">
        <v>50</v>
      </c>
    </row>
    <row r="73" spans="1:13" ht="15.75" x14ac:dyDescent="0.3">
      <c r="A73" s="22" t="s">
        <v>49</v>
      </c>
      <c r="B73" s="22" t="s">
        <v>33</v>
      </c>
      <c r="C73" s="22" t="s">
        <v>1911</v>
      </c>
      <c r="D73" s="2"/>
      <c r="E73" s="2"/>
      <c r="F73" s="23" t="s">
        <v>3210</v>
      </c>
      <c r="G73" s="22">
        <v>30</v>
      </c>
      <c r="H73" s="2"/>
      <c r="I73" s="2"/>
      <c r="J73" s="22" t="str">
        <f t="shared" si="13"/>
        <v>3#3#166|3#4#333|3#5#166|3#6#333|3#7#166|3#8#333</v>
      </c>
      <c r="K73" s="22" t="s">
        <v>3237</v>
      </c>
      <c r="L73" s="33" t="str">
        <f t="shared" si="15"/>
        <v>神品升星石6/元宝136000</v>
      </c>
      <c r="M73" s="22">
        <v>40</v>
      </c>
    </row>
    <row r="74" spans="1:13" ht="15.75" x14ac:dyDescent="0.3">
      <c r="A74" s="22" t="s">
        <v>49</v>
      </c>
      <c r="B74" s="22" t="s">
        <v>33</v>
      </c>
      <c r="C74" s="22" t="s">
        <v>1911</v>
      </c>
      <c r="D74" s="2"/>
      <c r="E74" s="2"/>
      <c r="F74" s="23" t="s">
        <v>3211</v>
      </c>
      <c r="G74" s="22">
        <v>31</v>
      </c>
      <c r="H74" s="2"/>
      <c r="I74" s="2"/>
      <c r="J74" s="22" t="str">
        <f t="shared" si="13"/>
        <v>3#3#172|3#4#344|3#5#172|3#6#344|3#7#172|3#8#344</v>
      </c>
      <c r="K74" s="22" t="s">
        <v>3238</v>
      </c>
      <c r="L74" s="33" t="str">
        <f t="shared" si="15"/>
        <v>神品升星石6/元宝136000</v>
      </c>
      <c r="M74" s="22">
        <v>30</v>
      </c>
    </row>
    <row r="75" spans="1:13" ht="15.75" x14ac:dyDescent="0.3">
      <c r="A75" s="22" t="s">
        <v>49</v>
      </c>
      <c r="B75" s="22" t="s">
        <v>33</v>
      </c>
      <c r="C75" s="22" t="s">
        <v>1911</v>
      </c>
      <c r="D75" s="2"/>
      <c r="E75" s="2"/>
      <c r="F75" s="23" t="s">
        <v>3213</v>
      </c>
      <c r="G75" s="22">
        <v>32</v>
      </c>
      <c r="H75" s="2"/>
      <c r="I75" s="2"/>
      <c r="J75" s="22" t="str">
        <f t="shared" si="13"/>
        <v>3#3#177|3#4#355|3#5#177|3#6#355|3#7#177|3#8#355</v>
      </c>
      <c r="K75" s="22" t="s">
        <v>3239</v>
      </c>
      <c r="L75" s="33" t="str">
        <f t="shared" si="15"/>
        <v>神品升星石7/元宝142000</v>
      </c>
      <c r="M75" s="22">
        <v>25</v>
      </c>
    </row>
    <row r="76" spans="1:13" ht="15.75" x14ac:dyDescent="0.3">
      <c r="A76" s="22" t="s">
        <v>49</v>
      </c>
      <c r="B76" s="22" t="s">
        <v>33</v>
      </c>
      <c r="C76" s="22" t="s">
        <v>1911</v>
      </c>
      <c r="D76" s="2"/>
      <c r="E76" s="2"/>
      <c r="F76" s="23" t="s">
        <v>3215</v>
      </c>
      <c r="G76" s="22">
        <v>33</v>
      </c>
      <c r="H76" s="2"/>
      <c r="I76" s="2"/>
      <c r="J76" s="22" t="str">
        <f t="shared" si="13"/>
        <v>3#3#183|3#4#366|3#5#183|3#6#366|3#7#183|3#8#366</v>
      </c>
      <c r="K76" s="22" t="s">
        <v>3240</v>
      </c>
      <c r="L76" s="33" t="str">
        <f t="shared" si="15"/>
        <v>神品升星石7/元宝142000</v>
      </c>
      <c r="M76" s="22">
        <v>20</v>
      </c>
    </row>
    <row r="77" spans="1:13" ht="15.75" x14ac:dyDescent="0.3">
      <c r="A77" s="22" t="s">
        <v>49</v>
      </c>
      <c r="B77" s="22" t="s">
        <v>33</v>
      </c>
      <c r="C77" s="22" t="s">
        <v>1911</v>
      </c>
      <c r="D77" s="2"/>
      <c r="E77" s="2"/>
      <c r="F77" s="23" t="s">
        <v>3217</v>
      </c>
      <c r="G77" s="22">
        <v>34</v>
      </c>
      <c r="H77" s="2"/>
      <c r="I77" s="2"/>
      <c r="J77" s="22" t="str">
        <f t="shared" si="13"/>
        <v>3#3#188|3#4#377|3#5#188|3#6#377|3#7#188|3#8#377</v>
      </c>
      <c r="K77" s="22" t="s">
        <v>3241</v>
      </c>
      <c r="L77" s="33" t="str">
        <f t="shared" si="15"/>
        <v>神品升星石7/元宝148000</v>
      </c>
      <c r="M77" s="22">
        <v>15</v>
      </c>
    </row>
    <row r="78" spans="1:13" ht="15.75" x14ac:dyDescent="0.3">
      <c r="A78" s="22" t="s">
        <v>49</v>
      </c>
      <c r="B78" s="22" t="s">
        <v>33</v>
      </c>
      <c r="C78" s="22" t="s">
        <v>1911</v>
      </c>
      <c r="D78" s="2"/>
      <c r="E78" s="2"/>
      <c r="F78" s="23" t="s">
        <v>3219</v>
      </c>
      <c r="G78" s="22">
        <v>35</v>
      </c>
      <c r="H78" s="2"/>
      <c r="I78" s="2"/>
      <c r="J78" s="22" t="str">
        <f t="shared" si="13"/>
        <v>3#3#194|3#4#388|3#5#194|3#6#388|3#7#194|3#8#388</v>
      </c>
      <c r="K78" s="22" t="s">
        <v>3242</v>
      </c>
      <c r="L78" s="33" t="str">
        <f t="shared" si="15"/>
        <v>神品升星石7/元宝148000</v>
      </c>
      <c r="M78" s="22">
        <v>10</v>
      </c>
    </row>
    <row r="79" spans="1:13" ht="15.75" x14ac:dyDescent="0.3">
      <c r="A79" s="22" t="s">
        <v>49</v>
      </c>
      <c r="B79" s="22" t="s">
        <v>33</v>
      </c>
      <c r="C79" s="22" t="s">
        <v>1911</v>
      </c>
      <c r="D79" s="2"/>
      <c r="E79" s="2"/>
      <c r="F79" s="23" t="s">
        <v>3221</v>
      </c>
      <c r="G79" s="22">
        <v>36</v>
      </c>
      <c r="H79" s="2"/>
      <c r="I79" s="2"/>
      <c r="J79" s="22" t="str">
        <f t="shared" si="13"/>
        <v>3#3#200|3#4#400|3#5#200|3#6#400|3#7#200|3#8#400</v>
      </c>
      <c r="K79" s="22" t="s">
        <v>3243</v>
      </c>
      <c r="L79" s="2"/>
      <c r="M79" s="22"/>
    </row>
    <row r="80" spans="1:13" ht="15.75" x14ac:dyDescent="0.3">
      <c r="A80" s="22" t="s">
        <v>49</v>
      </c>
      <c r="B80" s="22" t="s">
        <v>33</v>
      </c>
      <c r="C80" s="22" t="s">
        <v>1911</v>
      </c>
      <c r="D80" s="2"/>
      <c r="E80" s="2"/>
      <c r="F80" s="23" t="s">
        <v>3223</v>
      </c>
      <c r="G80" s="22">
        <v>37</v>
      </c>
      <c r="H80" s="2"/>
      <c r="I80" s="2"/>
      <c r="J80" s="22"/>
      <c r="K80" s="22"/>
      <c r="L80" s="2"/>
      <c r="M80" s="22"/>
    </row>
    <row r="81" spans="1:13" ht="15.75" x14ac:dyDescent="0.3">
      <c r="A81" s="22" t="s">
        <v>49</v>
      </c>
      <c r="B81" s="22" t="s">
        <v>33</v>
      </c>
      <c r="C81" s="22" t="s">
        <v>1911</v>
      </c>
      <c r="D81" s="2"/>
      <c r="E81" s="2"/>
      <c r="F81" s="23" t="s">
        <v>3224</v>
      </c>
      <c r="G81" s="22">
        <v>38</v>
      </c>
      <c r="H81" s="2"/>
      <c r="I81" s="2"/>
      <c r="J81" s="22"/>
      <c r="K81" s="22"/>
      <c r="L81" s="2"/>
      <c r="M81" s="22"/>
    </row>
    <row r="82" spans="1:13" ht="15.75" x14ac:dyDescent="0.3">
      <c r="A82" s="22" t="s">
        <v>49</v>
      </c>
      <c r="B82" s="22" t="s">
        <v>33</v>
      </c>
      <c r="C82" s="22" t="s">
        <v>1911</v>
      </c>
      <c r="D82" s="2"/>
      <c r="E82" s="2"/>
      <c r="F82" s="23" t="s">
        <v>3225</v>
      </c>
      <c r="G82" s="22">
        <v>39</v>
      </c>
      <c r="H82" s="2"/>
      <c r="I82" s="2"/>
      <c r="J82" s="22"/>
      <c r="K82" s="22"/>
      <c r="L82" s="2"/>
      <c r="M82" s="22"/>
    </row>
    <row r="83" spans="1:13" ht="15.75" x14ac:dyDescent="0.3">
      <c r="A83" s="22" t="s">
        <v>49</v>
      </c>
      <c r="B83" s="22" t="s">
        <v>33</v>
      </c>
      <c r="C83" s="22" t="s">
        <v>1915</v>
      </c>
      <c r="D83" s="22"/>
      <c r="E83" s="22"/>
      <c r="F83" s="23" t="s">
        <v>3168</v>
      </c>
      <c r="G83" s="22">
        <v>0</v>
      </c>
      <c r="H83" s="32"/>
      <c r="I83" s="22"/>
      <c r="J83" s="22"/>
      <c r="K83" s="22"/>
      <c r="L83" s="33" t="str">
        <f>"凡品升星石"&amp;X4&amp;"/元宝"&amp;Y4</f>
        <v>凡品升星石16/元宝32000</v>
      </c>
      <c r="M83" s="22">
        <v>100</v>
      </c>
    </row>
    <row r="84" spans="1:13" ht="15.75" x14ac:dyDescent="0.3">
      <c r="A84" s="22" t="s">
        <v>49</v>
      </c>
      <c r="B84" s="22" t="s">
        <v>33</v>
      </c>
      <c r="C84" s="22" t="s">
        <v>1915</v>
      </c>
      <c r="D84" s="22"/>
      <c r="E84" s="22"/>
      <c r="F84" s="23" t="s">
        <v>3169</v>
      </c>
      <c r="G84" s="22">
        <v>1</v>
      </c>
      <c r="H84" s="32"/>
      <c r="I84" s="22"/>
      <c r="J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84" s="22"/>
      <c r="L84" s="33" t="str">
        <f t="shared" ref="L84:L94" si="16">"凡品升星石"&amp;X5&amp;"/元宝"&amp;Y5</f>
        <v>凡品升星石16/元宝32000</v>
      </c>
      <c r="M84" s="22">
        <v>100</v>
      </c>
    </row>
    <row r="85" spans="1:13" ht="15.75" x14ac:dyDescent="0.3">
      <c r="A85" s="22" t="s">
        <v>49</v>
      </c>
      <c r="B85" s="22" t="s">
        <v>33</v>
      </c>
      <c r="C85" s="22" t="s">
        <v>1915</v>
      </c>
      <c r="D85" s="2"/>
      <c r="E85" s="2"/>
      <c r="F85" s="23" t="s">
        <v>3170</v>
      </c>
      <c r="G85" s="22">
        <v>2</v>
      </c>
      <c r="H85" s="2"/>
      <c r="I85" s="2"/>
      <c r="J85" s="22" t="str">
        <f t="shared" ref="J85:J119" si="17">"3#3#"&amp;INT(0.5*S5)&amp;"|"&amp;"3#4#"&amp;S5&amp;"|"&amp;"3#5#"&amp;INT(0.5*S5)&amp;"|"&amp;"3#6#"&amp;S5&amp;"|"&amp;"3#7#"&amp;INT(0.5*S5)&amp;"|"&amp;"3#8#"&amp;S5</f>
        <v>3#3#5|3#4#11|3#5#5|3#6#11|3#7#5|3#8#11</v>
      </c>
      <c r="K85" s="22"/>
      <c r="L85" s="33" t="str">
        <f t="shared" si="16"/>
        <v>凡品升星石19/元宝38000</v>
      </c>
      <c r="M85" s="22">
        <v>100</v>
      </c>
    </row>
    <row r="86" spans="1:13" ht="15.75" x14ac:dyDescent="0.3">
      <c r="A86" s="22" t="s">
        <v>49</v>
      </c>
      <c r="B86" s="22" t="s">
        <v>33</v>
      </c>
      <c r="C86" s="22" t="s">
        <v>1915</v>
      </c>
      <c r="D86" s="2"/>
      <c r="E86" s="2"/>
      <c r="F86" s="23" t="s">
        <v>3171</v>
      </c>
      <c r="G86" s="22">
        <v>3</v>
      </c>
      <c r="H86" s="2"/>
      <c r="I86" s="2"/>
      <c r="J86" s="22" t="str">
        <f t="shared" si="17"/>
        <v>3#3#8|3#4#16|3#5#8|3#6#16|3#7#8|3#8#16</v>
      </c>
      <c r="K86" s="22"/>
      <c r="L86" s="33" t="str">
        <f t="shared" si="16"/>
        <v>凡品升星石19/元宝38000</v>
      </c>
      <c r="M86" s="22">
        <v>90</v>
      </c>
    </row>
    <row r="87" spans="1:13" ht="15.75" x14ac:dyDescent="0.3">
      <c r="A87" s="22" t="s">
        <v>49</v>
      </c>
      <c r="B87" s="22" t="s">
        <v>33</v>
      </c>
      <c r="C87" s="22" t="s">
        <v>1915</v>
      </c>
      <c r="D87" s="2"/>
      <c r="E87" s="2"/>
      <c r="F87" s="23" t="s">
        <v>3172</v>
      </c>
      <c r="G87" s="22">
        <v>4</v>
      </c>
      <c r="H87" s="2"/>
      <c r="I87" s="2"/>
      <c r="J87" s="22" t="str">
        <f t="shared" si="17"/>
        <v>3#3#11|3#4#22|3#5#11|3#6#22|3#7#11|3#8#22</v>
      </c>
      <c r="K87" s="22"/>
      <c r="L87" s="33" t="str">
        <f t="shared" si="16"/>
        <v>凡品升星石22/元宝44000</v>
      </c>
      <c r="M87" s="22">
        <v>80</v>
      </c>
    </row>
    <row r="88" spans="1:13" ht="15.75" x14ac:dyDescent="0.3">
      <c r="A88" s="22" t="s">
        <v>49</v>
      </c>
      <c r="B88" s="22" t="s">
        <v>33</v>
      </c>
      <c r="C88" s="22" t="s">
        <v>1915</v>
      </c>
      <c r="D88" s="2"/>
      <c r="E88" s="2"/>
      <c r="F88" s="23" t="s">
        <v>3173</v>
      </c>
      <c r="G88" s="22">
        <v>5</v>
      </c>
      <c r="H88" s="2"/>
      <c r="I88" s="2"/>
      <c r="J88" s="22" t="str">
        <f t="shared" si="17"/>
        <v>3#3#16|3#4#33|3#5#16|3#6#33|3#7#16|3#8#33</v>
      </c>
      <c r="K88" s="22"/>
      <c r="L88" s="33" t="str">
        <f t="shared" si="16"/>
        <v>凡品升星石22/元宝44000</v>
      </c>
      <c r="M88" s="22">
        <v>70</v>
      </c>
    </row>
    <row r="89" spans="1:13" ht="15.75" x14ac:dyDescent="0.3">
      <c r="A89" s="22" t="s">
        <v>49</v>
      </c>
      <c r="B89" s="22" t="s">
        <v>33</v>
      </c>
      <c r="C89" s="22" t="s">
        <v>1915</v>
      </c>
      <c r="D89" s="2"/>
      <c r="E89" s="2"/>
      <c r="F89" s="23" t="s">
        <v>3174</v>
      </c>
      <c r="G89" s="22">
        <v>6</v>
      </c>
      <c r="H89" s="2"/>
      <c r="I89" s="2"/>
      <c r="J89" s="22" t="str">
        <f t="shared" si="17"/>
        <v>3#3#19|3#4#39|3#5#19|3#6#39|3#7#19|3#8#39</v>
      </c>
      <c r="K89" s="22"/>
      <c r="L89" s="33" t="str">
        <f t="shared" si="16"/>
        <v>凡品升星石26/元宝52000</v>
      </c>
      <c r="M89" s="22">
        <v>60</v>
      </c>
    </row>
    <row r="90" spans="1:13" ht="15.75" x14ac:dyDescent="0.3">
      <c r="A90" s="22" t="s">
        <v>49</v>
      </c>
      <c r="B90" s="22" t="s">
        <v>33</v>
      </c>
      <c r="C90" s="22" t="s">
        <v>1915</v>
      </c>
      <c r="D90" s="2"/>
      <c r="E90" s="2"/>
      <c r="F90" s="23" t="s">
        <v>3175</v>
      </c>
      <c r="G90" s="22">
        <v>7</v>
      </c>
      <c r="H90" s="2"/>
      <c r="I90" s="2"/>
      <c r="J90" s="22" t="str">
        <f t="shared" si="17"/>
        <v>3#3#23|3#4#46|3#5#23|3#6#46|3#7#23|3#8#46</v>
      </c>
      <c r="K90" s="22" t="s">
        <v>3244</v>
      </c>
      <c r="L90" s="33" t="str">
        <f t="shared" si="16"/>
        <v>凡品升星石26/元宝52000</v>
      </c>
      <c r="M90" s="22">
        <v>50</v>
      </c>
    </row>
    <row r="91" spans="1:13" ht="15.75" x14ac:dyDescent="0.3">
      <c r="A91" s="22" t="s">
        <v>49</v>
      </c>
      <c r="B91" s="22" t="s">
        <v>33</v>
      </c>
      <c r="C91" s="22" t="s">
        <v>1915</v>
      </c>
      <c r="D91" s="2"/>
      <c r="E91" s="2"/>
      <c r="F91" s="23" t="s">
        <v>3177</v>
      </c>
      <c r="G91" s="22">
        <v>8</v>
      </c>
      <c r="H91" s="2"/>
      <c r="I91" s="2"/>
      <c r="J91" s="22" t="str">
        <f t="shared" si="17"/>
        <v>3#3#26|3#4#52|3#5#26|3#6#52|3#7#26|3#8#52</v>
      </c>
      <c r="K91" s="22" t="s">
        <v>3245</v>
      </c>
      <c r="L91" s="33" t="str">
        <f t="shared" si="16"/>
        <v>凡品升星石32/元宝64000</v>
      </c>
      <c r="M91" s="22">
        <v>40</v>
      </c>
    </row>
    <row r="92" spans="1:13" ht="15.75" x14ac:dyDescent="0.3">
      <c r="A92" s="22" t="s">
        <v>49</v>
      </c>
      <c r="B92" s="22" t="s">
        <v>33</v>
      </c>
      <c r="C92" s="22" t="s">
        <v>1915</v>
      </c>
      <c r="D92" s="2"/>
      <c r="E92" s="2"/>
      <c r="F92" s="23" t="s">
        <v>3179</v>
      </c>
      <c r="G92" s="22">
        <v>9</v>
      </c>
      <c r="H92" s="2"/>
      <c r="I92" s="2"/>
      <c r="J92" s="22" t="str">
        <f t="shared" si="17"/>
        <v>3#3#35|3#4#70|3#5#35|3#6#70|3#7#35|3#8#70</v>
      </c>
      <c r="K92" s="22" t="s">
        <v>3246</v>
      </c>
      <c r="L92" s="33" t="str">
        <f t="shared" si="16"/>
        <v>凡品升星石32/元宝64000</v>
      </c>
      <c r="M92" s="22">
        <v>30</v>
      </c>
    </row>
    <row r="93" spans="1:13" ht="15.75" x14ac:dyDescent="0.3">
      <c r="A93" s="22" t="s">
        <v>49</v>
      </c>
      <c r="B93" s="22" t="s">
        <v>33</v>
      </c>
      <c r="C93" s="22" t="s">
        <v>1915</v>
      </c>
      <c r="D93" s="2"/>
      <c r="E93" s="2"/>
      <c r="F93" s="23" t="s">
        <v>3181</v>
      </c>
      <c r="G93" s="22">
        <v>10</v>
      </c>
      <c r="H93" s="2"/>
      <c r="I93" s="2"/>
      <c r="J93" s="22" t="str">
        <f t="shared" si="17"/>
        <v>3#3#38|3#4#77|3#5#38|3#6#77|3#7#38|3#8#77</v>
      </c>
      <c r="K93" s="22" t="s">
        <v>3247</v>
      </c>
      <c r="L93" s="33" t="str">
        <f t="shared" si="16"/>
        <v>凡品升星石37/元宝74000</v>
      </c>
      <c r="M93" s="22">
        <v>20</v>
      </c>
    </row>
    <row r="94" spans="1:13" ht="15.75" x14ac:dyDescent="0.3">
      <c r="A94" s="22" t="s">
        <v>49</v>
      </c>
      <c r="B94" s="22" t="s">
        <v>33</v>
      </c>
      <c r="C94" s="22" t="s">
        <v>1915</v>
      </c>
      <c r="D94" s="2"/>
      <c r="E94" s="2"/>
      <c r="F94" s="23" t="s">
        <v>3183</v>
      </c>
      <c r="G94" s="22">
        <v>11</v>
      </c>
      <c r="H94" s="2"/>
      <c r="I94" s="2"/>
      <c r="J94" s="22" t="str">
        <f t="shared" si="17"/>
        <v>3#3#42|3#4#85|3#5#42|3#6#85|3#7#42|3#8#85</v>
      </c>
      <c r="K94" s="22" t="s">
        <v>3248</v>
      </c>
      <c r="L94" s="33" t="str">
        <f t="shared" si="16"/>
        <v>凡品升星石37/元宝74000</v>
      </c>
      <c r="M94" s="22">
        <v>15</v>
      </c>
    </row>
    <row r="95" spans="1:13" ht="15.75" x14ac:dyDescent="0.3">
      <c r="A95" s="22" t="s">
        <v>49</v>
      </c>
      <c r="B95" s="22" t="s">
        <v>33</v>
      </c>
      <c r="C95" s="22" t="s">
        <v>1915</v>
      </c>
      <c r="D95" s="2"/>
      <c r="E95" s="2"/>
      <c r="F95" s="23" t="s">
        <v>3185</v>
      </c>
      <c r="G95" s="22">
        <v>12</v>
      </c>
      <c r="H95" s="2"/>
      <c r="I95" s="2"/>
      <c r="J95" s="22" t="str">
        <f t="shared" si="17"/>
        <v>3#3#46|3#4#93|3#5#46|3#6#93|3#7#46|3#8#93</v>
      </c>
      <c r="K95" s="22" t="s">
        <v>3249</v>
      </c>
      <c r="L95" s="33" t="str">
        <f>"仙品升星石"&amp;INT(X16/2)&amp;"/元宝"&amp;Y16</f>
        <v>仙品升星石19/元宝78000</v>
      </c>
      <c r="M95" s="22">
        <v>100</v>
      </c>
    </row>
    <row r="96" spans="1:13" ht="15.75" x14ac:dyDescent="0.3">
      <c r="A96" s="22" t="s">
        <v>49</v>
      </c>
      <c r="B96" s="22" t="s">
        <v>33</v>
      </c>
      <c r="C96" s="22" t="s">
        <v>1915</v>
      </c>
      <c r="D96" s="2"/>
      <c r="E96" s="2"/>
      <c r="F96" s="23" t="s">
        <v>3187</v>
      </c>
      <c r="G96" s="22">
        <v>13</v>
      </c>
      <c r="H96" s="2"/>
      <c r="I96" s="2"/>
      <c r="J96" s="22" t="str">
        <f t="shared" si="17"/>
        <v>3#3#54|3#4#108|3#5#54|3#6#108|3#7#54|3#8#108</v>
      </c>
      <c r="K96" s="22" t="s">
        <v>3249</v>
      </c>
      <c r="L96" s="33" t="str">
        <f t="shared" ref="L96:L106" si="18">"仙品升星石"&amp;INT(X17/2)&amp;"/元宝"&amp;Y17</f>
        <v>仙品升星石19/元宝78000</v>
      </c>
      <c r="M96" s="22">
        <v>100</v>
      </c>
    </row>
    <row r="97" spans="1:13" ht="15.75" x14ac:dyDescent="0.3">
      <c r="A97" s="22" t="s">
        <v>49</v>
      </c>
      <c r="B97" s="22" t="s">
        <v>33</v>
      </c>
      <c r="C97" s="22" t="s">
        <v>1915</v>
      </c>
      <c r="D97" s="2"/>
      <c r="E97" s="2"/>
      <c r="F97" s="23" t="s">
        <v>3188</v>
      </c>
      <c r="G97" s="22">
        <v>14</v>
      </c>
      <c r="H97" s="2"/>
      <c r="I97" s="2"/>
      <c r="J97" s="22" t="str">
        <f t="shared" si="17"/>
        <v>3#3#58|3#4#116|3#5#58|3#6#116|3#7#58|3#8#116</v>
      </c>
      <c r="K97" s="22" t="s">
        <v>3249</v>
      </c>
      <c r="L97" s="33" t="str">
        <f t="shared" si="18"/>
        <v>仙品升星石21/元宝84000</v>
      </c>
      <c r="M97" s="22">
        <v>100</v>
      </c>
    </row>
    <row r="98" spans="1:13" ht="15.75" x14ac:dyDescent="0.3">
      <c r="A98" s="22" t="s">
        <v>49</v>
      </c>
      <c r="B98" s="22" t="s">
        <v>33</v>
      </c>
      <c r="C98" s="22" t="s">
        <v>1915</v>
      </c>
      <c r="D98" s="2"/>
      <c r="E98" s="2"/>
      <c r="F98" s="23" t="s">
        <v>3189</v>
      </c>
      <c r="G98" s="22">
        <v>15</v>
      </c>
      <c r="H98" s="2"/>
      <c r="I98" s="2"/>
      <c r="J98" s="22" t="str">
        <f t="shared" si="17"/>
        <v>3#3#62|3#4#124|3#5#62|3#6#124|3#7#62|3#8#124</v>
      </c>
      <c r="K98" s="22" t="s">
        <v>3249</v>
      </c>
      <c r="L98" s="33" t="str">
        <f t="shared" si="18"/>
        <v>仙品升星石21/元宝84000</v>
      </c>
      <c r="M98" s="22">
        <v>70</v>
      </c>
    </row>
    <row r="99" spans="1:13" ht="15.75" x14ac:dyDescent="0.3">
      <c r="A99" s="22" t="s">
        <v>49</v>
      </c>
      <c r="B99" s="22" t="s">
        <v>33</v>
      </c>
      <c r="C99" s="22" t="s">
        <v>1915</v>
      </c>
      <c r="D99" s="2"/>
      <c r="E99" s="2"/>
      <c r="F99" s="23" t="s">
        <v>3190</v>
      </c>
      <c r="G99" s="22">
        <v>16</v>
      </c>
      <c r="H99" s="2"/>
      <c r="I99" s="2"/>
      <c r="J99" s="22" t="str">
        <f t="shared" si="17"/>
        <v>3#3#66|3#4#132|3#5#66|3#6#132|3#7#66|3#8#132</v>
      </c>
      <c r="K99" s="22" t="s">
        <v>3249</v>
      </c>
      <c r="L99" s="33" t="str">
        <f t="shared" si="18"/>
        <v>仙品升星石23/元宝92000</v>
      </c>
      <c r="M99" s="22">
        <v>60</v>
      </c>
    </row>
    <row r="100" spans="1:13" ht="15.75" x14ac:dyDescent="0.3">
      <c r="A100" s="22" t="s">
        <v>49</v>
      </c>
      <c r="B100" s="22" t="s">
        <v>33</v>
      </c>
      <c r="C100" s="22" t="s">
        <v>1915</v>
      </c>
      <c r="D100" s="2"/>
      <c r="E100" s="2"/>
      <c r="F100" s="23" t="s">
        <v>3191</v>
      </c>
      <c r="G100" s="22">
        <v>17</v>
      </c>
      <c r="H100" s="2"/>
      <c r="I100" s="2"/>
      <c r="J100" s="22" t="str">
        <f t="shared" si="17"/>
        <v>3#3#79|3#4#159|3#5#79|3#6#159|3#7#79|3#8#159</v>
      </c>
      <c r="K100" s="22" t="s">
        <v>3249</v>
      </c>
      <c r="L100" s="33" t="str">
        <f t="shared" si="18"/>
        <v>仙品升星石23/元宝92000</v>
      </c>
      <c r="M100" s="22">
        <v>50</v>
      </c>
    </row>
    <row r="101" spans="1:13" ht="15.75" x14ac:dyDescent="0.3">
      <c r="A101" s="22" t="s">
        <v>49</v>
      </c>
      <c r="B101" s="22" t="s">
        <v>33</v>
      </c>
      <c r="C101" s="22" t="s">
        <v>1915</v>
      </c>
      <c r="D101" s="2"/>
      <c r="E101" s="2"/>
      <c r="F101" s="23" t="s">
        <v>3192</v>
      </c>
      <c r="G101" s="22">
        <v>18</v>
      </c>
      <c r="H101" s="2"/>
      <c r="I101" s="2"/>
      <c r="J101" s="22" t="str">
        <f t="shared" si="17"/>
        <v>3#3#85|3#4#170|3#5#85|3#6#170|3#7#85|3#8#170</v>
      </c>
      <c r="K101" s="22" t="s">
        <v>3250</v>
      </c>
      <c r="L101" s="33" t="str">
        <f t="shared" si="18"/>
        <v>仙品升星石24/元宝98000</v>
      </c>
      <c r="M101" s="22">
        <v>40</v>
      </c>
    </row>
    <row r="102" spans="1:13" ht="15.75" x14ac:dyDescent="0.3">
      <c r="A102" s="22" t="s">
        <v>49</v>
      </c>
      <c r="B102" s="22" t="s">
        <v>33</v>
      </c>
      <c r="C102" s="22" t="s">
        <v>1915</v>
      </c>
      <c r="D102" s="2"/>
      <c r="E102" s="2"/>
      <c r="F102" s="23" t="s">
        <v>3194</v>
      </c>
      <c r="G102" s="22">
        <v>19</v>
      </c>
      <c r="H102" s="2"/>
      <c r="I102" s="2"/>
      <c r="J102" s="22" t="str">
        <f t="shared" si="17"/>
        <v>3#3#89|3#4#179|3#5#89|3#6#179|3#7#89|3#8#179</v>
      </c>
      <c r="K102" s="22" t="s">
        <v>3251</v>
      </c>
      <c r="L102" s="33" t="str">
        <f t="shared" si="18"/>
        <v>仙品升星石24/元宝98000</v>
      </c>
      <c r="M102" s="22">
        <v>30</v>
      </c>
    </row>
    <row r="103" spans="1:13" ht="15.75" x14ac:dyDescent="0.3">
      <c r="A103" s="22" t="s">
        <v>49</v>
      </c>
      <c r="B103" s="22" t="s">
        <v>33</v>
      </c>
      <c r="C103" s="22" t="s">
        <v>1915</v>
      </c>
      <c r="D103" s="2"/>
      <c r="E103" s="2"/>
      <c r="F103" s="23" t="s">
        <v>3196</v>
      </c>
      <c r="G103" s="22">
        <v>20</v>
      </c>
      <c r="H103" s="2"/>
      <c r="I103" s="2"/>
      <c r="J103" s="22" t="str">
        <f t="shared" si="17"/>
        <v>3#3#94|3#4#188|3#5#94|3#6#188|3#7#94|3#8#188</v>
      </c>
      <c r="K103" s="22" t="s">
        <v>3251</v>
      </c>
      <c r="L103" s="33" t="str">
        <f t="shared" si="18"/>
        <v>仙品升星石26/元宝104000</v>
      </c>
      <c r="M103" s="22">
        <v>25</v>
      </c>
    </row>
    <row r="104" spans="1:13" ht="15.75" x14ac:dyDescent="0.3">
      <c r="A104" s="22" t="s">
        <v>49</v>
      </c>
      <c r="B104" s="22" t="s">
        <v>33</v>
      </c>
      <c r="C104" s="22" t="s">
        <v>1915</v>
      </c>
      <c r="D104" s="2"/>
      <c r="E104" s="2"/>
      <c r="F104" s="23" t="s">
        <v>3197</v>
      </c>
      <c r="G104" s="22">
        <v>21</v>
      </c>
      <c r="H104" s="2"/>
      <c r="I104" s="2"/>
      <c r="J104" s="22" t="str">
        <f t="shared" si="17"/>
        <v>3#3#110|3#4#221|3#5#110|3#6#221|3#7#110|3#8#221</v>
      </c>
      <c r="K104" s="22" t="s">
        <v>3252</v>
      </c>
      <c r="L104" s="33" t="str">
        <f t="shared" si="18"/>
        <v>仙品升星石26/元宝104000</v>
      </c>
      <c r="M104" s="22">
        <v>20</v>
      </c>
    </row>
    <row r="105" spans="1:13" ht="15.75" x14ac:dyDescent="0.3">
      <c r="A105" s="22" t="s">
        <v>49</v>
      </c>
      <c r="B105" s="22" t="s">
        <v>33</v>
      </c>
      <c r="C105" s="22" t="s">
        <v>1915</v>
      </c>
      <c r="D105" s="2"/>
      <c r="E105" s="2"/>
      <c r="F105" s="23" t="s">
        <v>3199</v>
      </c>
      <c r="G105" s="22">
        <v>22</v>
      </c>
      <c r="H105" s="2"/>
      <c r="I105" s="2"/>
      <c r="J105" s="22" t="str">
        <f t="shared" si="17"/>
        <v>3#3#115|3#4#231|3#5#115|3#6#231|3#7#115|3#8#231</v>
      </c>
      <c r="K105" s="22" t="s">
        <v>3253</v>
      </c>
      <c r="L105" s="33" t="str">
        <f t="shared" si="18"/>
        <v>仙品升星石27/元宝110000</v>
      </c>
      <c r="M105" s="22">
        <v>15</v>
      </c>
    </row>
    <row r="106" spans="1:13" ht="15.75" x14ac:dyDescent="0.3">
      <c r="A106" s="22" t="s">
        <v>49</v>
      </c>
      <c r="B106" s="22" t="s">
        <v>33</v>
      </c>
      <c r="C106" s="22" t="s">
        <v>1915</v>
      </c>
      <c r="D106" s="2"/>
      <c r="E106" s="2"/>
      <c r="F106" s="23" t="s">
        <v>3201</v>
      </c>
      <c r="G106" s="22">
        <v>23</v>
      </c>
      <c r="H106" s="2"/>
      <c r="I106" s="2"/>
      <c r="J106" s="22" t="str">
        <f t="shared" si="17"/>
        <v>3#3#121|3#4#242|3#5#121|3#6#242|3#7#121|3#8#242</v>
      </c>
      <c r="K106" s="22" t="s">
        <v>3254</v>
      </c>
      <c r="L106" s="33" t="str">
        <f t="shared" si="18"/>
        <v>仙品升星石27/元宝110000</v>
      </c>
      <c r="M106" s="22">
        <v>10</v>
      </c>
    </row>
    <row r="107" spans="1:13" ht="15.75" x14ac:dyDescent="0.3">
      <c r="A107" s="22" t="s">
        <v>49</v>
      </c>
      <c r="B107" s="22" t="s">
        <v>33</v>
      </c>
      <c r="C107" s="22" t="s">
        <v>1915</v>
      </c>
      <c r="D107" s="2"/>
      <c r="E107" s="2"/>
      <c r="F107" s="23" t="s">
        <v>3203</v>
      </c>
      <c r="G107" s="22">
        <v>24</v>
      </c>
      <c r="H107" s="2"/>
      <c r="I107" s="2"/>
      <c r="J107" s="22" t="str">
        <f t="shared" si="17"/>
        <v>3#3#126|3#4#252|3#5#126|3#6#252|3#7#126|3#8#252</v>
      </c>
      <c r="K107" s="22" t="s">
        <v>3255</v>
      </c>
      <c r="L107" s="33" t="str">
        <f>"神品升星石"&amp;INT(X28/10)&amp;"/元宝"&amp;Y28</f>
        <v>神品升星石5/元宝116000</v>
      </c>
      <c r="M107" s="22">
        <v>100</v>
      </c>
    </row>
    <row r="108" spans="1:13" ht="15.75" x14ac:dyDescent="0.3">
      <c r="A108" s="22" t="s">
        <v>49</v>
      </c>
      <c r="B108" s="22" t="s">
        <v>33</v>
      </c>
      <c r="C108" s="22" t="s">
        <v>1915</v>
      </c>
      <c r="D108" s="2"/>
      <c r="E108" s="2"/>
      <c r="F108" s="23" t="s">
        <v>3205</v>
      </c>
      <c r="G108" s="22">
        <v>25</v>
      </c>
      <c r="H108" s="2"/>
      <c r="I108" s="2"/>
      <c r="J108" s="22" t="str">
        <f t="shared" si="17"/>
        <v>3#3#138|3#4#277|3#5#138|3#6#277|3#7#138|3#8#277</v>
      </c>
      <c r="K108" s="22" t="s">
        <v>3255</v>
      </c>
      <c r="L108" s="33" t="str">
        <f t="shared" ref="L108:L118" si="19">"神品升星石"&amp;INT(X29/10)&amp;"/元宝"&amp;Y29</f>
        <v>神品升星石5/元宝116000</v>
      </c>
      <c r="M108" s="22">
        <v>100</v>
      </c>
    </row>
    <row r="109" spans="1:13" ht="15.75" x14ac:dyDescent="0.3">
      <c r="A109" s="22" t="s">
        <v>49</v>
      </c>
      <c r="B109" s="22" t="s">
        <v>33</v>
      </c>
      <c r="C109" s="22" t="s">
        <v>1915</v>
      </c>
      <c r="D109" s="2"/>
      <c r="E109" s="2"/>
      <c r="F109" s="23" t="s">
        <v>3206</v>
      </c>
      <c r="G109" s="22">
        <v>26</v>
      </c>
      <c r="H109" s="2"/>
      <c r="I109" s="2"/>
      <c r="J109" s="22" t="str">
        <f t="shared" si="17"/>
        <v>3#3#144|3#4#288|3#5#144|3#6#288|3#7#144|3#8#288</v>
      </c>
      <c r="K109" s="22" t="s">
        <v>3255</v>
      </c>
      <c r="L109" s="33" t="str">
        <f t="shared" si="19"/>
        <v>神品升星石6/元宝122000</v>
      </c>
      <c r="M109" s="22">
        <v>100</v>
      </c>
    </row>
    <row r="110" spans="1:13" ht="15.75" x14ac:dyDescent="0.3">
      <c r="A110" s="22" t="s">
        <v>49</v>
      </c>
      <c r="B110" s="22" t="s">
        <v>33</v>
      </c>
      <c r="C110" s="22" t="s">
        <v>1915</v>
      </c>
      <c r="D110" s="2"/>
      <c r="E110" s="2"/>
      <c r="F110" s="23" t="s">
        <v>3207</v>
      </c>
      <c r="G110" s="22">
        <v>27</v>
      </c>
      <c r="H110" s="2"/>
      <c r="I110" s="2"/>
      <c r="J110" s="22" t="str">
        <f t="shared" si="17"/>
        <v>3#3#150|3#4#300|3#5#150|3#6#300|3#7#150|3#8#300</v>
      </c>
      <c r="K110" s="22" t="s">
        <v>3255</v>
      </c>
      <c r="L110" s="33" t="str">
        <f t="shared" si="19"/>
        <v>神品升星石6/元宝122000</v>
      </c>
      <c r="M110" s="22">
        <v>70</v>
      </c>
    </row>
    <row r="111" spans="1:13" ht="15.75" x14ac:dyDescent="0.3">
      <c r="A111" s="22" t="s">
        <v>49</v>
      </c>
      <c r="B111" s="22" t="s">
        <v>33</v>
      </c>
      <c r="C111" s="22" t="s">
        <v>1915</v>
      </c>
      <c r="D111" s="2"/>
      <c r="E111" s="2"/>
      <c r="F111" s="23" t="s">
        <v>3208</v>
      </c>
      <c r="G111" s="22">
        <v>28</v>
      </c>
      <c r="H111" s="2"/>
      <c r="I111" s="2"/>
      <c r="J111" s="22" t="str">
        <f t="shared" si="17"/>
        <v>3#3#155|3#4#311|3#5#155|3#6#311|3#7#155|3#8#311</v>
      </c>
      <c r="K111" s="22" t="s">
        <v>3255</v>
      </c>
      <c r="L111" s="33" t="str">
        <f t="shared" si="19"/>
        <v>神品升星石6/元宝130000</v>
      </c>
      <c r="M111" s="22">
        <v>60</v>
      </c>
    </row>
    <row r="112" spans="1:13" ht="15.75" x14ac:dyDescent="0.3">
      <c r="A112" s="22" t="s">
        <v>49</v>
      </c>
      <c r="B112" s="22" t="s">
        <v>33</v>
      </c>
      <c r="C112" s="22" t="s">
        <v>1915</v>
      </c>
      <c r="D112" s="2"/>
      <c r="E112" s="2"/>
      <c r="F112" s="23" t="s">
        <v>3209</v>
      </c>
      <c r="G112" s="22">
        <v>29</v>
      </c>
      <c r="H112" s="2"/>
      <c r="I112" s="2"/>
      <c r="J112" s="22" t="str">
        <f t="shared" si="17"/>
        <v>3#3#161|3#4#322|3#5#161|3#6#322|3#7#161|3#8#322</v>
      </c>
      <c r="K112" s="22" t="s">
        <v>3255</v>
      </c>
      <c r="L112" s="33" t="str">
        <f t="shared" si="19"/>
        <v>神品升星石6/元宝130000</v>
      </c>
      <c r="M112" s="22">
        <v>50</v>
      </c>
    </row>
    <row r="113" spans="1:13" ht="15.75" x14ac:dyDescent="0.3">
      <c r="A113" s="22" t="s">
        <v>49</v>
      </c>
      <c r="B113" s="22" t="s">
        <v>33</v>
      </c>
      <c r="C113" s="22" t="s">
        <v>1915</v>
      </c>
      <c r="D113" s="2"/>
      <c r="E113" s="2"/>
      <c r="F113" s="23" t="s">
        <v>3210</v>
      </c>
      <c r="G113" s="22">
        <v>30</v>
      </c>
      <c r="H113" s="2"/>
      <c r="I113" s="2"/>
      <c r="J113" s="22" t="str">
        <f t="shared" si="17"/>
        <v>3#3#166|3#4#333|3#5#166|3#6#333|3#7#166|3#8#333</v>
      </c>
      <c r="K113" s="22" t="s">
        <v>3255</v>
      </c>
      <c r="L113" s="33" t="str">
        <f t="shared" si="19"/>
        <v>神品升星石6/元宝136000</v>
      </c>
      <c r="M113" s="22">
        <v>40</v>
      </c>
    </row>
    <row r="114" spans="1:13" ht="15.75" x14ac:dyDescent="0.3">
      <c r="A114" s="22" t="s">
        <v>49</v>
      </c>
      <c r="B114" s="22" t="s">
        <v>33</v>
      </c>
      <c r="C114" s="22" t="s">
        <v>1915</v>
      </c>
      <c r="D114" s="2"/>
      <c r="E114" s="2"/>
      <c r="F114" s="23" t="s">
        <v>3211</v>
      </c>
      <c r="G114" s="22">
        <v>31</v>
      </c>
      <c r="H114" s="2"/>
      <c r="I114" s="2"/>
      <c r="J114" s="22" t="str">
        <f t="shared" si="17"/>
        <v>3#3#172|3#4#344|3#5#172|3#6#344|3#7#172|3#8#344</v>
      </c>
      <c r="K114" s="22" t="s">
        <v>3256</v>
      </c>
      <c r="L114" s="33" t="str">
        <f t="shared" si="19"/>
        <v>神品升星石6/元宝136000</v>
      </c>
      <c r="M114" s="22">
        <v>30</v>
      </c>
    </row>
    <row r="115" spans="1:13" ht="15.75" x14ac:dyDescent="0.3">
      <c r="A115" s="22" t="s">
        <v>49</v>
      </c>
      <c r="B115" s="22" t="s">
        <v>33</v>
      </c>
      <c r="C115" s="22" t="s">
        <v>1915</v>
      </c>
      <c r="D115" s="2"/>
      <c r="E115" s="2"/>
      <c r="F115" s="23" t="s">
        <v>3213</v>
      </c>
      <c r="G115" s="22">
        <v>32</v>
      </c>
      <c r="H115" s="2"/>
      <c r="I115" s="2"/>
      <c r="J115" s="22" t="str">
        <f t="shared" si="17"/>
        <v>3#3#177|3#4#355|3#5#177|3#6#355|3#7#177|3#8#355</v>
      </c>
      <c r="K115" s="22" t="s">
        <v>3257</v>
      </c>
      <c r="L115" s="33" t="str">
        <f t="shared" si="19"/>
        <v>神品升星石7/元宝142000</v>
      </c>
      <c r="M115" s="22">
        <v>25</v>
      </c>
    </row>
    <row r="116" spans="1:13" ht="15.75" x14ac:dyDescent="0.3">
      <c r="A116" s="22" t="s">
        <v>49</v>
      </c>
      <c r="B116" s="22" t="s">
        <v>33</v>
      </c>
      <c r="C116" s="22" t="s">
        <v>1915</v>
      </c>
      <c r="D116" s="2"/>
      <c r="E116" s="2"/>
      <c r="F116" s="23" t="s">
        <v>3215</v>
      </c>
      <c r="G116" s="22">
        <v>33</v>
      </c>
      <c r="H116" s="2"/>
      <c r="I116" s="2"/>
      <c r="J116" s="22" t="str">
        <f t="shared" si="17"/>
        <v>3#3#183|3#4#366|3#5#183|3#6#366|3#7#183|3#8#366</v>
      </c>
      <c r="K116" s="22" t="s">
        <v>3258</v>
      </c>
      <c r="L116" s="33" t="str">
        <f t="shared" si="19"/>
        <v>神品升星石7/元宝142000</v>
      </c>
      <c r="M116" s="22">
        <v>20</v>
      </c>
    </row>
    <row r="117" spans="1:13" ht="15.75" x14ac:dyDescent="0.3">
      <c r="A117" s="22" t="s">
        <v>49</v>
      </c>
      <c r="B117" s="22" t="s">
        <v>33</v>
      </c>
      <c r="C117" s="22" t="s">
        <v>1915</v>
      </c>
      <c r="D117" s="2"/>
      <c r="E117" s="2"/>
      <c r="F117" s="23" t="s">
        <v>3217</v>
      </c>
      <c r="G117" s="22">
        <v>34</v>
      </c>
      <c r="H117" s="2"/>
      <c r="I117" s="2"/>
      <c r="J117" s="22" t="str">
        <f t="shared" si="17"/>
        <v>3#3#188|3#4#377|3#5#188|3#6#377|3#7#188|3#8#377</v>
      </c>
      <c r="K117" s="22" t="s">
        <v>3259</v>
      </c>
      <c r="L117" s="33" t="str">
        <f t="shared" si="19"/>
        <v>神品升星石7/元宝148000</v>
      </c>
      <c r="M117" s="22">
        <v>15</v>
      </c>
    </row>
    <row r="118" spans="1:13" ht="15.75" x14ac:dyDescent="0.3">
      <c r="A118" s="22" t="s">
        <v>49</v>
      </c>
      <c r="B118" s="22" t="s">
        <v>33</v>
      </c>
      <c r="C118" s="22" t="s">
        <v>1915</v>
      </c>
      <c r="D118" s="2"/>
      <c r="E118" s="2"/>
      <c r="F118" s="23" t="s">
        <v>3219</v>
      </c>
      <c r="G118" s="22">
        <v>35</v>
      </c>
      <c r="H118" s="2"/>
      <c r="I118" s="2"/>
      <c r="J118" s="22" t="str">
        <f t="shared" si="17"/>
        <v>3#3#194|3#4#388|3#5#194|3#6#388|3#7#194|3#8#388</v>
      </c>
      <c r="K118" s="22" t="s">
        <v>3260</v>
      </c>
      <c r="L118" s="33" t="str">
        <f t="shared" si="19"/>
        <v>神品升星石7/元宝148000</v>
      </c>
      <c r="M118" s="22">
        <v>10</v>
      </c>
    </row>
    <row r="119" spans="1:13" ht="15.75" x14ac:dyDescent="0.3">
      <c r="A119" s="22" t="s">
        <v>49</v>
      </c>
      <c r="B119" s="22" t="s">
        <v>33</v>
      </c>
      <c r="C119" s="22" t="s">
        <v>1915</v>
      </c>
      <c r="D119" s="2"/>
      <c r="E119" s="2"/>
      <c r="F119" s="23" t="s">
        <v>3221</v>
      </c>
      <c r="G119" s="22">
        <v>36</v>
      </c>
      <c r="H119" s="2"/>
      <c r="I119" s="2"/>
      <c r="J119" s="22" t="str">
        <f t="shared" si="17"/>
        <v>3#3#200|3#4#400|3#5#200|3#6#400|3#7#200|3#8#400</v>
      </c>
      <c r="K119" s="22" t="s">
        <v>3261</v>
      </c>
      <c r="L119" s="2"/>
      <c r="M119" s="22"/>
    </row>
    <row r="120" spans="1:13" ht="15.75" x14ac:dyDescent="0.3">
      <c r="A120" s="22" t="s">
        <v>49</v>
      </c>
      <c r="B120" s="22" t="s">
        <v>33</v>
      </c>
      <c r="C120" s="22" t="s">
        <v>1915</v>
      </c>
      <c r="D120" s="2"/>
      <c r="E120" s="2"/>
      <c r="F120" s="23" t="s">
        <v>3223</v>
      </c>
      <c r="G120" s="22">
        <v>37</v>
      </c>
      <c r="H120" s="2"/>
      <c r="I120" s="2"/>
      <c r="J120" s="22"/>
      <c r="K120" s="22"/>
      <c r="L120" s="2"/>
      <c r="M120" s="22"/>
    </row>
    <row r="121" spans="1:13" ht="15.75" x14ac:dyDescent="0.3">
      <c r="A121" s="22" t="s">
        <v>49</v>
      </c>
      <c r="B121" s="22" t="s">
        <v>33</v>
      </c>
      <c r="C121" s="22" t="s">
        <v>1915</v>
      </c>
      <c r="D121" s="2"/>
      <c r="E121" s="2"/>
      <c r="F121" s="23" t="s">
        <v>3224</v>
      </c>
      <c r="G121" s="22">
        <v>38</v>
      </c>
      <c r="H121" s="2"/>
      <c r="I121" s="2"/>
      <c r="J121" s="22"/>
      <c r="K121" s="22"/>
      <c r="L121" s="2"/>
      <c r="M121" s="22"/>
    </row>
    <row r="122" spans="1:13" ht="15.75" x14ac:dyDescent="0.3">
      <c r="A122" s="22" t="s">
        <v>49</v>
      </c>
      <c r="B122" s="22" t="s">
        <v>33</v>
      </c>
      <c r="C122" s="22" t="s">
        <v>1915</v>
      </c>
      <c r="D122" s="2"/>
      <c r="E122" s="2"/>
      <c r="F122" s="23" t="s">
        <v>3225</v>
      </c>
      <c r="G122" s="22">
        <v>39</v>
      </c>
      <c r="H122" s="2"/>
      <c r="I122" s="2"/>
      <c r="J122" s="22"/>
      <c r="K122" s="22"/>
      <c r="L122" s="2"/>
      <c r="M122" s="22"/>
    </row>
    <row r="123" spans="1:13" ht="15.75" x14ac:dyDescent="0.3">
      <c r="A123" s="22" t="s">
        <v>49</v>
      </c>
      <c r="B123" s="22" t="s">
        <v>33</v>
      </c>
      <c r="C123" s="22" t="s">
        <v>1918</v>
      </c>
      <c r="D123" s="22"/>
      <c r="E123" s="22"/>
      <c r="F123" s="23" t="s">
        <v>3168</v>
      </c>
      <c r="G123" s="22">
        <v>0</v>
      </c>
      <c r="H123" s="32"/>
      <c r="I123" s="22"/>
      <c r="J123" s="22"/>
      <c r="K123" s="22"/>
      <c r="L123" s="33" t="str">
        <f>"凡品升星石"&amp;X4&amp;"/元宝"&amp;Y4</f>
        <v>凡品升星石16/元宝32000</v>
      </c>
      <c r="M123" s="22">
        <v>100</v>
      </c>
    </row>
    <row r="124" spans="1:13" ht="15.75" x14ac:dyDescent="0.3">
      <c r="A124" s="22" t="s">
        <v>49</v>
      </c>
      <c r="B124" s="22" t="s">
        <v>33</v>
      </c>
      <c r="C124" s="22" t="s">
        <v>1918</v>
      </c>
      <c r="D124" s="22"/>
      <c r="E124" s="22"/>
      <c r="F124" s="23" t="s">
        <v>3169</v>
      </c>
      <c r="G124" s="22">
        <v>1</v>
      </c>
      <c r="H124" s="32"/>
      <c r="I124" s="22"/>
      <c r="J1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24" s="22"/>
      <c r="L124" s="33" t="str">
        <f t="shared" ref="L124:L134" si="20">"凡品升星石"&amp;X5&amp;"/元宝"&amp;Y5</f>
        <v>凡品升星石16/元宝32000</v>
      </c>
      <c r="M124" s="22">
        <v>100</v>
      </c>
    </row>
    <row r="125" spans="1:13" ht="15.75" x14ac:dyDescent="0.3">
      <c r="A125" s="22" t="s">
        <v>49</v>
      </c>
      <c r="B125" s="22" t="s">
        <v>33</v>
      </c>
      <c r="C125" s="22" t="s">
        <v>1918</v>
      </c>
      <c r="D125" s="2"/>
      <c r="E125" s="2"/>
      <c r="F125" s="23" t="s">
        <v>3170</v>
      </c>
      <c r="G125" s="22">
        <v>2</v>
      </c>
      <c r="H125" s="2"/>
      <c r="I125" s="2"/>
      <c r="J125" s="22" t="str">
        <f t="shared" ref="J125:J159" si="21">"3#3#"&amp;INT(0.5*S5)&amp;"|"&amp;"3#4#"&amp;S5&amp;"|"&amp;"3#5#"&amp;INT(0.5*S5)&amp;"|"&amp;"3#6#"&amp;S5&amp;"|"&amp;"3#7#"&amp;INT(0.5*S5)&amp;"|"&amp;"3#8#"&amp;S5</f>
        <v>3#3#5|3#4#11|3#5#5|3#6#11|3#7#5|3#8#11</v>
      </c>
      <c r="K125" s="22"/>
      <c r="L125" s="33" t="str">
        <f t="shared" si="20"/>
        <v>凡品升星石19/元宝38000</v>
      </c>
      <c r="M125" s="22">
        <v>100</v>
      </c>
    </row>
    <row r="126" spans="1:13" ht="15.75" x14ac:dyDescent="0.3">
      <c r="A126" s="22" t="s">
        <v>49</v>
      </c>
      <c r="B126" s="22" t="s">
        <v>33</v>
      </c>
      <c r="C126" s="22" t="s">
        <v>1918</v>
      </c>
      <c r="D126" s="2"/>
      <c r="E126" s="2"/>
      <c r="F126" s="23" t="s">
        <v>3171</v>
      </c>
      <c r="G126" s="22">
        <v>3</v>
      </c>
      <c r="H126" s="2"/>
      <c r="I126" s="2"/>
      <c r="J126" s="22" t="str">
        <f t="shared" si="21"/>
        <v>3#3#8|3#4#16|3#5#8|3#6#16|3#7#8|3#8#16</v>
      </c>
      <c r="K126" s="22"/>
      <c r="L126" s="33" t="str">
        <f t="shared" si="20"/>
        <v>凡品升星石19/元宝38000</v>
      </c>
      <c r="M126" s="22">
        <v>90</v>
      </c>
    </row>
    <row r="127" spans="1:13" ht="15.75" x14ac:dyDescent="0.3">
      <c r="A127" s="22" t="s">
        <v>49</v>
      </c>
      <c r="B127" s="22" t="s">
        <v>33</v>
      </c>
      <c r="C127" s="22" t="s">
        <v>1918</v>
      </c>
      <c r="D127" s="2"/>
      <c r="E127" s="2"/>
      <c r="F127" s="23" t="s">
        <v>3172</v>
      </c>
      <c r="G127" s="22">
        <v>4</v>
      </c>
      <c r="H127" s="2"/>
      <c r="I127" s="2"/>
      <c r="J127" s="22" t="str">
        <f t="shared" si="21"/>
        <v>3#3#11|3#4#22|3#5#11|3#6#22|3#7#11|3#8#22</v>
      </c>
      <c r="K127" s="22"/>
      <c r="L127" s="33" t="str">
        <f t="shared" si="20"/>
        <v>凡品升星石22/元宝44000</v>
      </c>
      <c r="M127" s="22">
        <v>80</v>
      </c>
    </row>
    <row r="128" spans="1:13" ht="15.75" x14ac:dyDescent="0.3">
      <c r="A128" s="22" t="s">
        <v>49</v>
      </c>
      <c r="B128" s="22" t="s">
        <v>33</v>
      </c>
      <c r="C128" s="22" t="s">
        <v>1918</v>
      </c>
      <c r="D128" s="2"/>
      <c r="E128" s="2"/>
      <c r="F128" s="23" t="s">
        <v>3173</v>
      </c>
      <c r="G128" s="22">
        <v>5</v>
      </c>
      <c r="H128" s="2"/>
      <c r="I128" s="2"/>
      <c r="J128" s="22" t="str">
        <f t="shared" si="21"/>
        <v>3#3#16|3#4#33|3#5#16|3#6#33|3#7#16|3#8#33</v>
      </c>
      <c r="K128" s="22"/>
      <c r="L128" s="33" t="str">
        <f t="shared" si="20"/>
        <v>凡品升星石22/元宝44000</v>
      </c>
      <c r="M128" s="22">
        <v>70</v>
      </c>
    </row>
    <row r="129" spans="1:13" ht="15.75" x14ac:dyDescent="0.3">
      <c r="A129" s="22" t="s">
        <v>49</v>
      </c>
      <c r="B129" s="22" t="s">
        <v>33</v>
      </c>
      <c r="C129" s="22" t="s">
        <v>1918</v>
      </c>
      <c r="D129" s="2"/>
      <c r="E129" s="2"/>
      <c r="F129" s="23" t="s">
        <v>3174</v>
      </c>
      <c r="G129" s="22">
        <v>6</v>
      </c>
      <c r="H129" s="2"/>
      <c r="I129" s="2"/>
      <c r="J129" s="22" t="str">
        <f t="shared" si="21"/>
        <v>3#3#19|3#4#39|3#5#19|3#6#39|3#7#19|3#8#39</v>
      </c>
      <c r="K129" s="22"/>
      <c r="L129" s="33" t="str">
        <f t="shared" si="20"/>
        <v>凡品升星石26/元宝52000</v>
      </c>
      <c r="M129" s="22">
        <v>60</v>
      </c>
    </row>
    <row r="130" spans="1:13" ht="15.75" x14ac:dyDescent="0.3">
      <c r="A130" s="22" t="s">
        <v>49</v>
      </c>
      <c r="B130" s="22" t="s">
        <v>33</v>
      </c>
      <c r="C130" s="22" t="s">
        <v>1918</v>
      </c>
      <c r="D130" s="2"/>
      <c r="E130" s="2"/>
      <c r="F130" s="23" t="s">
        <v>3175</v>
      </c>
      <c r="G130" s="22">
        <v>7</v>
      </c>
      <c r="H130" s="2"/>
      <c r="I130" s="2"/>
      <c r="J130" s="22" t="str">
        <f t="shared" si="21"/>
        <v>3#3#23|3#4#46|3#5#23|3#6#46|3#7#23|3#8#46</v>
      </c>
      <c r="K130" s="22" t="s">
        <v>3262</v>
      </c>
      <c r="L130" s="33" t="str">
        <f t="shared" si="20"/>
        <v>凡品升星石26/元宝52000</v>
      </c>
      <c r="M130" s="22">
        <v>50</v>
      </c>
    </row>
    <row r="131" spans="1:13" ht="15.75" x14ac:dyDescent="0.3">
      <c r="A131" s="22" t="s">
        <v>49</v>
      </c>
      <c r="B131" s="22" t="s">
        <v>33</v>
      </c>
      <c r="C131" s="22" t="s">
        <v>1918</v>
      </c>
      <c r="D131" s="2"/>
      <c r="E131" s="2"/>
      <c r="F131" s="23" t="s">
        <v>3177</v>
      </c>
      <c r="G131" s="22">
        <v>8</v>
      </c>
      <c r="H131" s="2"/>
      <c r="I131" s="2"/>
      <c r="J131" s="22" t="str">
        <f t="shared" si="21"/>
        <v>3#3#26|3#4#52|3#5#26|3#6#52|3#7#26|3#8#52</v>
      </c>
      <c r="K131" s="22" t="s">
        <v>3263</v>
      </c>
      <c r="L131" s="33" t="str">
        <f t="shared" si="20"/>
        <v>凡品升星石32/元宝64000</v>
      </c>
      <c r="M131" s="22">
        <v>40</v>
      </c>
    </row>
    <row r="132" spans="1:13" ht="15.75" x14ac:dyDescent="0.3">
      <c r="A132" s="22" t="s">
        <v>49</v>
      </c>
      <c r="B132" s="22" t="s">
        <v>33</v>
      </c>
      <c r="C132" s="22" t="s">
        <v>1918</v>
      </c>
      <c r="D132" s="2"/>
      <c r="E132" s="2"/>
      <c r="F132" s="23" t="s">
        <v>3179</v>
      </c>
      <c r="G132" s="22">
        <v>9</v>
      </c>
      <c r="H132" s="2"/>
      <c r="I132" s="2"/>
      <c r="J132" s="22" t="str">
        <f t="shared" si="21"/>
        <v>3#3#35|3#4#70|3#5#35|3#6#70|3#7#35|3#8#70</v>
      </c>
      <c r="K132" s="22" t="s">
        <v>3264</v>
      </c>
      <c r="L132" s="33" t="str">
        <f t="shared" si="20"/>
        <v>凡品升星石32/元宝64000</v>
      </c>
      <c r="M132" s="22">
        <v>30</v>
      </c>
    </row>
    <row r="133" spans="1:13" ht="15.75" x14ac:dyDescent="0.3">
      <c r="A133" s="22" t="s">
        <v>49</v>
      </c>
      <c r="B133" s="22" t="s">
        <v>33</v>
      </c>
      <c r="C133" s="22" t="s">
        <v>1918</v>
      </c>
      <c r="D133" s="2"/>
      <c r="E133" s="2"/>
      <c r="F133" s="23" t="s">
        <v>3181</v>
      </c>
      <c r="G133" s="22">
        <v>10</v>
      </c>
      <c r="H133" s="2"/>
      <c r="I133" s="2"/>
      <c r="J133" s="22" t="str">
        <f t="shared" si="21"/>
        <v>3#3#38|3#4#77|3#5#38|3#6#77|3#7#38|3#8#77</v>
      </c>
      <c r="K133" s="22" t="s">
        <v>3265</v>
      </c>
      <c r="L133" s="33" t="str">
        <f t="shared" si="20"/>
        <v>凡品升星石37/元宝74000</v>
      </c>
      <c r="M133" s="22">
        <v>20</v>
      </c>
    </row>
    <row r="134" spans="1:13" ht="15.75" x14ac:dyDescent="0.3">
      <c r="A134" s="22" t="s">
        <v>49</v>
      </c>
      <c r="B134" s="22" t="s">
        <v>33</v>
      </c>
      <c r="C134" s="22" t="s">
        <v>1918</v>
      </c>
      <c r="D134" s="2"/>
      <c r="E134" s="2"/>
      <c r="F134" s="23" t="s">
        <v>3183</v>
      </c>
      <c r="G134" s="22">
        <v>11</v>
      </c>
      <c r="H134" s="2"/>
      <c r="I134" s="2"/>
      <c r="J134" s="22" t="str">
        <f t="shared" si="21"/>
        <v>3#3#42|3#4#85|3#5#42|3#6#85|3#7#42|3#8#85</v>
      </c>
      <c r="K134" s="22" t="s">
        <v>3266</v>
      </c>
      <c r="L134" s="33" t="str">
        <f t="shared" si="20"/>
        <v>凡品升星石37/元宝74000</v>
      </c>
      <c r="M134" s="22">
        <v>15</v>
      </c>
    </row>
    <row r="135" spans="1:13" ht="15.75" x14ac:dyDescent="0.3">
      <c r="A135" s="22" t="s">
        <v>49</v>
      </c>
      <c r="B135" s="22" t="s">
        <v>33</v>
      </c>
      <c r="C135" s="22" t="s">
        <v>1918</v>
      </c>
      <c r="D135" s="2"/>
      <c r="E135" s="2"/>
      <c r="F135" s="23" t="s">
        <v>3185</v>
      </c>
      <c r="G135" s="22">
        <v>12</v>
      </c>
      <c r="H135" s="2"/>
      <c r="I135" s="2"/>
      <c r="J135" s="22" t="str">
        <f t="shared" si="21"/>
        <v>3#3#46|3#4#93|3#5#46|3#6#93|3#7#46|3#8#93</v>
      </c>
      <c r="K135" s="22" t="s">
        <v>3267</v>
      </c>
      <c r="L135" s="33" t="str">
        <f>"仙品升星石"&amp;INT(X16/2)&amp;"/元宝"&amp;Y16</f>
        <v>仙品升星石19/元宝78000</v>
      </c>
      <c r="M135" s="22">
        <v>100</v>
      </c>
    </row>
    <row r="136" spans="1:13" ht="15.75" x14ac:dyDescent="0.3">
      <c r="A136" s="22" t="s">
        <v>49</v>
      </c>
      <c r="B136" s="22" t="s">
        <v>33</v>
      </c>
      <c r="C136" s="22" t="s">
        <v>1918</v>
      </c>
      <c r="D136" s="2"/>
      <c r="E136" s="2"/>
      <c r="F136" s="23" t="s">
        <v>3187</v>
      </c>
      <c r="G136" s="22">
        <v>13</v>
      </c>
      <c r="H136" s="2"/>
      <c r="I136" s="2"/>
      <c r="J136" s="22" t="str">
        <f t="shared" si="21"/>
        <v>3#3#54|3#4#108|3#5#54|3#6#108|3#7#54|3#8#108</v>
      </c>
      <c r="K136" s="22" t="s">
        <v>3267</v>
      </c>
      <c r="L136" s="33" t="str">
        <f t="shared" ref="L136:L146" si="22">"仙品升星石"&amp;INT(X17/2)&amp;"/元宝"&amp;Y17</f>
        <v>仙品升星石19/元宝78000</v>
      </c>
      <c r="M136" s="22">
        <v>100</v>
      </c>
    </row>
    <row r="137" spans="1:13" ht="15.75" x14ac:dyDescent="0.3">
      <c r="A137" s="22" t="s">
        <v>49</v>
      </c>
      <c r="B137" s="22" t="s">
        <v>33</v>
      </c>
      <c r="C137" s="22" t="s">
        <v>1918</v>
      </c>
      <c r="D137" s="2"/>
      <c r="E137" s="2"/>
      <c r="F137" s="23" t="s">
        <v>3188</v>
      </c>
      <c r="G137" s="22">
        <v>14</v>
      </c>
      <c r="H137" s="2"/>
      <c r="I137" s="2"/>
      <c r="J137" s="22" t="str">
        <f t="shared" si="21"/>
        <v>3#3#58|3#4#116|3#5#58|3#6#116|3#7#58|3#8#116</v>
      </c>
      <c r="K137" s="22" t="s">
        <v>3267</v>
      </c>
      <c r="L137" s="33" t="str">
        <f t="shared" si="22"/>
        <v>仙品升星石21/元宝84000</v>
      </c>
      <c r="M137" s="22">
        <v>100</v>
      </c>
    </row>
    <row r="138" spans="1:13" ht="15.75" x14ac:dyDescent="0.3">
      <c r="A138" s="22" t="s">
        <v>49</v>
      </c>
      <c r="B138" s="22" t="s">
        <v>33</v>
      </c>
      <c r="C138" s="22" t="s">
        <v>1918</v>
      </c>
      <c r="D138" s="2"/>
      <c r="E138" s="2"/>
      <c r="F138" s="23" t="s">
        <v>3189</v>
      </c>
      <c r="G138" s="22">
        <v>15</v>
      </c>
      <c r="H138" s="2"/>
      <c r="I138" s="2"/>
      <c r="J138" s="22" t="str">
        <f t="shared" si="21"/>
        <v>3#3#62|3#4#124|3#5#62|3#6#124|3#7#62|3#8#124</v>
      </c>
      <c r="K138" s="22" t="s">
        <v>3267</v>
      </c>
      <c r="L138" s="33" t="str">
        <f t="shared" si="22"/>
        <v>仙品升星石21/元宝84000</v>
      </c>
      <c r="M138" s="22">
        <v>70</v>
      </c>
    </row>
    <row r="139" spans="1:13" ht="15.75" x14ac:dyDescent="0.3">
      <c r="A139" s="22" t="s">
        <v>49</v>
      </c>
      <c r="B139" s="22" t="s">
        <v>33</v>
      </c>
      <c r="C139" s="22" t="s">
        <v>1918</v>
      </c>
      <c r="D139" s="2"/>
      <c r="E139" s="2"/>
      <c r="F139" s="23" t="s">
        <v>3190</v>
      </c>
      <c r="G139" s="22">
        <v>16</v>
      </c>
      <c r="H139" s="2"/>
      <c r="I139" s="2"/>
      <c r="J139" s="22" t="str">
        <f t="shared" si="21"/>
        <v>3#3#66|3#4#132|3#5#66|3#6#132|3#7#66|3#8#132</v>
      </c>
      <c r="K139" s="22" t="s">
        <v>3267</v>
      </c>
      <c r="L139" s="33" t="str">
        <f t="shared" si="22"/>
        <v>仙品升星石23/元宝92000</v>
      </c>
      <c r="M139" s="22">
        <v>60</v>
      </c>
    </row>
    <row r="140" spans="1:13" ht="15.75" x14ac:dyDescent="0.3">
      <c r="A140" s="22" t="s">
        <v>49</v>
      </c>
      <c r="B140" s="22" t="s">
        <v>33</v>
      </c>
      <c r="C140" s="22" t="s">
        <v>1918</v>
      </c>
      <c r="D140" s="2"/>
      <c r="E140" s="2"/>
      <c r="F140" s="23" t="s">
        <v>3191</v>
      </c>
      <c r="G140" s="22">
        <v>17</v>
      </c>
      <c r="H140" s="2"/>
      <c r="I140" s="2"/>
      <c r="J140" s="22" t="str">
        <f t="shared" si="21"/>
        <v>3#3#79|3#4#159|3#5#79|3#6#159|3#7#79|3#8#159</v>
      </c>
      <c r="K140" s="22" t="s">
        <v>3267</v>
      </c>
      <c r="L140" s="33" t="str">
        <f t="shared" si="22"/>
        <v>仙品升星石23/元宝92000</v>
      </c>
      <c r="M140" s="22">
        <v>50</v>
      </c>
    </row>
    <row r="141" spans="1:13" ht="15.75" x14ac:dyDescent="0.3">
      <c r="A141" s="22" t="s">
        <v>49</v>
      </c>
      <c r="B141" s="22" t="s">
        <v>33</v>
      </c>
      <c r="C141" s="22" t="s">
        <v>1918</v>
      </c>
      <c r="D141" s="2"/>
      <c r="E141" s="2"/>
      <c r="F141" s="23" t="s">
        <v>3192</v>
      </c>
      <c r="G141" s="22">
        <v>18</v>
      </c>
      <c r="H141" s="2"/>
      <c r="I141" s="2"/>
      <c r="J141" s="22" t="str">
        <f t="shared" si="21"/>
        <v>3#3#85|3#4#170|3#5#85|3#6#170|3#7#85|3#8#170</v>
      </c>
      <c r="K141" s="22" t="s">
        <v>3268</v>
      </c>
      <c r="L141" s="33" t="str">
        <f t="shared" si="22"/>
        <v>仙品升星石24/元宝98000</v>
      </c>
      <c r="M141" s="22">
        <v>40</v>
      </c>
    </row>
    <row r="142" spans="1:13" ht="15.75" x14ac:dyDescent="0.3">
      <c r="A142" s="22" t="s">
        <v>49</v>
      </c>
      <c r="B142" s="22" t="s">
        <v>33</v>
      </c>
      <c r="C142" s="22" t="s">
        <v>1918</v>
      </c>
      <c r="D142" s="2"/>
      <c r="E142" s="2"/>
      <c r="F142" s="23" t="s">
        <v>3194</v>
      </c>
      <c r="G142" s="22">
        <v>19</v>
      </c>
      <c r="H142" s="2"/>
      <c r="I142" s="2"/>
      <c r="J142" s="22" t="str">
        <f t="shared" si="21"/>
        <v>3#3#89|3#4#179|3#5#89|3#6#179|3#7#89|3#8#179</v>
      </c>
      <c r="K142" s="22" t="s">
        <v>3269</v>
      </c>
      <c r="L142" s="33" t="str">
        <f t="shared" si="22"/>
        <v>仙品升星石24/元宝98000</v>
      </c>
      <c r="M142" s="22">
        <v>30</v>
      </c>
    </row>
    <row r="143" spans="1:13" ht="15.75" x14ac:dyDescent="0.3">
      <c r="A143" s="22" t="s">
        <v>49</v>
      </c>
      <c r="B143" s="22" t="s">
        <v>33</v>
      </c>
      <c r="C143" s="22" t="s">
        <v>1918</v>
      </c>
      <c r="D143" s="2"/>
      <c r="E143" s="2"/>
      <c r="F143" s="23" t="s">
        <v>3196</v>
      </c>
      <c r="G143" s="22">
        <v>20</v>
      </c>
      <c r="H143" s="2"/>
      <c r="I143" s="2"/>
      <c r="J143" s="22" t="str">
        <f t="shared" si="21"/>
        <v>3#3#94|3#4#188|3#5#94|3#6#188|3#7#94|3#8#188</v>
      </c>
      <c r="K143" s="22" t="s">
        <v>3269</v>
      </c>
      <c r="L143" s="33" t="str">
        <f t="shared" si="22"/>
        <v>仙品升星石26/元宝104000</v>
      </c>
      <c r="M143" s="22">
        <v>25</v>
      </c>
    </row>
    <row r="144" spans="1:13" ht="15.75" x14ac:dyDescent="0.3">
      <c r="A144" s="22" t="s">
        <v>49</v>
      </c>
      <c r="B144" s="22" t="s">
        <v>33</v>
      </c>
      <c r="C144" s="22" t="s">
        <v>1918</v>
      </c>
      <c r="D144" s="2"/>
      <c r="E144" s="2"/>
      <c r="F144" s="23" t="s">
        <v>3197</v>
      </c>
      <c r="G144" s="22">
        <v>21</v>
      </c>
      <c r="H144" s="2"/>
      <c r="I144" s="2"/>
      <c r="J144" s="22" t="str">
        <f t="shared" si="21"/>
        <v>3#3#110|3#4#221|3#5#110|3#6#221|3#7#110|3#8#221</v>
      </c>
      <c r="K144" s="22" t="s">
        <v>3270</v>
      </c>
      <c r="L144" s="33" t="str">
        <f t="shared" si="22"/>
        <v>仙品升星石26/元宝104000</v>
      </c>
      <c r="M144" s="22">
        <v>20</v>
      </c>
    </row>
    <row r="145" spans="1:13" ht="15.75" x14ac:dyDescent="0.3">
      <c r="A145" s="22" t="s">
        <v>49</v>
      </c>
      <c r="B145" s="22" t="s">
        <v>33</v>
      </c>
      <c r="C145" s="22" t="s">
        <v>1918</v>
      </c>
      <c r="D145" s="2"/>
      <c r="E145" s="2"/>
      <c r="F145" s="23" t="s">
        <v>3199</v>
      </c>
      <c r="G145" s="22">
        <v>22</v>
      </c>
      <c r="H145" s="2"/>
      <c r="I145" s="2"/>
      <c r="J145" s="22" t="str">
        <f t="shared" si="21"/>
        <v>3#3#115|3#4#231|3#5#115|3#6#231|3#7#115|3#8#231</v>
      </c>
      <c r="K145" s="22" t="s">
        <v>3271</v>
      </c>
      <c r="L145" s="33" t="str">
        <f t="shared" si="22"/>
        <v>仙品升星石27/元宝110000</v>
      </c>
      <c r="M145" s="22">
        <v>15</v>
      </c>
    </row>
    <row r="146" spans="1:13" ht="15.75" x14ac:dyDescent="0.3">
      <c r="A146" s="22" t="s">
        <v>49</v>
      </c>
      <c r="B146" s="22" t="s">
        <v>33</v>
      </c>
      <c r="C146" s="22" t="s">
        <v>1918</v>
      </c>
      <c r="D146" s="2"/>
      <c r="E146" s="2"/>
      <c r="F146" s="23" t="s">
        <v>3201</v>
      </c>
      <c r="G146" s="22">
        <v>23</v>
      </c>
      <c r="H146" s="2"/>
      <c r="I146" s="2"/>
      <c r="J146" s="22" t="str">
        <f t="shared" si="21"/>
        <v>3#3#121|3#4#242|3#5#121|3#6#242|3#7#121|3#8#242</v>
      </c>
      <c r="K146" s="22" t="s">
        <v>3272</v>
      </c>
      <c r="L146" s="33" t="str">
        <f t="shared" si="22"/>
        <v>仙品升星石27/元宝110000</v>
      </c>
      <c r="M146" s="22">
        <v>10</v>
      </c>
    </row>
    <row r="147" spans="1:13" ht="15.75" x14ac:dyDescent="0.3">
      <c r="A147" s="22" t="s">
        <v>49</v>
      </c>
      <c r="B147" s="22" t="s">
        <v>33</v>
      </c>
      <c r="C147" s="22" t="s">
        <v>1918</v>
      </c>
      <c r="D147" s="2"/>
      <c r="E147" s="2"/>
      <c r="F147" s="23" t="s">
        <v>3203</v>
      </c>
      <c r="G147" s="22">
        <v>24</v>
      </c>
      <c r="H147" s="2"/>
      <c r="I147" s="2"/>
      <c r="J147" s="22" t="str">
        <f t="shared" si="21"/>
        <v>3#3#126|3#4#252|3#5#126|3#6#252|3#7#126|3#8#252</v>
      </c>
      <c r="K147" s="22" t="s">
        <v>3273</v>
      </c>
      <c r="L147" s="33" t="str">
        <f>"神品升星石"&amp;INT(X28/10)&amp;"/元宝"&amp;Y28</f>
        <v>神品升星石5/元宝116000</v>
      </c>
      <c r="M147" s="22">
        <v>100</v>
      </c>
    </row>
    <row r="148" spans="1:13" ht="15.75" x14ac:dyDescent="0.3">
      <c r="A148" s="22" t="s">
        <v>49</v>
      </c>
      <c r="B148" s="22" t="s">
        <v>33</v>
      </c>
      <c r="C148" s="22" t="s">
        <v>1918</v>
      </c>
      <c r="D148" s="2"/>
      <c r="E148" s="2"/>
      <c r="F148" s="23" t="s">
        <v>3205</v>
      </c>
      <c r="G148" s="22">
        <v>25</v>
      </c>
      <c r="H148" s="2"/>
      <c r="I148" s="2"/>
      <c r="J148" s="22" t="str">
        <f t="shared" si="21"/>
        <v>3#3#138|3#4#277|3#5#138|3#6#277|3#7#138|3#8#277</v>
      </c>
      <c r="K148" s="22" t="s">
        <v>3273</v>
      </c>
      <c r="L148" s="33" t="str">
        <f t="shared" ref="L148:L158" si="23">"神品升星石"&amp;INT(X29/10)&amp;"/元宝"&amp;Y29</f>
        <v>神品升星石5/元宝116000</v>
      </c>
      <c r="M148" s="22">
        <v>100</v>
      </c>
    </row>
    <row r="149" spans="1:13" ht="15.75" x14ac:dyDescent="0.3">
      <c r="A149" s="22" t="s">
        <v>49</v>
      </c>
      <c r="B149" s="22" t="s">
        <v>33</v>
      </c>
      <c r="C149" s="22" t="s">
        <v>1918</v>
      </c>
      <c r="D149" s="2"/>
      <c r="E149" s="2"/>
      <c r="F149" s="23" t="s">
        <v>3206</v>
      </c>
      <c r="G149" s="22">
        <v>26</v>
      </c>
      <c r="H149" s="2"/>
      <c r="I149" s="2"/>
      <c r="J149" s="22" t="str">
        <f t="shared" si="21"/>
        <v>3#3#144|3#4#288|3#5#144|3#6#288|3#7#144|3#8#288</v>
      </c>
      <c r="K149" s="22" t="s">
        <v>3273</v>
      </c>
      <c r="L149" s="33" t="str">
        <f t="shared" si="23"/>
        <v>神品升星石6/元宝122000</v>
      </c>
      <c r="M149" s="22">
        <v>100</v>
      </c>
    </row>
    <row r="150" spans="1:13" ht="15.75" x14ac:dyDescent="0.3">
      <c r="A150" s="22" t="s">
        <v>49</v>
      </c>
      <c r="B150" s="22" t="s">
        <v>33</v>
      </c>
      <c r="C150" s="22" t="s">
        <v>1918</v>
      </c>
      <c r="D150" s="2"/>
      <c r="E150" s="2"/>
      <c r="F150" s="23" t="s">
        <v>3207</v>
      </c>
      <c r="G150" s="22">
        <v>27</v>
      </c>
      <c r="H150" s="2"/>
      <c r="I150" s="2"/>
      <c r="J150" s="22" t="str">
        <f t="shared" si="21"/>
        <v>3#3#150|3#4#300|3#5#150|3#6#300|3#7#150|3#8#300</v>
      </c>
      <c r="K150" s="22" t="s">
        <v>3273</v>
      </c>
      <c r="L150" s="33" t="str">
        <f t="shared" si="23"/>
        <v>神品升星石6/元宝122000</v>
      </c>
      <c r="M150" s="22">
        <v>70</v>
      </c>
    </row>
    <row r="151" spans="1:13" ht="15.75" x14ac:dyDescent="0.3">
      <c r="A151" s="22" t="s">
        <v>49</v>
      </c>
      <c r="B151" s="22" t="s">
        <v>33</v>
      </c>
      <c r="C151" s="22" t="s">
        <v>1918</v>
      </c>
      <c r="D151" s="2"/>
      <c r="E151" s="2"/>
      <c r="F151" s="23" t="s">
        <v>3208</v>
      </c>
      <c r="G151" s="22">
        <v>28</v>
      </c>
      <c r="H151" s="2"/>
      <c r="I151" s="2"/>
      <c r="J151" s="22" t="str">
        <f t="shared" si="21"/>
        <v>3#3#155|3#4#311|3#5#155|3#6#311|3#7#155|3#8#311</v>
      </c>
      <c r="K151" s="22" t="s">
        <v>3273</v>
      </c>
      <c r="L151" s="33" t="str">
        <f t="shared" si="23"/>
        <v>神品升星石6/元宝130000</v>
      </c>
      <c r="M151" s="22">
        <v>60</v>
      </c>
    </row>
    <row r="152" spans="1:13" ht="15.75" x14ac:dyDescent="0.3">
      <c r="A152" s="22" t="s">
        <v>49</v>
      </c>
      <c r="B152" s="22" t="s">
        <v>33</v>
      </c>
      <c r="C152" s="22" t="s">
        <v>1918</v>
      </c>
      <c r="D152" s="2"/>
      <c r="E152" s="2"/>
      <c r="F152" s="23" t="s">
        <v>3209</v>
      </c>
      <c r="G152" s="22">
        <v>29</v>
      </c>
      <c r="H152" s="2"/>
      <c r="I152" s="2"/>
      <c r="J152" s="22" t="str">
        <f t="shared" si="21"/>
        <v>3#3#161|3#4#322|3#5#161|3#6#322|3#7#161|3#8#322</v>
      </c>
      <c r="K152" s="22" t="s">
        <v>3273</v>
      </c>
      <c r="L152" s="33" t="str">
        <f t="shared" si="23"/>
        <v>神品升星石6/元宝130000</v>
      </c>
      <c r="M152" s="22">
        <v>50</v>
      </c>
    </row>
    <row r="153" spans="1:13" ht="15.75" x14ac:dyDescent="0.3">
      <c r="A153" s="22" t="s">
        <v>49</v>
      </c>
      <c r="B153" s="22" t="s">
        <v>33</v>
      </c>
      <c r="C153" s="22" t="s">
        <v>1918</v>
      </c>
      <c r="D153" s="2"/>
      <c r="E153" s="2"/>
      <c r="F153" s="23" t="s">
        <v>3210</v>
      </c>
      <c r="G153" s="22">
        <v>30</v>
      </c>
      <c r="H153" s="2"/>
      <c r="I153" s="2"/>
      <c r="J153" s="22" t="str">
        <f t="shared" si="21"/>
        <v>3#3#166|3#4#333|3#5#166|3#6#333|3#7#166|3#8#333</v>
      </c>
      <c r="K153" s="22" t="s">
        <v>3273</v>
      </c>
      <c r="L153" s="33" t="str">
        <f t="shared" si="23"/>
        <v>神品升星石6/元宝136000</v>
      </c>
      <c r="M153" s="22">
        <v>40</v>
      </c>
    </row>
    <row r="154" spans="1:13" ht="15.75" x14ac:dyDescent="0.3">
      <c r="A154" s="22" t="s">
        <v>49</v>
      </c>
      <c r="B154" s="22" t="s">
        <v>33</v>
      </c>
      <c r="C154" s="22" t="s">
        <v>1918</v>
      </c>
      <c r="D154" s="2"/>
      <c r="E154" s="2"/>
      <c r="F154" s="23" t="s">
        <v>3211</v>
      </c>
      <c r="G154" s="22">
        <v>31</v>
      </c>
      <c r="H154" s="2"/>
      <c r="I154" s="2"/>
      <c r="J154" s="22" t="str">
        <f t="shared" si="21"/>
        <v>3#3#172|3#4#344|3#5#172|3#6#344|3#7#172|3#8#344</v>
      </c>
      <c r="K154" s="22" t="s">
        <v>3274</v>
      </c>
      <c r="L154" s="33" t="str">
        <f t="shared" si="23"/>
        <v>神品升星石6/元宝136000</v>
      </c>
      <c r="M154" s="22">
        <v>30</v>
      </c>
    </row>
    <row r="155" spans="1:13" ht="15.75" x14ac:dyDescent="0.3">
      <c r="A155" s="22" t="s">
        <v>49</v>
      </c>
      <c r="B155" s="22" t="s">
        <v>33</v>
      </c>
      <c r="C155" s="22" t="s">
        <v>1918</v>
      </c>
      <c r="D155" s="2"/>
      <c r="E155" s="2"/>
      <c r="F155" s="23" t="s">
        <v>3213</v>
      </c>
      <c r="G155" s="22">
        <v>32</v>
      </c>
      <c r="H155" s="2"/>
      <c r="I155" s="2"/>
      <c r="J155" s="22" t="str">
        <f t="shared" si="21"/>
        <v>3#3#177|3#4#355|3#5#177|3#6#355|3#7#177|3#8#355</v>
      </c>
      <c r="K155" s="22" t="s">
        <v>3275</v>
      </c>
      <c r="L155" s="33" t="str">
        <f t="shared" si="23"/>
        <v>神品升星石7/元宝142000</v>
      </c>
      <c r="M155" s="22">
        <v>25</v>
      </c>
    </row>
    <row r="156" spans="1:13" ht="15.75" x14ac:dyDescent="0.3">
      <c r="A156" s="22" t="s">
        <v>49</v>
      </c>
      <c r="B156" s="22" t="s">
        <v>33</v>
      </c>
      <c r="C156" s="22" t="s">
        <v>1918</v>
      </c>
      <c r="D156" s="2"/>
      <c r="E156" s="2"/>
      <c r="F156" s="23" t="s">
        <v>3215</v>
      </c>
      <c r="G156" s="22">
        <v>33</v>
      </c>
      <c r="H156" s="2"/>
      <c r="I156" s="2"/>
      <c r="J156" s="22" t="str">
        <f t="shared" si="21"/>
        <v>3#3#183|3#4#366|3#5#183|3#6#366|3#7#183|3#8#366</v>
      </c>
      <c r="K156" s="22" t="s">
        <v>3276</v>
      </c>
      <c r="L156" s="33" t="str">
        <f t="shared" si="23"/>
        <v>神品升星石7/元宝142000</v>
      </c>
      <c r="M156" s="22">
        <v>20</v>
      </c>
    </row>
    <row r="157" spans="1:13" ht="15.75" x14ac:dyDescent="0.3">
      <c r="A157" s="22" t="s">
        <v>49</v>
      </c>
      <c r="B157" s="22" t="s">
        <v>33</v>
      </c>
      <c r="C157" s="22" t="s">
        <v>1918</v>
      </c>
      <c r="D157" s="2"/>
      <c r="E157" s="2"/>
      <c r="F157" s="23" t="s">
        <v>3217</v>
      </c>
      <c r="G157" s="22">
        <v>34</v>
      </c>
      <c r="H157" s="2"/>
      <c r="I157" s="2"/>
      <c r="J157" s="22" t="str">
        <f t="shared" si="21"/>
        <v>3#3#188|3#4#377|3#5#188|3#6#377|3#7#188|3#8#377</v>
      </c>
      <c r="K157" s="22" t="s">
        <v>3277</v>
      </c>
      <c r="L157" s="33" t="str">
        <f t="shared" si="23"/>
        <v>神品升星石7/元宝148000</v>
      </c>
      <c r="M157" s="22">
        <v>15</v>
      </c>
    </row>
    <row r="158" spans="1:13" ht="15.75" x14ac:dyDescent="0.3">
      <c r="A158" s="22" t="s">
        <v>49</v>
      </c>
      <c r="B158" s="22" t="s">
        <v>33</v>
      </c>
      <c r="C158" s="22" t="s">
        <v>1918</v>
      </c>
      <c r="D158" s="2"/>
      <c r="E158" s="2"/>
      <c r="F158" s="23" t="s">
        <v>3219</v>
      </c>
      <c r="G158" s="22">
        <v>35</v>
      </c>
      <c r="H158" s="2"/>
      <c r="I158" s="2"/>
      <c r="J158" s="22" t="str">
        <f t="shared" si="21"/>
        <v>3#3#194|3#4#388|3#5#194|3#6#388|3#7#194|3#8#388</v>
      </c>
      <c r="K158" s="22" t="s">
        <v>3278</v>
      </c>
      <c r="L158" s="33" t="str">
        <f t="shared" si="23"/>
        <v>神品升星石7/元宝148000</v>
      </c>
      <c r="M158" s="22">
        <v>10</v>
      </c>
    </row>
    <row r="159" spans="1:13" ht="15.75" x14ac:dyDescent="0.3">
      <c r="A159" s="22" t="s">
        <v>49</v>
      </c>
      <c r="B159" s="22" t="s">
        <v>33</v>
      </c>
      <c r="C159" s="22" t="s">
        <v>1918</v>
      </c>
      <c r="D159" s="2"/>
      <c r="E159" s="2"/>
      <c r="F159" s="23" t="s">
        <v>3221</v>
      </c>
      <c r="G159" s="22">
        <v>36</v>
      </c>
      <c r="H159" s="2"/>
      <c r="I159" s="2"/>
      <c r="J159" s="22" t="str">
        <f t="shared" si="21"/>
        <v>3#3#200|3#4#400|3#5#200|3#6#400|3#7#200|3#8#400</v>
      </c>
      <c r="K159" s="22" t="s">
        <v>3279</v>
      </c>
      <c r="L159" s="2"/>
      <c r="M159" s="22"/>
    </row>
    <row r="160" spans="1:13" ht="15.75" x14ac:dyDescent="0.3">
      <c r="A160" s="22" t="s">
        <v>49</v>
      </c>
      <c r="B160" s="22" t="s">
        <v>33</v>
      </c>
      <c r="C160" s="22" t="s">
        <v>1918</v>
      </c>
      <c r="D160" s="2"/>
      <c r="E160" s="2"/>
      <c r="F160" s="23" t="s">
        <v>3223</v>
      </c>
      <c r="G160" s="22">
        <v>37</v>
      </c>
      <c r="H160" s="2"/>
      <c r="I160" s="2"/>
      <c r="J160" s="22"/>
      <c r="K160" s="22"/>
      <c r="L160" s="2"/>
      <c r="M160" s="22"/>
    </row>
    <row r="161" spans="1:13" ht="15.75" x14ac:dyDescent="0.3">
      <c r="A161" s="22" t="s">
        <v>49</v>
      </c>
      <c r="B161" s="22" t="s">
        <v>33</v>
      </c>
      <c r="C161" s="22" t="s">
        <v>1918</v>
      </c>
      <c r="D161" s="2"/>
      <c r="E161" s="2"/>
      <c r="F161" s="23" t="s">
        <v>3224</v>
      </c>
      <c r="G161" s="22">
        <v>38</v>
      </c>
      <c r="H161" s="2"/>
      <c r="I161" s="2"/>
      <c r="J161" s="22"/>
      <c r="K161" s="22"/>
      <c r="L161" s="2"/>
      <c r="M161" s="22"/>
    </row>
    <row r="162" spans="1:13" ht="15.75" x14ac:dyDescent="0.3">
      <c r="A162" s="22" t="s">
        <v>49</v>
      </c>
      <c r="B162" s="22" t="s">
        <v>33</v>
      </c>
      <c r="C162" s="22" t="s">
        <v>1918</v>
      </c>
      <c r="D162" s="2"/>
      <c r="E162" s="2"/>
      <c r="F162" s="23" t="s">
        <v>3225</v>
      </c>
      <c r="G162" s="22">
        <v>39</v>
      </c>
      <c r="H162" s="2"/>
      <c r="I162" s="2"/>
      <c r="J162" s="22"/>
      <c r="K162" s="22"/>
      <c r="L162" s="2"/>
      <c r="M162" s="22"/>
    </row>
    <row r="163" spans="1:13" ht="15.75" x14ac:dyDescent="0.3">
      <c r="A163" s="22" t="s">
        <v>49</v>
      </c>
      <c r="B163" s="22" t="s">
        <v>33</v>
      </c>
      <c r="C163" s="22" t="s">
        <v>1917</v>
      </c>
      <c r="D163" s="22"/>
      <c r="E163" s="22"/>
      <c r="F163" s="23" t="s">
        <v>3168</v>
      </c>
      <c r="G163" s="22">
        <v>0</v>
      </c>
      <c r="H163" s="32"/>
      <c r="I163" s="22"/>
      <c r="J163" s="22"/>
      <c r="K163" s="22"/>
      <c r="L163" s="33" t="str">
        <f>"凡品升星石"&amp;X4&amp;"/元宝"&amp;Y4</f>
        <v>凡品升星石16/元宝32000</v>
      </c>
      <c r="M163" s="22">
        <v>100</v>
      </c>
    </row>
    <row r="164" spans="1:13" ht="15.75" x14ac:dyDescent="0.3">
      <c r="A164" s="22" t="s">
        <v>49</v>
      </c>
      <c r="B164" s="22" t="s">
        <v>33</v>
      </c>
      <c r="C164" s="22" t="s">
        <v>1917</v>
      </c>
      <c r="D164" s="22"/>
      <c r="E164" s="22"/>
      <c r="F164" s="23" t="s">
        <v>3169</v>
      </c>
      <c r="G164" s="22">
        <v>1</v>
      </c>
      <c r="H164" s="32"/>
      <c r="I164" s="22"/>
      <c r="J16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64" s="22"/>
      <c r="L164" s="33" t="str">
        <f t="shared" ref="L164:L174" si="24">"凡品升星石"&amp;X5&amp;"/元宝"&amp;Y5</f>
        <v>凡品升星石16/元宝32000</v>
      </c>
      <c r="M164" s="22">
        <v>100</v>
      </c>
    </row>
    <row r="165" spans="1:13" ht="15.75" x14ac:dyDescent="0.3">
      <c r="A165" s="22" t="s">
        <v>49</v>
      </c>
      <c r="B165" s="22" t="s">
        <v>33</v>
      </c>
      <c r="C165" s="22" t="s">
        <v>1917</v>
      </c>
      <c r="D165" s="2"/>
      <c r="E165" s="2"/>
      <c r="F165" s="23" t="s">
        <v>3170</v>
      </c>
      <c r="G165" s="22">
        <v>2</v>
      </c>
      <c r="H165" s="2"/>
      <c r="I165" s="2"/>
      <c r="J165" s="22" t="str">
        <f t="shared" ref="J165:J199" si="25">"3#3#"&amp;INT(0.5*S5)&amp;"|"&amp;"3#4#"&amp;S5&amp;"|"&amp;"3#5#"&amp;INT(0.5*S5)&amp;"|"&amp;"3#6#"&amp;S5&amp;"|"&amp;"3#7#"&amp;INT(0.5*S5)&amp;"|"&amp;"3#8#"&amp;S5</f>
        <v>3#3#5|3#4#11|3#5#5|3#6#11|3#7#5|3#8#11</v>
      </c>
      <c r="K165" s="22"/>
      <c r="L165" s="33" t="str">
        <f t="shared" si="24"/>
        <v>凡品升星石19/元宝38000</v>
      </c>
      <c r="M165" s="22">
        <v>100</v>
      </c>
    </row>
    <row r="166" spans="1:13" ht="15.75" x14ac:dyDescent="0.3">
      <c r="A166" s="22" t="s">
        <v>49</v>
      </c>
      <c r="B166" s="22" t="s">
        <v>33</v>
      </c>
      <c r="C166" s="22" t="s">
        <v>1917</v>
      </c>
      <c r="D166" s="2"/>
      <c r="E166" s="2"/>
      <c r="F166" s="23" t="s">
        <v>3171</v>
      </c>
      <c r="G166" s="22">
        <v>3</v>
      </c>
      <c r="H166" s="2"/>
      <c r="I166" s="2"/>
      <c r="J166" s="22" t="str">
        <f t="shared" si="25"/>
        <v>3#3#8|3#4#16|3#5#8|3#6#16|3#7#8|3#8#16</v>
      </c>
      <c r="K166" s="22"/>
      <c r="L166" s="33" t="str">
        <f t="shared" si="24"/>
        <v>凡品升星石19/元宝38000</v>
      </c>
      <c r="M166" s="22">
        <v>90</v>
      </c>
    </row>
    <row r="167" spans="1:13" ht="15.75" x14ac:dyDescent="0.3">
      <c r="A167" s="22" t="s">
        <v>49</v>
      </c>
      <c r="B167" s="22" t="s">
        <v>33</v>
      </c>
      <c r="C167" s="22" t="s">
        <v>1917</v>
      </c>
      <c r="D167" s="2"/>
      <c r="E167" s="2"/>
      <c r="F167" s="23" t="s">
        <v>3172</v>
      </c>
      <c r="G167" s="22">
        <v>4</v>
      </c>
      <c r="H167" s="2"/>
      <c r="I167" s="2"/>
      <c r="J167" s="22" t="str">
        <f t="shared" si="25"/>
        <v>3#3#11|3#4#22|3#5#11|3#6#22|3#7#11|3#8#22</v>
      </c>
      <c r="K167" s="22"/>
      <c r="L167" s="33" t="str">
        <f t="shared" si="24"/>
        <v>凡品升星石22/元宝44000</v>
      </c>
      <c r="M167" s="22">
        <v>80</v>
      </c>
    </row>
    <row r="168" spans="1:13" ht="15.75" x14ac:dyDescent="0.3">
      <c r="A168" s="22" t="s">
        <v>49</v>
      </c>
      <c r="B168" s="22" t="s">
        <v>33</v>
      </c>
      <c r="C168" s="22" t="s">
        <v>1917</v>
      </c>
      <c r="D168" s="2"/>
      <c r="E168" s="2"/>
      <c r="F168" s="23" t="s">
        <v>3173</v>
      </c>
      <c r="G168" s="22">
        <v>5</v>
      </c>
      <c r="H168" s="2"/>
      <c r="I168" s="2"/>
      <c r="J168" s="22" t="str">
        <f t="shared" si="25"/>
        <v>3#3#16|3#4#33|3#5#16|3#6#33|3#7#16|3#8#33</v>
      </c>
      <c r="K168" s="22"/>
      <c r="L168" s="33" t="str">
        <f t="shared" si="24"/>
        <v>凡品升星石22/元宝44000</v>
      </c>
      <c r="M168" s="22">
        <v>70</v>
      </c>
    </row>
    <row r="169" spans="1:13" ht="15.75" x14ac:dyDescent="0.3">
      <c r="A169" s="22" t="s">
        <v>49</v>
      </c>
      <c r="B169" s="22" t="s">
        <v>33</v>
      </c>
      <c r="C169" s="22" t="s">
        <v>1917</v>
      </c>
      <c r="D169" s="2"/>
      <c r="E169" s="2"/>
      <c r="F169" s="23" t="s">
        <v>3174</v>
      </c>
      <c r="G169" s="22">
        <v>6</v>
      </c>
      <c r="H169" s="2"/>
      <c r="I169" s="2"/>
      <c r="J169" s="22" t="str">
        <f t="shared" si="25"/>
        <v>3#3#19|3#4#39|3#5#19|3#6#39|3#7#19|3#8#39</v>
      </c>
      <c r="K169" s="22"/>
      <c r="L169" s="33" t="str">
        <f t="shared" si="24"/>
        <v>凡品升星石26/元宝52000</v>
      </c>
      <c r="M169" s="22">
        <v>60</v>
      </c>
    </row>
    <row r="170" spans="1:13" ht="15.75" x14ac:dyDescent="0.3">
      <c r="A170" s="22" t="s">
        <v>49</v>
      </c>
      <c r="B170" s="22" t="s">
        <v>33</v>
      </c>
      <c r="C170" s="22" t="s">
        <v>1917</v>
      </c>
      <c r="D170" s="2"/>
      <c r="E170" s="2"/>
      <c r="F170" s="23" t="s">
        <v>3175</v>
      </c>
      <c r="G170" s="22">
        <v>7</v>
      </c>
      <c r="H170" s="2"/>
      <c r="I170" s="2"/>
      <c r="J170" s="22" t="str">
        <f t="shared" si="25"/>
        <v>3#3#23|3#4#46|3#5#23|3#6#46|3#7#23|3#8#46</v>
      </c>
      <c r="K170" s="22" t="s">
        <v>3280</v>
      </c>
      <c r="L170" s="33" t="str">
        <f t="shared" si="24"/>
        <v>凡品升星石26/元宝52000</v>
      </c>
      <c r="M170" s="22">
        <v>50</v>
      </c>
    </row>
    <row r="171" spans="1:13" ht="15.75" x14ac:dyDescent="0.3">
      <c r="A171" s="22" t="s">
        <v>49</v>
      </c>
      <c r="B171" s="22" t="s">
        <v>33</v>
      </c>
      <c r="C171" s="22" t="s">
        <v>1917</v>
      </c>
      <c r="D171" s="2"/>
      <c r="E171" s="2"/>
      <c r="F171" s="23" t="s">
        <v>3177</v>
      </c>
      <c r="G171" s="22">
        <v>8</v>
      </c>
      <c r="H171" s="2"/>
      <c r="I171" s="2"/>
      <c r="J171" s="22" t="str">
        <f t="shared" si="25"/>
        <v>3#3#26|3#4#52|3#5#26|3#6#52|3#7#26|3#8#52</v>
      </c>
      <c r="K171" s="22" t="s">
        <v>3281</v>
      </c>
      <c r="L171" s="33" t="str">
        <f t="shared" si="24"/>
        <v>凡品升星石32/元宝64000</v>
      </c>
      <c r="M171" s="22">
        <v>40</v>
      </c>
    </row>
    <row r="172" spans="1:13" ht="15.75" x14ac:dyDescent="0.3">
      <c r="A172" s="22" t="s">
        <v>49</v>
      </c>
      <c r="B172" s="22" t="s">
        <v>33</v>
      </c>
      <c r="C172" s="22" t="s">
        <v>1917</v>
      </c>
      <c r="D172" s="2"/>
      <c r="E172" s="2"/>
      <c r="F172" s="23" t="s">
        <v>3179</v>
      </c>
      <c r="G172" s="22">
        <v>9</v>
      </c>
      <c r="H172" s="2"/>
      <c r="I172" s="2"/>
      <c r="J172" s="22" t="str">
        <f t="shared" si="25"/>
        <v>3#3#35|3#4#70|3#5#35|3#6#70|3#7#35|3#8#70</v>
      </c>
      <c r="K172" s="22" t="s">
        <v>3282</v>
      </c>
      <c r="L172" s="33" t="str">
        <f t="shared" si="24"/>
        <v>凡品升星石32/元宝64000</v>
      </c>
      <c r="M172" s="22">
        <v>30</v>
      </c>
    </row>
    <row r="173" spans="1:13" ht="15.75" x14ac:dyDescent="0.3">
      <c r="A173" s="22" t="s">
        <v>49</v>
      </c>
      <c r="B173" s="22" t="s">
        <v>33</v>
      </c>
      <c r="C173" s="22" t="s">
        <v>1917</v>
      </c>
      <c r="D173" s="2"/>
      <c r="E173" s="2"/>
      <c r="F173" s="23" t="s">
        <v>3181</v>
      </c>
      <c r="G173" s="22">
        <v>10</v>
      </c>
      <c r="H173" s="2"/>
      <c r="I173" s="2"/>
      <c r="J173" s="22" t="str">
        <f t="shared" si="25"/>
        <v>3#3#38|3#4#77|3#5#38|3#6#77|3#7#38|3#8#77</v>
      </c>
      <c r="K173" s="22" t="s">
        <v>3283</v>
      </c>
      <c r="L173" s="33" t="str">
        <f t="shared" si="24"/>
        <v>凡品升星石37/元宝74000</v>
      </c>
      <c r="M173" s="22">
        <v>20</v>
      </c>
    </row>
    <row r="174" spans="1:13" ht="15.75" x14ac:dyDescent="0.3">
      <c r="A174" s="22" t="s">
        <v>49</v>
      </c>
      <c r="B174" s="22" t="s">
        <v>33</v>
      </c>
      <c r="C174" s="22" t="s">
        <v>1917</v>
      </c>
      <c r="D174" s="2"/>
      <c r="E174" s="2"/>
      <c r="F174" s="23" t="s">
        <v>3183</v>
      </c>
      <c r="G174" s="22">
        <v>11</v>
      </c>
      <c r="H174" s="2"/>
      <c r="I174" s="2"/>
      <c r="J174" s="22" t="str">
        <f t="shared" si="25"/>
        <v>3#3#42|3#4#85|3#5#42|3#6#85|3#7#42|3#8#85</v>
      </c>
      <c r="K174" s="22" t="s">
        <v>3284</v>
      </c>
      <c r="L174" s="33" t="str">
        <f t="shared" si="24"/>
        <v>凡品升星石37/元宝74000</v>
      </c>
      <c r="M174" s="22">
        <v>15</v>
      </c>
    </row>
    <row r="175" spans="1:13" ht="15.75" x14ac:dyDescent="0.3">
      <c r="A175" s="22" t="s">
        <v>49</v>
      </c>
      <c r="B175" s="22" t="s">
        <v>33</v>
      </c>
      <c r="C175" s="22" t="s">
        <v>1917</v>
      </c>
      <c r="D175" s="2"/>
      <c r="E175" s="2"/>
      <c r="F175" s="23" t="s">
        <v>3185</v>
      </c>
      <c r="G175" s="22">
        <v>12</v>
      </c>
      <c r="H175" s="2"/>
      <c r="I175" s="2"/>
      <c r="J175" s="22" t="str">
        <f t="shared" si="25"/>
        <v>3#3#46|3#4#93|3#5#46|3#6#93|3#7#46|3#8#93</v>
      </c>
      <c r="K175" s="22" t="s">
        <v>3285</v>
      </c>
      <c r="L175" s="33" t="str">
        <f>"仙品升星石"&amp;INT(X16/2)&amp;"/元宝"&amp;Y16</f>
        <v>仙品升星石19/元宝78000</v>
      </c>
      <c r="M175" s="22">
        <v>100</v>
      </c>
    </row>
    <row r="176" spans="1:13" ht="15.75" x14ac:dyDescent="0.3">
      <c r="A176" s="22" t="s">
        <v>49</v>
      </c>
      <c r="B176" s="22" t="s">
        <v>33</v>
      </c>
      <c r="C176" s="22" t="s">
        <v>1917</v>
      </c>
      <c r="D176" s="2"/>
      <c r="E176" s="2"/>
      <c r="F176" s="23" t="s">
        <v>3187</v>
      </c>
      <c r="G176" s="22">
        <v>13</v>
      </c>
      <c r="H176" s="2"/>
      <c r="I176" s="2"/>
      <c r="J176" s="22" t="str">
        <f t="shared" si="25"/>
        <v>3#3#54|3#4#108|3#5#54|3#6#108|3#7#54|3#8#108</v>
      </c>
      <c r="K176" s="22" t="s">
        <v>3285</v>
      </c>
      <c r="L176" s="33" t="str">
        <f t="shared" ref="L176:L186" si="26">"仙品升星石"&amp;INT(X17/2)&amp;"/元宝"&amp;Y17</f>
        <v>仙品升星石19/元宝78000</v>
      </c>
      <c r="M176" s="22">
        <v>100</v>
      </c>
    </row>
    <row r="177" spans="1:13" ht="15.75" x14ac:dyDescent="0.3">
      <c r="A177" s="22" t="s">
        <v>49</v>
      </c>
      <c r="B177" s="22" t="s">
        <v>33</v>
      </c>
      <c r="C177" s="22" t="s">
        <v>1917</v>
      </c>
      <c r="D177" s="2"/>
      <c r="E177" s="2"/>
      <c r="F177" s="23" t="s">
        <v>3188</v>
      </c>
      <c r="G177" s="22">
        <v>14</v>
      </c>
      <c r="H177" s="2"/>
      <c r="I177" s="2"/>
      <c r="J177" s="22" t="str">
        <f t="shared" si="25"/>
        <v>3#3#58|3#4#116|3#5#58|3#6#116|3#7#58|3#8#116</v>
      </c>
      <c r="K177" s="22" t="s">
        <v>3285</v>
      </c>
      <c r="L177" s="33" t="str">
        <f t="shared" si="26"/>
        <v>仙品升星石21/元宝84000</v>
      </c>
      <c r="M177" s="22">
        <v>100</v>
      </c>
    </row>
    <row r="178" spans="1:13" ht="15.75" x14ac:dyDescent="0.3">
      <c r="A178" s="22" t="s">
        <v>49</v>
      </c>
      <c r="B178" s="22" t="s">
        <v>33</v>
      </c>
      <c r="C178" s="22" t="s">
        <v>1917</v>
      </c>
      <c r="D178" s="2"/>
      <c r="E178" s="2"/>
      <c r="F178" s="23" t="s">
        <v>3189</v>
      </c>
      <c r="G178" s="22">
        <v>15</v>
      </c>
      <c r="H178" s="2"/>
      <c r="I178" s="2"/>
      <c r="J178" s="22" t="str">
        <f t="shared" si="25"/>
        <v>3#3#62|3#4#124|3#5#62|3#6#124|3#7#62|3#8#124</v>
      </c>
      <c r="K178" s="22" t="s">
        <v>3285</v>
      </c>
      <c r="L178" s="33" t="str">
        <f t="shared" si="26"/>
        <v>仙品升星石21/元宝84000</v>
      </c>
      <c r="M178" s="22">
        <v>70</v>
      </c>
    </row>
    <row r="179" spans="1:13" ht="15.75" x14ac:dyDescent="0.3">
      <c r="A179" s="22" t="s">
        <v>49</v>
      </c>
      <c r="B179" s="22" t="s">
        <v>33</v>
      </c>
      <c r="C179" s="22" t="s">
        <v>1917</v>
      </c>
      <c r="D179" s="2"/>
      <c r="E179" s="2"/>
      <c r="F179" s="23" t="s">
        <v>3190</v>
      </c>
      <c r="G179" s="22">
        <v>16</v>
      </c>
      <c r="H179" s="2"/>
      <c r="I179" s="2"/>
      <c r="J179" s="22" t="str">
        <f t="shared" si="25"/>
        <v>3#3#66|3#4#132|3#5#66|3#6#132|3#7#66|3#8#132</v>
      </c>
      <c r="K179" s="22" t="s">
        <v>3285</v>
      </c>
      <c r="L179" s="33" t="str">
        <f t="shared" si="26"/>
        <v>仙品升星石23/元宝92000</v>
      </c>
      <c r="M179" s="22">
        <v>60</v>
      </c>
    </row>
    <row r="180" spans="1:13" ht="15.75" x14ac:dyDescent="0.3">
      <c r="A180" s="22" t="s">
        <v>49</v>
      </c>
      <c r="B180" s="22" t="s">
        <v>33</v>
      </c>
      <c r="C180" s="22" t="s">
        <v>1917</v>
      </c>
      <c r="D180" s="2"/>
      <c r="E180" s="2"/>
      <c r="F180" s="23" t="s">
        <v>3191</v>
      </c>
      <c r="G180" s="22">
        <v>17</v>
      </c>
      <c r="H180" s="2"/>
      <c r="I180" s="2"/>
      <c r="J180" s="22" t="str">
        <f t="shared" si="25"/>
        <v>3#3#79|3#4#159|3#5#79|3#6#159|3#7#79|3#8#159</v>
      </c>
      <c r="K180" s="22" t="s">
        <v>3285</v>
      </c>
      <c r="L180" s="33" t="str">
        <f t="shared" si="26"/>
        <v>仙品升星石23/元宝92000</v>
      </c>
      <c r="M180" s="22">
        <v>50</v>
      </c>
    </row>
    <row r="181" spans="1:13" ht="15.75" x14ac:dyDescent="0.3">
      <c r="A181" s="22" t="s">
        <v>49</v>
      </c>
      <c r="B181" s="22" t="s">
        <v>33</v>
      </c>
      <c r="C181" s="22" t="s">
        <v>1917</v>
      </c>
      <c r="D181" s="2"/>
      <c r="E181" s="2"/>
      <c r="F181" s="23" t="s">
        <v>3192</v>
      </c>
      <c r="G181" s="22">
        <v>18</v>
      </c>
      <c r="H181" s="2"/>
      <c r="I181" s="2"/>
      <c r="J181" s="22" t="str">
        <f t="shared" si="25"/>
        <v>3#3#85|3#4#170|3#5#85|3#6#170|3#7#85|3#8#170</v>
      </c>
      <c r="K181" s="22" t="s">
        <v>3286</v>
      </c>
      <c r="L181" s="33" t="str">
        <f t="shared" si="26"/>
        <v>仙品升星石24/元宝98000</v>
      </c>
      <c r="M181" s="22">
        <v>40</v>
      </c>
    </row>
    <row r="182" spans="1:13" ht="15.75" x14ac:dyDescent="0.3">
      <c r="A182" s="22" t="s">
        <v>49</v>
      </c>
      <c r="B182" s="22" t="s">
        <v>33</v>
      </c>
      <c r="C182" s="22" t="s">
        <v>1917</v>
      </c>
      <c r="D182" s="2"/>
      <c r="E182" s="2"/>
      <c r="F182" s="23" t="s">
        <v>3194</v>
      </c>
      <c r="G182" s="22">
        <v>19</v>
      </c>
      <c r="H182" s="2"/>
      <c r="I182" s="2"/>
      <c r="J182" s="22" t="str">
        <f t="shared" si="25"/>
        <v>3#3#89|3#4#179|3#5#89|3#6#179|3#7#89|3#8#179</v>
      </c>
      <c r="K182" s="22" t="s">
        <v>3287</v>
      </c>
      <c r="L182" s="33" t="str">
        <f t="shared" si="26"/>
        <v>仙品升星石24/元宝98000</v>
      </c>
      <c r="M182" s="22">
        <v>30</v>
      </c>
    </row>
    <row r="183" spans="1:13" ht="15.75" x14ac:dyDescent="0.3">
      <c r="A183" s="22" t="s">
        <v>49</v>
      </c>
      <c r="B183" s="22" t="s">
        <v>33</v>
      </c>
      <c r="C183" s="22" t="s">
        <v>1917</v>
      </c>
      <c r="D183" s="2"/>
      <c r="E183" s="2"/>
      <c r="F183" s="23" t="s">
        <v>3196</v>
      </c>
      <c r="G183" s="22">
        <v>20</v>
      </c>
      <c r="H183" s="2"/>
      <c r="I183" s="2"/>
      <c r="J183" s="22" t="str">
        <f t="shared" si="25"/>
        <v>3#3#94|3#4#188|3#5#94|3#6#188|3#7#94|3#8#188</v>
      </c>
      <c r="K183" s="22" t="s">
        <v>3287</v>
      </c>
      <c r="L183" s="33" t="str">
        <f t="shared" si="26"/>
        <v>仙品升星石26/元宝104000</v>
      </c>
      <c r="M183" s="22">
        <v>25</v>
      </c>
    </row>
    <row r="184" spans="1:13" ht="15.75" x14ac:dyDescent="0.3">
      <c r="A184" s="22" t="s">
        <v>49</v>
      </c>
      <c r="B184" s="22" t="s">
        <v>33</v>
      </c>
      <c r="C184" s="22" t="s">
        <v>1917</v>
      </c>
      <c r="D184" s="2"/>
      <c r="E184" s="2"/>
      <c r="F184" s="23" t="s">
        <v>3197</v>
      </c>
      <c r="G184" s="22">
        <v>21</v>
      </c>
      <c r="H184" s="2"/>
      <c r="I184" s="2"/>
      <c r="J184" s="22" t="str">
        <f t="shared" si="25"/>
        <v>3#3#110|3#4#221|3#5#110|3#6#221|3#7#110|3#8#221</v>
      </c>
      <c r="K184" s="22" t="s">
        <v>3288</v>
      </c>
      <c r="L184" s="33" t="str">
        <f t="shared" si="26"/>
        <v>仙品升星石26/元宝104000</v>
      </c>
      <c r="M184" s="22">
        <v>20</v>
      </c>
    </row>
    <row r="185" spans="1:13" ht="15.75" x14ac:dyDescent="0.3">
      <c r="A185" s="22" t="s">
        <v>49</v>
      </c>
      <c r="B185" s="22" t="s">
        <v>33</v>
      </c>
      <c r="C185" s="22" t="s">
        <v>1917</v>
      </c>
      <c r="D185" s="2"/>
      <c r="E185" s="2"/>
      <c r="F185" s="23" t="s">
        <v>3199</v>
      </c>
      <c r="G185" s="22">
        <v>22</v>
      </c>
      <c r="H185" s="2"/>
      <c r="I185" s="2"/>
      <c r="J185" s="22" t="str">
        <f t="shared" si="25"/>
        <v>3#3#115|3#4#231|3#5#115|3#6#231|3#7#115|3#8#231</v>
      </c>
      <c r="K185" s="22" t="s">
        <v>3289</v>
      </c>
      <c r="L185" s="33" t="str">
        <f t="shared" si="26"/>
        <v>仙品升星石27/元宝110000</v>
      </c>
      <c r="M185" s="22">
        <v>15</v>
      </c>
    </row>
    <row r="186" spans="1:13" ht="15.75" x14ac:dyDescent="0.3">
      <c r="A186" s="22" t="s">
        <v>49</v>
      </c>
      <c r="B186" s="22" t="s">
        <v>33</v>
      </c>
      <c r="C186" s="22" t="s">
        <v>1917</v>
      </c>
      <c r="D186" s="2"/>
      <c r="E186" s="2"/>
      <c r="F186" s="23" t="s">
        <v>3201</v>
      </c>
      <c r="G186" s="22">
        <v>23</v>
      </c>
      <c r="H186" s="2"/>
      <c r="I186" s="2"/>
      <c r="J186" s="22" t="str">
        <f t="shared" si="25"/>
        <v>3#3#121|3#4#242|3#5#121|3#6#242|3#7#121|3#8#242</v>
      </c>
      <c r="K186" s="22" t="s">
        <v>3290</v>
      </c>
      <c r="L186" s="33" t="str">
        <f t="shared" si="26"/>
        <v>仙品升星石27/元宝110000</v>
      </c>
      <c r="M186" s="22">
        <v>10</v>
      </c>
    </row>
    <row r="187" spans="1:13" ht="15.75" x14ac:dyDescent="0.3">
      <c r="A187" s="22" t="s">
        <v>49</v>
      </c>
      <c r="B187" s="22" t="s">
        <v>33</v>
      </c>
      <c r="C187" s="22" t="s">
        <v>1917</v>
      </c>
      <c r="D187" s="2"/>
      <c r="E187" s="2"/>
      <c r="F187" s="23" t="s">
        <v>3203</v>
      </c>
      <c r="G187" s="22">
        <v>24</v>
      </c>
      <c r="H187" s="2"/>
      <c r="I187" s="2"/>
      <c r="J187" s="22" t="str">
        <f t="shared" si="25"/>
        <v>3#3#126|3#4#252|3#5#126|3#6#252|3#7#126|3#8#252</v>
      </c>
      <c r="K187" s="22" t="s">
        <v>3291</v>
      </c>
      <c r="L187" s="33" t="str">
        <f>"神品升星石"&amp;INT(X28/10)&amp;"/元宝"&amp;Y28</f>
        <v>神品升星石5/元宝116000</v>
      </c>
      <c r="M187" s="22">
        <v>100</v>
      </c>
    </row>
    <row r="188" spans="1:13" ht="15.75" x14ac:dyDescent="0.3">
      <c r="A188" s="22" t="s">
        <v>49</v>
      </c>
      <c r="B188" s="22" t="s">
        <v>33</v>
      </c>
      <c r="C188" s="22" t="s">
        <v>1917</v>
      </c>
      <c r="D188" s="2"/>
      <c r="E188" s="2"/>
      <c r="F188" s="23" t="s">
        <v>3205</v>
      </c>
      <c r="G188" s="22">
        <v>25</v>
      </c>
      <c r="H188" s="2"/>
      <c r="I188" s="2"/>
      <c r="J188" s="22" t="str">
        <f t="shared" si="25"/>
        <v>3#3#138|3#4#277|3#5#138|3#6#277|3#7#138|3#8#277</v>
      </c>
      <c r="K188" s="22" t="s">
        <v>3291</v>
      </c>
      <c r="L188" s="33" t="str">
        <f t="shared" ref="L188:L198" si="27">"神品升星石"&amp;INT(X29/10)&amp;"/元宝"&amp;Y29</f>
        <v>神品升星石5/元宝116000</v>
      </c>
      <c r="M188" s="22">
        <v>100</v>
      </c>
    </row>
    <row r="189" spans="1:13" ht="15.75" x14ac:dyDescent="0.3">
      <c r="A189" s="22" t="s">
        <v>49</v>
      </c>
      <c r="B189" s="22" t="s">
        <v>33</v>
      </c>
      <c r="C189" s="22" t="s">
        <v>1917</v>
      </c>
      <c r="D189" s="2"/>
      <c r="E189" s="2"/>
      <c r="F189" s="23" t="s">
        <v>3206</v>
      </c>
      <c r="G189" s="22">
        <v>26</v>
      </c>
      <c r="H189" s="2"/>
      <c r="I189" s="2"/>
      <c r="J189" s="22" t="str">
        <f t="shared" si="25"/>
        <v>3#3#144|3#4#288|3#5#144|3#6#288|3#7#144|3#8#288</v>
      </c>
      <c r="K189" s="22" t="s">
        <v>3291</v>
      </c>
      <c r="L189" s="33" t="str">
        <f t="shared" si="27"/>
        <v>神品升星石6/元宝122000</v>
      </c>
      <c r="M189" s="22">
        <v>100</v>
      </c>
    </row>
    <row r="190" spans="1:13" ht="15.75" x14ac:dyDescent="0.3">
      <c r="A190" s="22" t="s">
        <v>49</v>
      </c>
      <c r="B190" s="22" t="s">
        <v>33</v>
      </c>
      <c r="C190" s="22" t="s">
        <v>1917</v>
      </c>
      <c r="D190" s="2"/>
      <c r="E190" s="2"/>
      <c r="F190" s="23" t="s">
        <v>3207</v>
      </c>
      <c r="G190" s="22">
        <v>27</v>
      </c>
      <c r="H190" s="2"/>
      <c r="I190" s="2"/>
      <c r="J190" s="22" t="str">
        <f t="shared" si="25"/>
        <v>3#3#150|3#4#300|3#5#150|3#6#300|3#7#150|3#8#300</v>
      </c>
      <c r="K190" s="22" t="s">
        <v>3291</v>
      </c>
      <c r="L190" s="33" t="str">
        <f t="shared" si="27"/>
        <v>神品升星石6/元宝122000</v>
      </c>
      <c r="M190" s="22">
        <v>70</v>
      </c>
    </row>
    <row r="191" spans="1:13" ht="15.75" x14ac:dyDescent="0.3">
      <c r="A191" s="22" t="s">
        <v>49</v>
      </c>
      <c r="B191" s="22" t="s">
        <v>33</v>
      </c>
      <c r="C191" s="22" t="s">
        <v>1917</v>
      </c>
      <c r="D191" s="2"/>
      <c r="E191" s="2"/>
      <c r="F191" s="23" t="s">
        <v>3208</v>
      </c>
      <c r="G191" s="22">
        <v>28</v>
      </c>
      <c r="H191" s="2"/>
      <c r="I191" s="2"/>
      <c r="J191" s="22" t="str">
        <f t="shared" si="25"/>
        <v>3#3#155|3#4#311|3#5#155|3#6#311|3#7#155|3#8#311</v>
      </c>
      <c r="K191" s="22" t="s">
        <v>3291</v>
      </c>
      <c r="L191" s="33" t="str">
        <f t="shared" si="27"/>
        <v>神品升星石6/元宝130000</v>
      </c>
      <c r="M191" s="22">
        <v>60</v>
      </c>
    </row>
    <row r="192" spans="1:13" ht="15.75" x14ac:dyDescent="0.3">
      <c r="A192" s="22" t="s">
        <v>49</v>
      </c>
      <c r="B192" s="22" t="s">
        <v>33</v>
      </c>
      <c r="C192" s="22" t="s">
        <v>1917</v>
      </c>
      <c r="D192" s="2"/>
      <c r="E192" s="2"/>
      <c r="F192" s="23" t="s">
        <v>3209</v>
      </c>
      <c r="G192" s="22">
        <v>29</v>
      </c>
      <c r="H192" s="2"/>
      <c r="I192" s="2"/>
      <c r="J192" s="22" t="str">
        <f t="shared" si="25"/>
        <v>3#3#161|3#4#322|3#5#161|3#6#322|3#7#161|3#8#322</v>
      </c>
      <c r="K192" s="22" t="s">
        <v>3291</v>
      </c>
      <c r="L192" s="33" t="str">
        <f t="shared" si="27"/>
        <v>神品升星石6/元宝130000</v>
      </c>
      <c r="M192" s="22">
        <v>50</v>
      </c>
    </row>
    <row r="193" spans="1:13" ht="15.75" x14ac:dyDescent="0.3">
      <c r="A193" s="22" t="s">
        <v>49</v>
      </c>
      <c r="B193" s="22" t="s">
        <v>33</v>
      </c>
      <c r="C193" s="22" t="s">
        <v>1917</v>
      </c>
      <c r="D193" s="2"/>
      <c r="E193" s="2"/>
      <c r="F193" s="23" t="s">
        <v>3210</v>
      </c>
      <c r="G193" s="22">
        <v>30</v>
      </c>
      <c r="H193" s="2"/>
      <c r="I193" s="2"/>
      <c r="J193" s="22" t="str">
        <f t="shared" si="25"/>
        <v>3#3#166|3#4#333|3#5#166|3#6#333|3#7#166|3#8#333</v>
      </c>
      <c r="K193" s="22" t="s">
        <v>3291</v>
      </c>
      <c r="L193" s="33" t="str">
        <f t="shared" si="27"/>
        <v>神品升星石6/元宝136000</v>
      </c>
      <c r="M193" s="22">
        <v>40</v>
      </c>
    </row>
    <row r="194" spans="1:13" ht="15.75" x14ac:dyDescent="0.3">
      <c r="A194" s="22" t="s">
        <v>49</v>
      </c>
      <c r="B194" s="22" t="s">
        <v>33</v>
      </c>
      <c r="C194" s="22" t="s">
        <v>1917</v>
      </c>
      <c r="D194" s="2"/>
      <c r="E194" s="2"/>
      <c r="F194" s="23" t="s">
        <v>3211</v>
      </c>
      <c r="G194" s="22">
        <v>31</v>
      </c>
      <c r="H194" s="2"/>
      <c r="I194" s="2"/>
      <c r="J194" s="22" t="str">
        <f t="shared" si="25"/>
        <v>3#3#172|3#4#344|3#5#172|3#6#344|3#7#172|3#8#344</v>
      </c>
      <c r="K194" s="22" t="s">
        <v>3292</v>
      </c>
      <c r="L194" s="33" t="str">
        <f t="shared" si="27"/>
        <v>神品升星石6/元宝136000</v>
      </c>
      <c r="M194" s="22">
        <v>30</v>
      </c>
    </row>
    <row r="195" spans="1:13" ht="15.75" x14ac:dyDescent="0.3">
      <c r="A195" s="22" t="s">
        <v>49</v>
      </c>
      <c r="B195" s="22" t="s">
        <v>33</v>
      </c>
      <c r="C195" s="22" t="s">
        <v>1917</v>
      </c>
      <c r="D195" s="2"/>
      <c r="E195" s="2"/>
      <c r="F195" s="23" t="s">
        <v>3213</v>
      </c>
      <c r="G195" s="22">
        <v>32</v>
      </c>
      <c r="H195" s="2"/>
      <c r="I195" s="2"/>
      <c r="J195" s="22" t="str">
        <f t="shared" si="25"/>
        <v>3#3#177|3#4#355|3#5#177|3#6#355|3#7#177|3#8#355</v>
      </c>
      <c r="K195" s="22" t="s">
        <v>3293</v>
      </c>
      <c r="L195" s="33" t="str">
        <f t="shared" si="27"/>
        <v>神品升星石7/元宝142000</v>
      </c>
      <c r="M195" s="22">
        <v>25</v>
      </c>
    </row>
    <row r="196" spans="1:13" ht="15.75" x14ac:dyDescent="0.3">
      <c r="A196" s="22" t="s">
        <v>49</v>
      </c>
      <c r="B196" s="22" t="s">
        <v>33</v>
      </c>
      <c r="C196" s="22" t="s">
        <v>1917</v>
      </c>
      <c r="D196" s="2"/>
      <c r="E196" s="2"/>
      <c r="F196" s="23" t="s">
        <v>3215</v>
      </c>
      <c r="G196" s="22">
        <v>33</v>
      </c>
      <c r="H196" s="2"/>
      <c r="I196" s="2"/>
      <c r="J196" s="22" t="str">
        <f t="shared" si="25"/>
        <v>3#3#183|3#4#366|3#5#183|3#6#366|3#7#183|3#8#366</v>
      </c>
      <c r="K196" s="22" t="s">
        <v>3294</v>
      </c>
      <c r="L196" s="33" t="str">
        <f t="shared" si="27"/>
        <v>神品升星石7/元宝142000</v>
      </c>
      <c r="M196" s="22">
        <v>20</v>
      </c>
    </row>
    <row r="197" spans="1:13" ht="15.75" x14ac:dyDescent="0.3">
      <c r="A197" s="22" t="s">
        <v>49</v>
      </c>
      <c r="B197" s="22" t="s">
        <v>33</v>
      </c>
      <c r="C197" s="22" t="s">
        <v>1917</v>
      </c>
      <c r="D197" s="2"/>
      <c r="E197" s="2"/>
      <c r="F197" s="23" t="s">
        <v>3217</v>
      </c>
      <c r="G197" s="22">
        <v>34</v>
      </c>
      <c r="H197" s="2"/>
      <c r="I197" s="2"/>
      <c r="J197" s="22" t="str">
        <f t="shared" si="25"/>
        <v>3#3#188|3#4#377|3#5#188|3#6#377|3#7#188|3#8#377</v>
      </c>
      <c r="K197" s="22" t="s">
        <v>3295</v>
      </c>
      <c r="L197" s="33" t="str">
        <f t="shared" si="27"/>
        <v>神品升星石7/元宝148000</v>
      </c>
      <c r="M197" s="22">
        <v>15</v>
      </c>
    </row>
    <row r="198" spans="1:13" ht="15.75" x14ac:dyDescent="0.3">
      <c r="A198" s="22" t="s">
        <v>49</v>
      </c>
      <c r="B198" s="22" t="s">
        <v>33</v>
      </c>
      <c r="C198" s="22" t="s">
        <v>1917</v>
      </c>
      <c r="D198" s="2"/>
      <c r="E198" s="2"/>
      <c r="F198" s="23" t="s">
        <v>3219</v>
      </c>
      <c r="G198" s="22">
        <v>35</v>
      </c>
      <c r="H198" s="2"/>
      <c r="I198" s="2"/>
      <c r="J198" s="22" t="str">
        <f t="shared" si="25"/>
        <v>3#3#194|3#4#388|3#5#194|3#6#388|3#7#194|3#8#388</v>
      </c>
      <c r="K198" s="22" t="s">
        <v>3296</v>
      </c>
      <c r="L198" s="33" t="str">
        <f t="shared" si="27"/>
        <v>神品升星石7/元宝148000</v>
      </c>
      <c r="M198" s="22">
        <v>10</v>
      </c>
    </row>
    <row r="199" spans="1:13" ht="15.75" x14ac:dyDescent="0.3">
      <c r="A199" s="22" t="s">
        <v>49</v>
      </c>
      <c r="B199" s="22" t="s">
        <v>33</v>
      </c>
      <c r="C199" s="22" t="s">
        <v>1917</v>
      </c>
      <c r="D199" s="2"/>
      <c r="E199" s="2"/>
      <c r="F199" s="23" t="s">
        <v>3221</v>
      </c>
      <c r="G199" s="22">
        <v>36</v>
      </c>
      <c r="H199" s="2"/>
      <c r="I199" s="2"/>
      <c r="J199" s="22" t="str">
        <f t="shared" si="25"/>
        <v>3#3#200|3#4#400|3#5#200|3#6#400|3#7#200|3#8#400</v>
      </c>
      <c r="K199" s="22" t="s">
        <v>3297</v>
      </c>
      <c r="L199" s="2"/>
      <c r="M199" s="22"/>
    </row>
    <row r="200" spans="1:13" ht="15.75" x14ac:dyDescent="0.3">
      <c r="A200" s="22" t="s">
        <v>49</v>
      </c>
      <c r="B200" s="22" t="s">
        <v>33</v>
      </c>
      <c r="C200" s="22" t="s">
        <v>1917</v>
      </c>
      <c r="D200" s="2"/>
      <c r="E200" s="2"/>
      <c r="F200" s="23" t="s">
        <v>3223</v>
      </c>
      <c r="G200" s="22">
        <v>37</v>
      </c>
      <c r="H200" s="2"/>
      <c r="I200" s="2"/>
      <c r="J200" s="22"/>
      <c r="K200" s="22"/>
      <c r="L200" s="2"/>
      <c r="M200" s="22"/>
    </row>
    <row r="201" spans="1:13" ht="15.75" x14ac:dyDescent="0.3">
      <c r="A201" s="22" t="s">
        <v>49</v>
      </c>
      <c r="B201" s="22" t="s">
        <v>33</v>
      </c>
      <c r="C201" s="22" t="s">
        <v>1917</v>
      </c>
      <c r="D201" s="2"/>
      <c r="E201" s="2"/>
      <c r="F201" s="23" t="s">
        <v>3224</v>
      </c>
      <c r="G201" s="22">
        <v>38</v>
      </c>
      <c r="H201" s="2"/>
      <c r="I201" s="2"/>
      <c r="J201" s="22"/>
      <c r="K201" s="22"/>
      <c r="L201" s="2"/>
      <c r="M201" s="22"/>
    </row>
    <row r="202" spans="1:13" ht="15.75" x14ac:dyDescent="0.3">
      <c r="A202" s="22" t="s">
        <v>49</v>
      </c>
      <c r="B202" s="22" t="s">
        <v>33</v>
      </c>
      <c r="C202" s="22" t="s">
        <v>1917</v>
      </c>
      <c r="D202" s="2"/>
      <c r="E202" s="2"/>
      <c r="F202" s="23" t="s">
        <v>3225</v>
      </c>
      <c r="G202" s="22">
        <v>39</v>
      </c>
      <c r="H202" s="2"/>
      <c r="I202" s="2"/>
      <c r="J202" s="22"/>
      <c r="K202" s="22"/>
      <c r="L202" s="2"/>
      <c r="M202" s="22"/>
    </row>
    <row r="203" spans="1:13" ht="15.75" x14ac:dyDescent="0.3">
      <c r="A203" s="22" t="s">
        <v>49</v>
      </c>
      <c r="B203" s="22" t="s">
        <v>33</v>
      </c>
      <c r="C203" s="22" t="s">
        <v>1919</v>
      </c>
      <c r="D203" s="22"/>
      <c r="E203" s="22"/>
      <c r="F203" s="23" t="s">
        <v>3168</v>
      </c>
      <c r="G203" s="22">
        <v>0</v>
      </c>
      <c r="H203" s="32"/>
      <c r="I203" s="22"/>
      <c r="J203" s="22"/>
      <c r="K203" s="22"/>
      <c r="L203" s="33" t="str">
        <f>"凡品升星石"&amp;X4&amp;"/元宝"&amp;Y4</f>
        <v>凡品升星石16/元宝32000</v>
      </c>
      <c r="M203" s="22">
        <v>100</v>
      </c>
    </row>
    <row r="204" spans="1:13" ht="15.75" x14ac:dyDescent="0.3">
      <c r="A204" s="22" t="s">
        <v>49</v>
      </c>
      <c r="B204" s="22" t="s">
        <v>33</v>
      </c>
      <c r="C204" s="22" t="s">
        <v>1919</v>
      </c>
      <c r="D204" s="22"/>
      <c r="E204" s="22"/>
      <c r="F204" s="23" t="s">
        <v>3169</v>
      </c>
      <c r="G204" s="22">
        <v>1</v>
      </c>
      <c r="H204" s="32"/>
      <c r="I204" s="22"/>
      <c r="J20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04" s="22"/>
      <c r="L204" s="33" t="str">
        <f t="shared" ref="L204:L214" si="28">"凡品升星石"&amp;X5&amp;"/元宝"&amp;Y5</f>
        <v>凡品升星石16/元宝32000</v>
      </c>
      <c r="M204" s="22">
        <v>100</v>
      </c>
    </row>
    <row r="205" spans="1:13" ht="15.75" x14ac:dyDescent="0.3">
      <c r="A205" s="22" t="s">
        <v>49</v>
      </c>
      <c r="B205" s="22" t="s">
        <v>33</v>
      </c>
      <c r="C205" s="22" t="s">
        <v>1919</v>
      </c>
      <c r="D205" s="2"/>
      <c r="E205" s="2"/>
      <c r="F205" s="23" t="s">
        <v>3170</v>
      </c>
      <c r="G205" s="22">
        <v>2</v>
      </c>
      <c r="H205" s="2"/>
      <c r="I205" s="2"/>
      <c r="J205" s="22" t="str">
        <f t="shared" ref="J205:J239" si="29">"3#3#"&amp;INT(0.5*S5)&amp;"|"&amp;"3#4#"&amp;S5&amp;"|"&amp;"3#5#"&amp;INT(0.5*S5)&amp;"|"&amp;"3#6#"&amp;S5&amp;"|"&amp;"3#7#"&amp;INT(0.5*S5)&amp;"|"&amp;"3#8#"&amp;S5</f>
        <v>3#3#5|3#4#11|3#5#5|3#6#11|3#7#5|3#8#11</v>
      </c>
      <c r="K205" s="22"/>
      <c r="L205" s="33" t="str">
        <f t="shared" si="28"/>
        <v>凡品升星石19/元宝38000</v>
      </c>
      <c r="M205" s="22">
        <v>100</v>
      </c>
    </row>
    <row r="206" spans="1:13" ht="15.75" x14ac:dyDescent="0.3">
      <c r="A206" s="22" t="s">
        <v>49</v>
      </c>
      <c r="B206" s="22" t="s">
        <v>33</v>
      </c>
      <c r="C206" s="22" t="s">
        <v>1919</v>
      </c>
      <c r="D206" s="2"/>
      <c r="E206" s="2"/>
      <c r="F206" s="23" t="s">
        <v>3171</v>
      </c>
      <c r="G206" s="22">
        <v>3</v>
      </c>
      <c r="H206" s="2"/>
      <c r="I206" s="2"/>
      <c r="J206" s="22" t="str">
        <f t="shared" si="29"/>
        <v>3#3#8|3#4#16|3#5#8|3#6#16|3#7#8|3#8#16</v>
      </c>
      <c r="K206" s="22"/>
      <c r="L206" s="33" t="str">
        <f t="shared" si="28"/>
        <v>凡品升星石19/元宝38000</v>
      </c>
      <c r="M206" s="22">
        <v>90</v>
      </c>
    </row>
    <row r="207" spans="1:13" ht="15.75" x14ac:dyDescent="0.3">
      <c r="A207" s="22" t="s">
        <v>49</v>
      </c>
      <c r="B207" s="22" t="s">
        <v>33</v>
      </c>
      <c r="C207" s="22" t="s">
        <v>1919</v>
      </c>
      <c r="D207" s="2"/>
      <c r="E207" s="2"/>
      <c r="F207" s="23" t="s">
        <v>3172</v>
      </c>
      <c r="G207" s="22">
        <v>4</v>
      </c>
      <c r="H207" s="2"/>
      <c r="I207" s="2"/>
      <c r="J207" s="22" t="str">
        <f t="shared" si="29"/>
        <v>3#3#11|3#4#22|3#5#11|3#6#22|3#7#11|3#8#22</v>
      </c>
      <c r="K207" s="22"/>
      <c r="L207" s="33" t="str">
        <f t="shared" si="28"/>
        <v>凡品升星石22/元宝44000</v>
      </c>
      <c r="M207" s="22">
        <v>80</v>
      </c>
    </row>
    <row r="208" spans="1:13" ht="15.75" x14ac:dyDescent="0.3">
      <c r="A208" s="22" t="s">
        <v>49</v>
      </c>
      <c r="B208" s="22" t="s">
        <v>33</v>
      </c>
      <c r="C208" s="22" t="s">
        <v>1919</v>
      </c>
      <c r="D208" s="2"/>
      <c r="E208" s="2"/>
      <c r="F208" s="23" t="s">
        <v>3173</v>
      </c>
      <c r="G208" s="22">
        <v>5</v>
      </c>
      <c r="H208" s="2"/>
      <c r="I208" s="2"/>
      <c r="J208" s="22" t="str">
        <f t="shared" si="29"/>
        <v>3#3#16|3#4#33|3#5#16|3#6#33|3#7#16|3#8#33</v>
      </c>
      <c r="K208" s="22"/>
      <c r="L208" s="33" t="str">
        <f t="shared" si="28"/>
        <v>凡品升星石22/元宝44000</v>
      </c>
      <c r="M208" s="22">
        <v>70</v>
      </c>
    </row>
    <row r="209" spans="1:13" ht="15.75" x14ac:dyDescent="0.3">
      <c r="A209" s="22" t="s">
        <v>49</v>
      </c>
      <c r="B209" s="22" t="s">
        <v>33</v>
      </c>
      <c r="C209" s="22" t="s">
        <v>1919</v>
      </c>
      <c r="D209" s="2"/>
      <c r="E209" s="2"/>
      <c r="F209" s="23" t="s">
        <v>3174</v>
      </c>
      <c r="G209" s="22">
        <v>6</v>
      </c>
      <c r="H209" s="2"/>
      <c r="I209" s="2"/>
      <c r="J209" s="22" t="str">
        <f t="shared" si="29"/>
        <v>3#3#19|3#4#39|3#5#19|3#6#39|3#7#19|3#8#39</v>
      </c>
      <c r="K209" s="22"/>
      <c r="L209" s="33" t="str">
        <f t="shared" si="28"/>
        <v>凡品升星石26/元宝52000</v>
      </c>
      <c r="M209" s="22">
        <v>60</v>
      </c>
    </row>
    <row r="210" spans="1:13" ht="15.75" x14ac:dyDescent="0.3">
      <c r="A210" s="22" t="s">
        <v>49</v>
      </c>
      <c r="B210" s="22" t="s">
        <v>33</v>
      </c>
      <c r="C210" s="22" t="s">
        <v>1919</v>
      </c>
      <c r="D210" s="2"/>
      <c r="E210" s="2"/>
      <c r="F210" s="23" t="s">
        <v>3175</v>
      </c>
      <c r="G210" s="22">
        <v>7</v>
      </c>
      <c r="H210" s="2"/>
      <c r="I210" s="2"/>
      <c r="J210" s="22" t="str">
        <f t="shared" si="29"/>
        <v>3#3#23|3#4#46|3#5#23|3#6#46|3#7#23|3#8#46</v>
      </c>
      <c r="K210" s="22" t="s">
        <v>3298</v>
      </c>
      <c r="L210" s="33" t="str">
        <f t="shared" si="28"/>
        <v>凡品升星石26/元宝52000</v>
      </c>
      <c r="M210" s="22">
        <v>50</v>
      </c>
    </row>
    <row r="211" spans="1:13" ht="15.75" x14ac:dyDescent="0.3">
      <c r="A211" s="22" t="s">
        <v>49</v>
      </c>
      <c r="B211" s="22" t="s">
        <v>33</v>
      </c>
      <c r="C211" s="22" t="s">
        <v>1919</v>
      </c>
      <c r="D211" s="2"/>
      <c r="E211" s="2"/>
      <c r="F211" s="23" t="s">
        <v>3177</v>
      </c>
      <c r="G211" s="22">
        <v>8</v>
      </c>
      <c r="H211" s="2"/>
      <c r="I211" s="2"/>
      <c r="J211" s="22" t="str">
        <f t="shared" si="29"/>
        <v>3#3#26|3#4#52|3#5#26|3#6#52|3#7#26|3#8#52</v>
      </c>
      <c r="K211" s="22" t="s">
        <v>3299</v>
      </c>
      <c r="L211" s="33" t="str">
        <f t="shared" si="28"/>
        <v>凡品升星石32/元宝64000</v>
      </c>
      <c r="M211" s="22">
        <v>40</v>
      </c>
    </row>
    <row r="212" spans="1:13" ht="15.75" x14ac:dyDescent="0.3">
      <c r="A212" s="22" t="s">
        <v>49</v>
      </c>
      <c r="B212" s="22" t="s">
        <v>33</v>
      </c>
      <c r="C212" s="22" t="s">
        <v>1919</v>
      </c>
      <c r="D212" s="2"/>
      <c r="E212" s="2"/>
      <c r="F212" s="23" t="s">
        <v>3179</v>
      </c>
      <c r="G212" s="22">
        <v>9</v>
      </c>
      <c r="H212" s="2"/>
      <c r="I212" s="2"/>
      <c r="J212" s="22" t="str">
        <f t="shared" si="29"/>
        <v>3#3#35|3#4#70|3#5#35|3#6#70|3#7#35|3#8#70</v>
      </c>
      <c r="K212" s="22" t="s">
        <v>3300</v>
      </c>
      <c r="L212" s="33" t="str">
        <f t="shared" si="28"/>
        <v>凡品升星石32/元宝64000</v>
      </c>
      <c r="M212" s="22">
        <v>30</v>
      </c>
    </row>
    <row r="213" spans="1:13" ht="15.75" x14ac:dyDescent="0.3">
      <c r="A213" s="22" t="s">
        <v>49</v>
      </c>
      <c r="B213" s="22" t="s">
        <v>33</v>
      </c>
      <c r="C213" s="22" t="s">
        <v>1919</v>
      </c>
      <c r="D213" s="2"/>
      <c r="E213" s="2"/>
      <c r="F213" s="23" t="s">
        <v>3181</v>
      </c>
      <c r="G213" s="22">
        <v>10</v>
      </c>
      <c r="H213" s="2"/>
      <c r="I213" s="2"/>
      <c r="J213" s="22" t="str">
        <f t="shared" si="29"/>
        <v>3#3#38|3#4#77|3#5#38|3#6#77|3#7#38|3#8#77</v>
      </c>
      <c r="K213" s="22" t="s">
        <v>3301</v>
      </c>
      <c r="L213" s="33" t="str">
        <f t="shared" si="28"/>
        <v>凡品升星石37/元宝74000</v>
      </c>
      <c r="M213" s="22">
        <v>20</v>
      </c>
    </row>
    <row r="214" spans="1:13" ht="15.75" x14ac:dyDescent="0.3">
      <c r="A214" s="22" t="s">
        <v>49</v>
      </c>
      <c r="B214" s="22" t="s">
        <v>33</v>
      </c>
      <c r="C214" s="22" t="s">
        <v>1919</v>
      </c>
      <c r="D214" s="2"/>
      <c r="E214" s="2"/>
      <c r="F214" s="23" t="s">
        <v>3183</v>
      </c>
      <c r="G214" s="22">
        <v>11</v>
      </c>
      <c r="H214" s="2"/>
      <c r="I214" s="2"/>
      <c r="J214" s="22" t="str">
        <f t="shared" si="29"/>
        <v>3#3#42|3#4#85|3#5#42|3#6#85|3#7#42|3#8#85</v>
      </c>
      <c r="K214" s="22" t="s">
        <v>3302</v>
      </c>
      <c r="L214" s="33" t="str">
        <f t="shared" si="28"/>
        <v>凡品升星石37/元宝74000</v>
      </c>
      <c r="M214" s="22">
        <v>15</v>
      </c>
    </row>
    <row r="215" spans="1:13" ht="15.75" x14ac:dyDescent="0.3">
      <c r="A215" s="22" t="s">
        <v>49</v>
      </c>
      <c r="B215" s="22" t="s">
        <v>33</v>
      </c>
      <c r="C215" s="22" t="s">
        <v>1919</v>
      </c>
      <c r="D215" s="2"/>
      <c r="E215" s="2"/>
      <c r="F215" s="23" t="s">
        <v>3185</v>
      </c>
      <c r="G215" s="22">
        <v>12</v>
      </c>
      <c r="H215" s="2"/>
      <c r="I215" s="2"/>
      <c r="J215" s="22" t="str">
        <f t="shared" si="29"/>
        <v>3#3#46|3#4#93|3#5#46|3#6#93|3#7#46|3#8#93</v>
      </c>
      <c r="K215" s="22" t="s">
        <v>3303</v>
      </c>
      <c r="L215" s="33" t="str">
        <f>"仙品升星石"&amp;INT(X16/2)&amp;"/元宝"&amp;Y16</f>
        <v>仙品升星石19/元宝78000</v>
      </c>
      <c r="M215" s="22">
        <v>100</v>
      </c>
    </row>
    <row r="216" spans="1:13" ht="15.75" x14ac:dyDescent="0.3">
      <c r="A216" s="22" t="s">
        <v>49</v>
      </c>
      <c r="B216" s="22" t="s">
        <v>33</v>
      </c>
      <c r="C216" s="22" t="s">
        <v>1919</v>
      </c>
      <c r="D216" s="2"/>
      <c r="E216" s="2"/>
      <c r="F216" s="23" t="s">
        <v>3187</v>
      </c>
      <c r="G216" s="22">
        <v>13</v>
      </c>
      <c r="H216" s="2"/>
      <c r="I216" s="2"/>
      <c r="J216" s="22" t="str">
        <f t="shared" si="29"/>
        <v>3#3#54|3#4#108|3#5#54|3#6#108|3#7#54|3#8#108</v>
      </c>
      <c r="K216" s="22" t="s">
        <v>3303</v>
      </c>
      <c r="L216" s="33" t="str">
        <f t="shared" ref="L216:L226" si="30">"仙品升星石"&amp;INT(X17/2)&amp;"/元宝"&amp;Y17</f>
        <v>仙品升星石19/元宝78000</v>
      </c>
      <c r="M216" s="22">
        <v>100</v>
      </c>
    </row>
    <row r="217" spans="1:13" ht="15.75" x14ac:dyDescent="0.3">
      <c r="A217" s="22" t="s">
        <v>49</v>
      </c>
      <c r="B217" s="22" t="s">
        <v>33</v>
      </c>
      <c r="C217" s="22" t="s">
        <v>1919</v>
      </c>
      <c r="D217" s="2"/>
      <c r="E217" s="2"/>
      <c r="F217" s="23" t="s">
        <v>3188</v>
      </c>
      <c r="G217" s="22">
        <v>14</v>
      </c>
      <c r="H217" s="2"/>
      <c r="I217" s="2"/>
      <c r="J217" s="22" t="str">
        <f t="shared" si="29"/>
        <v>3#3#58|3#4#116|3#5#58|3#6#116|3#7#58|3#8#116</v>
      </c>
      <c r="K217" s="22" t="s">
        <v>3303</v>
      </c>
      <c r="L217" s="33" t="str">
        <f t="shared" si="30"/>
        <v>仙品升星石21/元宝84000</v>
      </c>
      <c r="M217" s="22">
        <v>100</v>
      </c>
    </row>
    <row r="218" spans="1:13" ht="15.75" x14ac:dyDescent="0.3">
      <c r="A218" s="22" t="s">
        <v>49</v>
      </c>
      <c r="B218" s="22" t="s">
        <v>33</v>
      </c>
      <c r="C218" s="22" t="s">
        <v>1919</v>
      </c>
      <c r="D218" s="2"/>
      <c r="E218" s="2"/>
      <c r="F218" s="23" t="s">
        <v>3189</v>
      </c>
      <c r="G218" s="22">
        <v>15</v>
      </c>
      <c r="H218" s="2"/>
      <c r="I218" s="2"/>
      <c r="J218" s="22" t="str">
        <f t="shared" si="29"/>
        <v>3#3#62|3#4#124|3#5#62|3#6#124|3#7#62|3#8#124</v>
      </c>
      <c r="K218" s="22" t="s">
        <v>3303</v>
      </c>
      <c r="L218" s="33" t="str">
        <f t="shared" si="30"/>
        <v>仙品升星石21/元宝84000</v>
      </c>
      <c r="M218" s="22">
        <v>70</v>
      </c>
    </row>
    <row r="219" spans="1:13" ht="15.75" x14ac:dyDescent="0.3">
      <c r="A219" s="22" t="s">
        <v>49</v>
      </c>
      <c r="B219" s="22" t="s">
        <v>33</v>
      </c>
      <c r="C219" s="22" t="s">
        <v>1919</v>
      </c>
      <c r="D219" s="2"/>
      <c r="E219" s="2"/>
      <c r="F219" s="23" t="s">
        <v>3190</v>
      </c>
      <c r="G219" s="22">
        <v>16</v>
      </c>
      <c r="H219" s="2"/>
      <c r="I219" s="2"/>
      <c r="J219" s="22" t="str">
        <f t="shared" si="29"/>
        <v>3#3#66|3#4#132|3#5#66|3#6#132|3#7#66|3#8#132</v>
      </c>
      <c r="K219" s="22" t="s">
        <v>3303</v>
      </c>
      <c r="L219" s="33" t="str">
        <f t="shared" si="30"/>
        <v>仙品升星石23/元宝92000</v>
      </c>
      <c r="M219" s="22">
        <v>60</v>
      </c>
    </row>
    <row r="220" spans="1:13" ht="15.75" x14ac:dyDescent="0.3">
      <c r="A220" s="22" t="s">
        <v>49</v>
      </c>
      <c r="B220" s="22" t="s">
        <v>33</v>
      </c>
      <c r="C220" s="22" t="s">
        <v>1919</v>
      </c>
      <c r="D220" s="2"/>
      <c r="E220" s="2"/>
      <c r="F220" s="23" t="s">
        <v>3191</v>
      </c>
      <c r="G220" s="22">
        <v>17</v>
      </c>
      <c r="H220" s="2"/>
      <c r="I220" s="2"/>
      <c r="J220" s="22" t="str">
        <f t="shared" si="29"/>
        <v>3#3#79|3#4#159|3#5#79|3#6#159|3#7#79|3#8#159</v>
      </c>
      <c r="K220" s="22" t="s">
        <v>3303</v>
      </c>
      <c r="L220" s="33" t="str">
        <f t="shared" si="30"/>
        <v>仙品升星石23/元宝92000</v>
      </c>
      <c r="M220" s="22">
        <v>50</v>
      </c>
    </row>
    <row r="221" spans="1:13" ht="15.75" x14ac:dyDescent="0.3">
      <c r="A221" s="22" t="s">
        <v>49</v>
      </c>
      <c r="B221" s="22" t="s">
        <v>33</v>
      </c>
      <c r="C221" s="22" t="s">
        <v>1919</v>
      </c>
      <c r="D221" s="2"/>
      <c r="E221" s="2"/>
      <c r="F221" s="23" t="s">
        <v>3192</v>
      </c>
      <c r="G221" s="22">
        <v>18</v>
      </c>
      <c r="H221" s="2"/>
      <c r="I221" s="2"/>
      <c r="J221" s="22" t="str">
        <f t="shared" si="29"/>
        <v>3#3#85|3#4#170|3#5#85|3#6#170|3#7#85|3#8#170</v>
      </c>
      <c r="K221" s="22" t="s">
        <v>3304</v>
      </c>
      <c r="L221" s="33" t="str">
        <f t="shared" si="30"/>
        <v>仙品升星石24/元宝98000</v>
      </c>
      <c r="M221" s="22">
        <v>40</v>
      </c>
    </row>
    <row r="222" spans="1:13" ht="15.75" x14ac:dyDescent="0.3">
      <c r="A222" s="22" t="s">
        <v>49</v>
      </c>
      <c r="B222" s="22" t="s">
        <v>33</v>
      </c>
      <c r="C222" s="22" t="s">
        <v>1919</v>
      </c>
      <c r="D222" s="2"/>
      <c r="E222" s="2"/>
      <c r="F222" s="23" t="s">
        <v>3194</v>
      </c>
      <c r="G222" s="22">
        <v>19</v>
      </c>
      <c r="H222" s="2"/>
      <c r="I222" s="2"/>
      <c r="J222" s="22" t="str">
        <f t="shared" si="29"/>
        <v>3#3#89|3#4#179|3#5#89|3#6#179|3#7#89|3#8#179</v>
      </c>
      <c r="K222" s="22" t="s">
        <v>3305</v>
      </c>
      <c r="L222" s="33" t="str">
        <f t="shared" si="30"/>
        <v>仙品升星石24/元宝98000</v>
      </c>
      <c r="M222" s="22">
        <v>30</v>
      </c>
    </row>
    <row r="223" spans="1:13" ht="15.75" x14ac:dyDescent="0.3">
      <c r="A223" s="22" t="s">
        <v>49</v>
      </c>
      <c r="B223" s="22" t="s">
        <v>33</v>
      </c>
      <c r="C223" s="22" t="s">
        <v>1919</v>
      </c>
      <c r="D223" s="2"/>
      <c r="E223" s="2"/>
      <c r="F223" s="23" t="s">
        <v>3196</v>
      </c>
      <c r="G223" s="22">
        <v>20</v>
      </c>
      <c r="H223" s="2"/>
      <c r="I223" s="2"/>
      <c r="J223" s="22" t="str">
        <f t="shared" si="29"/>
        <v>3#3#94|3#4#188|3#5#94|3#6#188|3#7#94|3#8#188</v>
      </c>
      <c r="K223" s="22" t="s">
        <v>3305</v>
      </c>
      <c r="L223" s="33" t="str">
        <f t="shared" si="30"/>
        <v>仙品升星石26/元宝104000</v>
      </c>
      <c r="M223" s="22">
        <v>25</v>
      </c>
    </row>
    <row r="224" spans="1:13" ht="15.75" x14ac:dyDescent="0.3">
      <c r="A224" s="22" t="s">
        <v>49</v>
      </c>
      <c r="B224" s="22" t="s">
        <v>33</v>
      </c>
      <c r="C224" s="22" t="s">
        <v>1919</v>
      </c>
      <c r="D224" s="2"/>
      <c r="E224" s="2"/>
      <c r="F224" s="23" t="s">
        <v>3197</v>
      </c>
      <c r="G224" s="22">
        <v>21</v>
      </c>
      <c r="H224" s="2"/>
      <c r="I224" s="2"/>
      <c r="J224" s="22" t="str">
        <f t="shared" si="29"/>
        <v>3#3#110|3#4#221|3#5#110|3#6#221|3#7#110|3#8#221</v>
      </c>
      <c r="K224" s="22" t="s">
        <v>3306</v>
      </c>
      <c r="L224" s="33" t="str">
        <f t="shared" si="30"/>
        <v>仙品升星石26/元宝104000</v>
      </c>
      <c r="M224" s="22">
        <v>20</v>
      </c>
    </row>
    <row r="225" spans="1:13" ht="15.75" x14ac:dyDescent="0.3">
      <c r="A225" s="22" t="s">
        <v>49</v>
      </c>
      <c r="B225" s="22" t="s">
        <v>33</v>
      </c>
      <c r="C225" s="22" t="s">
        <v>1919</v>
      </c>
      <c r="D225" s="2"/>
      <c r="E225" s="2"/>
      <c r="F225" s="23" t="s">
        <v>3199</v>
      </c>
      <c r="G225" s="22">
        <v>22</v>
      </c>
      <c r="H225" s="2"/>
      <c r="I225" s="2"/>
      <c r="J225" s="22" t="str">
        <f t="shared" si="29"/>
        <v>3#3#115|3#4#231|3#5#115|3#6#231|3#7#115|3#8#231</v>
      </c>
      <c r="K225" s="22" t="s">
        <v>3307</v>
      </c>
      <c r="L225" s="33" t="str">
        <f t="shared" si="30"/>
        <v>仙品升星石27/元宝110000</v>
      </c>
      <c r="M225" s="22">
        <v>15</v>
      </c>
    </row>
    <row r="226" spans="1:13" ht="15.75" x14ac:dyDescent="0.3">
      <c r="A226" s="22" t="s">
        <v>49</v>
      </c>
      <c r="B226" s="22" t="s">
        <v>33</v>
      </c>
      <c r="C226" s="22" t="s">
        <v>1919</v>
      </c>
      <c r="D226" s="2"/>
      <c r="E226" s="2"/>
      <c r="F226" s="23" t="s">
        <v>3201</v>
      </c>
      <c r="G226" s="22">
        <v>23</v>
      </c>
      <c r="H226" s="2"/>
      <c r="I226" s="2"/>
      <c r="J226" s="22" t="str">
        <f t="shared" si="29"/>
        <v>3#3#121|3#4#242|3#5#121|3#6#242|3#7#121|3#8#242</v>
      </c>
      <c r="K226" s="22" t="s">
        <v>3308</v>
      </c>
      <c r="L226" s="33" t="str">
        <f t="shared" si="30"/>
        <v>仙品升星石27/元宝110000</v>
      </c>
      <c r="M226" s="22">
        <v>10</v>
      </c>
    </row>
    <row r="227" spans="1:13" ht="15.75" x14ac:dyDescent="0.3">
      <c r="A227" s="22" t="s">
        <v>49</v>
      </c>
      <c r="B227" s="22" t="s">
        <v>33</v>
      </c>
      <c r="C227" s="22" t="s">
        <v>1919</v>
      </c>
      <c r="D227" s="2"/>
      <c r="E227" s="2"/>
      <c r="F227" s="23" t="s">
        <v>3203</v>
      </c>
      <c r="G227" s="22">
        <v>24</v>
      </c>
      <c r="H227" s="2"/>
      <c r="I227" s="2"/>
      <c r="J227" s="22" t="str">
        <f t="shared" si="29"/>
        <v>3#3#126|3#4#252|3#5#126|3#6#252|3#7#126|3#8#252</v>
      </c>
      <c r="K227" s="22" t="s">
        <v>3309</v>
      </c>
      <c r="L227" s="33" t="str">
        <f>"神品升星石"&amp;INT(X28/10)&amp;"/元宝"&amp;Y28</f>
        <v>神品升星石5/元宝116000</v>
      </c>
      <c r="M227" s="22">
        <v>100</v>
      </c>
    </row>
    <row r="228" spans="1:13" ht="15.75" x14ac:dyDescent="0.3">
      <c r="A228" s="22" t="s">
        <v>49</v>
      </c>
      <c r="B228" s="22" t="s">
        <v>33</v>
      </c>
      <c r="C228" s="22" t="s">
        <v>1919</v>
      </c>
      <c r="D228" s="2"/>
      <c r="E228" s="2"/>
      <c r="F228" s="23" t="s">
        <v>3205</v>
      </c>
      <c r="G228" s="22">
        <v>25</v>
      </c>
      <c r="H228" s="2"/>
      <c r="I228" s="2"/>
      <c r="J228" s="22" t="str">
        <f t="shared" si="29"/>
        <v>3#3#138|3#4#277|3#5#138|3#6#277|3#7#138|3#8#277</v>
      </c>
      <c r="K228" s="22" t="s">
        <v>3309</v>
      </c>
      <c r="L228" s="33" t="str">
        <f t="shared" ref="L228:L238" si="31">"神品升星石"&amp;INT(X29/10)&amp;"/元宝"&amp;Y29</f>
        <v>神品升星石5/元宝116000</v>
      </c>
      <c r="M228" s="22">
        <v>100</v>
      </c>
    </row>
    <row r="229" spans="1:13" ht="15.75" x14ac:dyDescent="0.3">
      <c r="A229" s="22" t="s">
        <v>49</v>
      </c>
      <c r="B229" s="22" t="s">
        <v>33</v>
      </c>
      <c r="C229" s="22" t="s">
        <v>1919</v>
      </c>
      <c r="D229" s="2"/>
      <c r="E229" s="2"/>
      <c r="F229" s="23" t="s">
        <v>3206</v>
      </c>
      <c r="G229" s="22">
        <v>26</v>
      </c>
      <c r="H229" s="2"/>
      <c r="I229" s="2"/>
      <c r="J229" s="22" t="str">
        <f t="shared" si="29"/>
        <v>3#3#144|3#4#288|3#5#144|3#6#288|3#7#144|3#8#288</v>
      </c>
      <c r="K229" s="22" t="s">
        <v>3309</v>
      </c>
      <c r="L229" s="33" t="str">
        <f t="shared" si="31"/>
        <v>神品升星石6/元宝122000</v>
      </c>
      <c r="M229" s="22">
        <v>100</v>
      </c>
    </row>
    <row r="230" spans="1:13" ht="15.75" x14ac:dyDescent="0.3">
      <c r="A230" s="22" t="s">
        <v>49</v>
      </c>
      <c r="B230" s="22" t="s">
        <v>33</v>
      </c>
      <c r="C230" s="22" t="s">
        <v>1919</v>
      </c>
      <c r="D230" s="2"/>
      <c r="E230" s="2"/>
      <c r="F230" s="23" t="s">
        <v>3207</v>
      </c>
      <c r="G230" s="22">
        <v>27</v>
      </c>
      <c r="H230" s="2"/>
      <c r="I230" s="2"/>
      <c r="J230" s="22" t="str">
        <f t="shared" si="29"/>
        <v>3#3#150|3#4#300|3#5#150|3#6#300|3#7#150|3#8#300</v>
      </c>
      <c r="K230" s="22" t="s">
        <v>3309</v>
      </c>
      <c r="L230" s="33" t="str">
        <f t="shared" si="31"/>
        <v>神品升星石6/元宝122000</v>
      </c>
      <c r="M230" s="22">
        <v>70</v>
      </c>
    </row>
    <row r="231" spans="1:13" ht="15.75" x14ac:dyDescent="0.3">
      <c r="A231" s="22" t="s">
        <v>49</v>
      </c>
      <c r="B231" s="22" t="s">
        <v>33</v>
      </c>
      <c r="C231" s="22" t="s">
        <v>1919</v>
      </c>
      <c r="D231" s="2"/>
      <c r="E231" s="2"/>
      <c r="F231" s="23" t="s">
        <v>3208</v>
      </c>
      <c r="G231" s="22">
        <v>28</v>
      </c>
      <c r="H231" s="2"/>
      <c r="I231" s="2"/>
      <c r="J231" s="22" t="str">
        <f t="shared" si="29"/>
        <v>3#3#155|3#4#311|3#5#155|3#6#311|3#7#155|3#8#311</v>
      </c>
      <c r="K231" s="22" t="s">
        <v>3309</v>
      </c>
      <c r="L231" s="33" t="str">
        <f t="shared" si="31"/>
        <v>神品升星石6/元宝130000</v>
      </c>
      <c r="M231" s="22">
        <v>60</v>
      </c>
    </row>
    <row r="232" spans="1:13" ht="15.75" x14ac:dyDescent="0.3">
      <c r="A232" s="22" t="s">
        <v>49</v>
      </c>
      <c r="B232" s="22" t="s">
        <v>33</v>
      </c>
      <c r="C232" s="22" t="s">
        <v>1919</v>
      </c>
      <c r="D232" s="2"/>
      <c r="E232" s="2"/>
      <c r="F232" s="23" t="s">
        <v>3209</v>
      </c>
      <c r="G232" s="22">
        <v>29</v>
      </c>
      <c r="H232" s="2"/>
      <c r="I232" s="2"/>
      <c r="J232" s="22" t="str">
        <f t="shared" si="29"/>
        <v>3#3#161|3#4#322|3#5#161|3#6#322|3#7#161|3#8#322</v>
      </c>
      <c r="K232" s="22" t="s">
        <v>3309</v>
      </c>
      <c r="L232" s="33" t="str">
        <f t="shared" si="31"/>
        <v>神品升星石6/元宝130000</v>
      </c>
      <c r="M232" s="22">
        <v>50</v>
      </c>
    </row>
    <row r="233" spans="1:13" ht="15.75" x14ac:dyDescent="0.3">
      <c r="A233" s="22" t="s">
        <v>49</v>
      </c>
      <c r="B233" s="22" t="s">
        <v>33</v>
      </c>
      <c r="C233" s="22" t="s">
        <v>1919</v>
      </c>
      <c r="D233" s="2"/>
      <c r="E233" s="2"/>
      <c r="F233" s="23" t="s">
        <v>3210</v>
      </c>
      <c r="G233" s="22">
        <v>30</v>
      </c>
      <c r="H233" s="2"/>
      <c r="I233" s="2"/>
      <c r="J233" s="22" t="str">
        <f t="shared" si="29"/>
        <v>3#3#166|3#4#333|3#5#166|3#6#333|3#7#166|3#8#333</v>
      </c>
      <c r="K233" s="22" t="s">
        <v>3309</v>
      </c>
      <c r="L233" s="33" t="str">
        <f t="shared" si="31"/>
        <v>神品升星石6/元宝136000</v>
      </c>
      <c r="M233" s="22">
        <v>40</v>
      </c>
    </row>
    <row r="234" spans="1:13" ht="15.75" x14ac:dyDescent="0.3">
      <c r="A234" s="22" t="s">
        <v>49</v>
      </c>
      <c r="B234" s="22" t="s">
        <v>33</v>
      </c>
      <c r="C234" s="22" t="s">
        <v>1919</v>
      </c>
      <c r="D234" s="2"/>
      <c r="E234" s="2"/>
      <c r="F234" s="23" t="s">
        <v>3211</v>
      </c>
      <c r="G234" s="22">
        <v>31</v>
      </c>
      <c r="H234" s="2"/>
      <c r="I234" s="2"/>
      <c r="J234" s="22" t="str">
        <f t="shared" si="29"/>
        <v>3#3#172|3#4#344|3#5#172|3#6#344|3#7#172|3#8#344</v>
      </c>
      <c r="K234" s="22" t="s">
        <v>3310</v>
      </c>
      <c r="L234" s="33" t="str">
        <f t="shared" si="31"/>
        <v>神品升星石6/元宝136000</v>
      </c>
      <c r="M234" s="22">
        <v>30</v>
      </c>
    </row>
    <row r="235" spans="1:13" ht="15.75" x14ac:dyDescent="0.3">
      <c r="A235" s="22" t="s">
        <v>49</v>
      </c>
      <c r="B235" s="22" t="s">
        <v>33</v>
      </c>
      <c r="C235" s="22" t="s">
        <v>1919</v>
      </c>
      <c r="D235" s="2"/>
      <c r="E235" s="2"/>
      <c r="F235" s="23" t="s">
        <v>3213</v>
      </c>
      <c r="G235" s="22">
        <v>32</v>
      </c>
      <c r="H235" s="2"/>
      <c r="I235" s="2"/>
      <c r="J235" s="22" t="str">
        <f t="shared" si="29"/>
        <v>3#3#177|3#4#355|3#5#177|3#6#355|3#7#177|3#8#355</v>
      </c>
      <c r="K235" s="22" t="s">
        <v>3311</v>
      </c>
      <c r="L235" s="33" t="str">
        <f t="shared" si="31"/>
        <v>神品升星石7/元宝142000</v>
      </c>
      <c r="M235" s="22">
        <v>25</v>
      </c>
    </row>
    <row r="236" spans="1:13" ht="15.75" x14ac:dyDescent="0.3">
      <c r="A236" s="22" t="s">
        <v>49</v>
      </c>
      <c r="B236" s="22" t="s">
        <v>33</v>
      </c>
      <c r="C236" s="22" t="s">
        <v>1919</v>
      </c>
      <c r="D236" s="2"/>
      <c r="E236" s="2"/>
      <c r="F236" s="23" t="s">
        <v>3215</v>
      </c>
      <c r="G236" s="22">
        <v>33</v>
      </c>
      <c r="H236" s="2"/>
      <c r="I236" s="2"/>
      <c r="J236" s="22" t="str">
        <f t="shared" si="29"/>
        <v>3#3#183|3#4#366|3#5#183|3#6#366|3#7#183|3#8#366</v>
      </c>
      <c r="K236" s="22" t="s">
        <v>3312</v>
      </c>
      <c r="L236" s="33" t="str">
        <f t="shared" si="31"/>
        <v>神品升星石7/元宝142000</v>
      </c>
      <c r="M236" s="22">
        <v>20</v>
      </c>
    </row>
    <row r="237" spans="1:13" ht="15.75" x14ac:dyDescent="0.3">
      <c r="A237" s="22" t="s">
        <v>49</v>
      </c>
      <c r="B237" s="22" t="s">
        <v>33</v>
      </c>
      <c r="C237" s="22" t="s">
        <v>1919</v>
      </c>
      <c r="D237" s="2"/>
      <c r="E237" s="2"/>
      <c r="F237" s="23" t="s">
        <v>3217</v>
      </c>
      <c r="G237" s="22">
        <v>34</v>
      </c>
      <c r="H237" s="2"/>
      <c r="I237" s="2"/>
      <c r="J237" s="22" t="str">
        <f t="shared" si="29"/>
        <v>3#3#188|3#4#377|3#5#188|3#6#377|3#7#188|3#8#377</v>
      </c>
      <c r="K237" s="22" t="s">
        <v>3313</v>
      </c>
      <c r="L237" s="33" t="str">
        <f t="shared" si="31"/>
        <v>神品升星石7/元宝148000</v>
      </c>
      <c r="M237" s="22">
        <v>15</v>
      </c>
    </row>
    <row r="238" spans="1:13" ht="15.75" x14ac:dyDescent="0.3">
      <c r="A238" s="22" t="s">
        <v>49</v>
      </c>
      <c r="B238" s="22" t="s">
        <v>33</v>
      </c>
      <c r="C238" s="22" t="s">
        <v>1919</v>
      </c>
      <c r="D238" s="2"/>
      <c r="E238" s="2"/>
      <c r="F238" s="23" t="s">
        <v>3219</v>
      </c>
      <c r="G238" s="22">
        <v>35</v>
      </c>
      <c r="H238" s="2"/>
      <c r="I238" s="2"/>
      <c r="J238" s="22" t="str">
        <f t="shared" si="29"/>
        <v>3#3#194|3#4#388|3#5#194|3#6#388|3#7#194|3#8#388</v>
      </c>
      <c r="K238" s="22" t="s">
        <v>3314</v>
      </c>
      <c r="L238" s="33" t="str">
        <f t="shared" si="31"/>
        <v>神品升星石7/元宝148000</v>
      </c>
      <c r="M238" s="22">
        <v>10</v>
      </c>
    </row>
    <row r="239" spans="1:13" ht="15.75" x14ac:dyDescent="0.3">
      <c r="A239" s="22" t="s">
        <v>49</v>
      </c>
      <c r="B239" s="22" t="s">
        <v>33</v>
      </c>
      <c r="C239" s="22" t="s">
        <v>1919</v>
      </c>
      <c r="D239" s="2"/>
      <c r="E239" s="2"/>
      <c r="F239" s="23" t="s">
        <v>3221</v>
      </c>
      <c r="G239" s="22">
        <v>36</v>
      </c>
      <c r="H239" s="2"/>
      <c r="I239" s="2"/>
      <c r="J239" s="22" t="str">
        <f t="shared" si="29"/>
        <v>3#3#200|3#4#400|3#5#200|3#6#400|3#7#200|3#8#400</v>
      </c>
      <c r="K239" s="22" t="s">
        <v>3315</v>
      </c>
      <c r="L239" s="2"/>
      <c r="M239" s="22"/>
    </row>
    <row r="240" spans="1:13" ht="15.75" x14ac:dyDescent="0.3">
      <c r="A240" s="22" t="s">
        <v>49</v>
      </c>
      <c r="B240" s="22" t="s">
        <v>33</v>
      </c>
      <c r="C240" s="22" t="s">
        <v>1919</v>
      </c>
      <c r="D240" s="2"/>
      <c r="E240" s="2"/>
      <c r="F240" s="23" t="s">
        <v>3223</v>
      </c>
      <c r="G240" s="22">
        <v>37</v>
      </c>
      <c r="H240" s="2"/>
      <c r="I240" s="2"/>
      <c r="J240" s="22"/>
      <c r="K240" s="22"/>
      <c r="L240" s="2"/>
      <c r="M240" s="22"/>
    </row>
    <row r="241" spans="1:13" ht="15.75" x14ac:dyDescent="0.3">
      <c r="A241" s="22" t="s">
        <v>49</v>
      </c>
      <c r="B241" s="22" t="s">
        <v>33</v>
      </c>
      <c r="C241" s="22" t="s">
        <v>1919</v>
      </c>
      <c r="D241" s="2"/>
      <c r="E241" s="2"/>
      <c r="F241" s="23" t="s">
        <v>3224</v>
      </c>
      <c r="G241" s="22">
        <v>38</v>
      </c>
      <c r="H241" s="2"/>
      <c r="I241" s="2"/>
      <c r="J241" s="22"/>
      <c r="K241" s="22"/>
      <c r="L241" s="2"/>
      <c r="M241" s="22"/>
    </row>
    <row r="242" spans="1:13" ht="15.75" x14ac:dyDescent="0.3">
      <c r="A242" s="22" t="s">
        <v>49</v>
      </c>
      <c r="B242" s="22" t="s">
        <v>33</v>
      </c>
      <c r="C242" s="22" t="s">
        <v>1919</v>
      </c>
      <c r="D242" s="2"/>
      <c r="E242" s="2"/>
      <c r="F242" s="23" t="s">
        <v>3225</v>
      </c>
      <c r="G242" s="22">
        <v>39</v>
      </c>
      <c r="H242" s="2"/>
      <c r="I242" s="2"/>
      <c r="J242" s="22"/>
      <c r="K242" s="22"/>
      <c r="L242" s="2"/>
      <c r="M242" s="22"/>
    </row>
    <row r="243" spans="1:13" ht="15.75" x14ac:dyDescent="0.3">
      <c r="A243" s="22" t="s">
        <v>49</v>
      </c>
      <c r="B243" s="22" t="s">
        <v>33</v>
      </c>
      <c r="C243" s="22" t="s">
        <v>1920</v>
      </c>
      <c r="D243" s="22"/>
      <c r="E243" s="22"/>
      <c r="F243" s="23" t="s">
        <v>3168</v>
      </c>
      <c r="G243" s="22">
        <v>0</v>
      </c>
      <c r="H243" s="32"/>
      <c r="I243" s="22"/>
      <c r="J243" s="22"/>
      <c r="K243" s="22"/>
      <c r="L243" s="33" t="str">
        <f>"凡品升星石"&amp;X4&amp;"/元宝"&amp;Y4</f>
        <v>凡品升星石16/元宝32000</v>
      </c>
      <c r="M243" s="22">
        <v>100</v>
      </c>
    </row>
    <row r="244" spans="1:13" ht="15.75" x14ac:dyDescent="0.3">
      <c r="A244" s="22" t="s">
        <v>49</v>
      </c>
      <c r="B244" s="22" t="s">
        <v>33</v>
      </c>
      <c r="C244" s="22" t="s">
        <v>1920</v>
      </c>
      <c r="D244" s="22"/>
      <c r="E244" s="22"/>
      <c r="F244" s="23" t="s">
        <v>3169</v>
      </c>
      <c r="G244" s="22">
        <v>1</v>
      </c>
      <c r="H244" s="32"/>
      <c r="I244" s="22"/>
      <c r="J2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44" s="22"/>
      <c r="L244" s="33" t="str">
        <f t="shared" ref="L244:L254" si="32">"凡品升星石"&amp;X5&amp;"/元宝"&amp;Y5</f>
        <v>凡品升星石16/元宝32000</v>
      </c>
      <c r="M244" s="22">
        <v>100</v>
      </c>
    </row>
    <row r="245" spans="1:13" ht="15.75" x14ac:dyDescent="0.3">
      <c r="A245" s="22" t="s">
        <v>49</v>
      </c>
      <c r="B245" s="22" t="s">
        <v>33</v>
      </c>
      <c r="C245" s="22" t="s">
        <v>1920</v>
      </c>
      <c r="D245" s="2"/>
      <c r="E245" s="2"/>
      <c r="F245" s="23" t="s">
        <v>3170</v>
      </c>
      <c r="G245" s="22">
        <v>2</v>
      </c>
      <c r="H245" s="2"/>
      <c r="I245" s="2"/>
      <c r="J245" s="22" t="str">
        <f t="shared" ref="J245:J279" si="33">"3#3#"&amp;INT(0.5*S5)&amp;"|"&amp;"3#4#"&amp;S5&amp;"|"&amp;"3#5#"&amp;INT(0.5*S5)&amp;"|"&amp;"3#6#"&amp;S5&amp;"|"&amp;"3#7#"&amp;INT(0.5*S5)&amp;"|"&amp;"3#8#"&amp;S5</f>
        <v>3#3#5|3#4#11|3#5#5|3#6#11|3#7#5|3#8#11</v>
      </c>
      <c r="K245" s="22"/>
      <c r="L245" s="33" t="str">
        <f t="shared" si="32"/>
        <v>凡品升星石19/元宝38000</v>
      </c>
      <c r="M245" s="22">
        <v>100</v>
      </c>
    </row>
    <row r="246" spans="1:13" ht="15.75" x14ac:dyDescent="0.3">
      <c r="A246" s="22" t="s">
        <v>49</v>
      </c>
      <c r="B246" s="22" t="s">
        <v>33</v>
      </c>
      <c r="C246" s="22" t="s">
        <v>1920</v>
      </c>
      <c r="D246" s="2"/>
      <c r="E246" s="2"/>
      <c r="F246" s="23" t="s">
        <v>3171</v>
      </c>
      <c r="G246" s="22">
        <v>3</v>
      </c>
      <c r="H246" s="2"/>
      <c r="I246" s="2"/>
      <c r="J246" s="22" t="str">
        <f t="shared" si="33"/>
        <v>3#3#8|3#4#16|3#5#8|3#6#16|3#7#8|3#8#16</v>
      </c>
      <c r="K246" s="22"/>
      <c r="L246" s="33" t="str">
        <f t="shared" si="32"/>
        <v>凡品升星石19/元宝38000</v>
      </c>
      <c r="M246" s="22">
        <v>90</v>
      </c>
    </row>
    <row r="247" spans="1:13" ht="15.75" x14ac:dyDescent="0.3">
      <c r="A247" s="22" t="s">
        <v>49</v>
      </c>
      <c r="B247" s="22" t="s">
        <v>33</v>
      </c>
      <c r="C247" s="22" t="s">
        <v>1920</v>
      </c>
      <c r="D247" s="2"/>
      <c r="E247" s="2"/>
      <c r="F247" s="23" t="s">
        <v>3172</v>
      </c>
      <c r="G247" s="22">
        <v>4</v>
      </c>
      <c r="H247" s="2"/>
      <c r="I247" s="2"/>
      <c r="J247" s="22" t="str">
        <f t="shared" si="33"/>
        <v>3#3#11|3#4#22|3#5#11|3#6#22|3#7#11|3#8#22</v>
      </c>
      <c r="K247" s="22"/>
      <c r="L247" s="33" t="str">
        <f t="shared" si="32"/>
        <v>凡品升星石22/元宝44000</v>
      </c>
      <c r="M247" s="22">
        <v>80</v>
      </c>
    </row>
    <row r="248" spans="1:13" ht="15.75" x14ac:dyDescent="0.3">
      <c r="A248" s="22" t="s">
        <v>49</v>
      </c>
      <c r="B248" s="22" t="s">
        <v>33</v>
      </c>
      <c r="C248" s="22" t="s">
        <v>1920</v>
      </c>
      <c r="D248" s="2"/>
      <c r="E248" s="2"/>
      <c r="F248" s="23" t="s">
        <v>3173</v>
      </c>
      <c r="G248" s="22">
        <v>5</v>
      </c>
      <c r="H248" s="2"/>
      <c r="I248" s="2"/>
      <c r="J248" s="22" t="str">
        <f t="shared" si="33"/>
        <v>3#3#16|3#4#33|3#5#16|3#6#33|3#7#16|3#8#33</v>
      </c>
      <c r="K248" s="22"/>
      <c r="L248" s="33" t="str">
        <f t="shared" si="32"/>
        <v>凡品升星石22/元宝44000</v>
      </c>
      <c r="M248" s="22">
        <v>70</v>
      </c>
    </row>
    <row r="249" spans="1:13" ht="15.75" x14ac:dyDescent="0.3">
      <c r="A249" s="22" t="s">
        <v>49</v>
      </c>
      <c r="B249" s="22" t="s">
        <v>33</v>
      </c>
      <c r="C249" s="22" t="s">
        <v>1920</v>
      </c>
      <c r="D249" s="2"/>
      <c r="E249" s="2"/>
      <c r="F249" s="23" t="s">
        <v>3174</v>
      </c>
      <c r="G249" s="22">
        <v>6</v>
      </c>
      <c r="H249" s="2"/>
      <c r="I249" s="2"/>
      <c r="J249" s="22" t="str">
        <f t="shared" si="33"/>
        <v>3#3#19|3#4#39|3#5#19|3#6#39|3#7#19|3#8#39</v>
      </c>
      <c r="K249" s="22"/>
      <c r="L249" s="33" t="str">
        <f t="shared" si="32"/>
        <v>凡品升星石26/元宝52000</v>
      </c>
      <c r="M249" s="22">
        <v>60</v>
      </c>
    </row>
    <row r="250" spans="1:13" ht="15.75" x14ac:dyDescent="0.3">
      <c r="A250" s="22" t="s">
        <v>49</v>
      </c>
      <c r="B250" s="22" t="s">
        <v>33</v>
      </c>
      <c r="C250" s="22" t="s">
        <v>1920</v>
      </c>
      <c r="D250" s="2"/>
      <c r="E250" s="2"/>
      <c r="F250" s="23" t="s">
        <v>3175</v>
      </c>
      <c r="G250" s="22">
        <v>7</v>
      </c>
      <c r="H250" s="2"/>
      <c r="I250" s="2"/>
      <c r="J250" s="22" t="str">
        <f t="shared" si="33"/>
        <v>3#3#23|3#4#46|3#5#23|3#6#46|3#7#23|3#8#46</v>
      </c>
      <c r="K250" s="22" t="s">
        <v>3298</v>
      </c>
      <c r="L250" s="33" t="str">
        <f t="shared" si="32"/>
        <v>凡品升星石26/元宝52000</v>
      </c>
      <c r="M250" s="22">
        <v>50</v>
      </c>
    </row>
    <row r="251" spans="1:13" ht="15.75" x14ac:dyDescent="0.3">
      <c r="A251" s="22" t="s">
        <v>49</v>
      </c>
      <c r="B251" s="22" t="s">
        <v>33</v>
      </c>
      <c r="C251" s="22" t="s">
        <v>1920</v>
      </c>
      <c r="D251" s="2"/>
      <c r="E251" s="2"/>
      <c r="F251" s="23" t="s">
        <v>3177</v>
      </c>
      <c r="G251" s="22">
        <v>8</v>
      </c>
      <c r="H251" s="2"/>
      <c r="I251" s="2"/>
      <c r="J251" s="22" t="str">
        <f t="shared" si="33"/>
        <v>3#3#26|3#4#52|3#5#26|3#6#52|3#7#26|3#8#52</v>
      </c>
      <c r="K251" s="22" t="s">
        <v>3299</v>
      </c>
      <c r="L251" s="33" t="str">
        <f t="shared" si="32"/>
        <v>凡品升星石32/元宝64000</v>
      </c>
      <c r="M251" s="22">
        <v>40</v>
      </c>
    </row>
    <row r="252" spans="1:13" ht="15.75" x14ac:dyDescent="0.3">
      <c r="A252" s="22" t="s">
        <v>49</v>
      </c>
      <c r="B252" s="22" t="s">
        <v>33</v>
      </c>
      <c r="C252" s="22" t="s">
        <v>1920</v>
      </c>
      <c r="D252" s="2"/>
      <c r="E252" s="2"/>
      <c r="F252" s="23" t="s">
        <v>3179</v>
      </c>
      <c r="G252" s="22">
        <v>9</v>
      </c>
      <c r="H252" s="2"/>
      <c r="I252" s="2"/>
      <c r="J252" s="22" t="str">
        <f t="shared" si="33"/>
        <v>3#3#35|3#4#70|3#5#35|3#6#70|3#7#35|3#8#70</v>
      </c>
      <c r="K252" s="22" t="s">
        <v>3300</v>
      </c>
      <c r="L252" s="33" t="str">
        <f t="shared" si="32"/>
        <v>凡品升星石32/元宝64000</v>
      </c>
      <c r="M252" s="22">
        <v>30</v>
      </c>
    </row>
    <row r="253" spans="1:13" ht="15.75" x14ac:dyDescent="0.3">
      <c r="A253" s="22" t="s">
        <v>49</v>
      </c>
      <c r="B253" s="22" t="s">
        <v>33</v>
      </c>
      <c r="C253" s="22" t="s">
        <v>1920</v>
      </c>
      <c r="D253" s="2"/>
      <c r="E253" s="2"/>
      <c r="F253" s="23" t="s">
        <v>3181</v>
      </c>
      <c r="G253" s="22">
        <v>10</v>
      </c>
      <c r="H253" s="2"/>
      <c r="I253" s="2"/>
      <c r="J253" s="22" t="str">
        <f t="shared" si="33"/>
        <v>3#3#38|3#4#77|3#5#38|3#6#77|3#7#38|3#8#77</v>
      </c>
      <c r="K253" s="22" t="s">
        <v>3301</v>
      </c>
      <c r="L253" s="33" t="str">
        <f t="shared" si="32"/>
        <v>凡品升星石37/元宝74000</v>
      </c>
      <c r="M253" s="22">
        <v>20</v>
      </c>
    </row>
    <row r="254" spans="1:13" ht="15.75" x14ac:dyDescent="0.3">
      <c r="A254" s="22" t="s">
        <v>49</v>
      </c>
      <c r="B254" s="22" t="s">
        <v>33</v>
      </c>
      <c r="C254" s="22" t="s">
        <v>1920</v>
      </c>
      <c r="D254" s="2"/>
      <c r="E254" s="2"/>
      <c r="F254" s="23" t="s">
        <v>3183</v>
      </c>
      <c r="G254" s="22">
        <v>11</v>
      </c>
      <c r="H254" s="2"/>
      <c r="I254" s="2"/>
      <c r="J254" s="22" t="str">
        <f t="shared" si="33"/>
        <v>3#3#42|3#4#85|3#5#42|3#6#85|3#7#42|3#8#85</v>
      </c>
      <c r="K254" s="22" t="s">
        <v>3302</v>
      </c>
      <c r="L254" s="33" t="str">
        <f t="shared" si="32"/>
        <v>凡品升星石37/元宝74000</v>
      </c>
      <c r="M254" s="22">
        <v>15</v>
      </c>
    </row>
    <row r="255" spans="1:13" ht="15.75" x14ac:dyDescent="0.3">
      <c r="A255" s="22" t="s">
        <v>49</v>
      </c>
      <c r="B255" s="22" t="s">
        <v>33</v>
      </c>
      <c r="C255" s="22" t="s">
        <v>1920</v>
      </c>
      <c r="D255" s="2"/>
      <c r="E255" s="2"/>
      <c r="F255" s="23" t="s">
        <v>3185</v>
      </c>
      <c r="G255" s="22">
        <v>12</v>
      </c>
      <c r="H255" s="2"/>
      <c r="I255" s="2"/>
      <c r="J255" s="22" t="str">
        <f t="shared" si="33"/>
        <v>3#3#46|3#4#93|3#5#46|3#6#93|3#7#46|3#8#93</v>
      </c>
      <c r="K255" s="22" t="s">
        <v>3303</v>
      </c>
      <c r="L255" s="33" t="str">
        <f>"仙品升星石"&amp;INT(X16/2)&amp;"/元宝"&amp;Y16</f>
        <v>仙品升星石19/元宝78000</v>
      </c>
      <c r="M255" s="22">
        <v>100</v>
      </c>
    </row>
    <row r="256" spans="1:13" ht="15.75" x14ac:dyDescent="0.3">
      <c r="A256" s="22" t="s">
        <v>49</v>
      </c>
      <c r="B256" s="22" t="s">
        <v>33</v>
      </c>
      <c r="C256" s="22" t="s">
        <v>1920</v>
      </c>
      <c r="D256" s="2"/>
      <c r="E256" s="2"/>
      <c r="F256" s="23" t="s">
        <v>3187</v>
      </c>
      <c r="G256" s="22">
        <v>13</v>
      </c>
      <c r="H256" s="2"/>
      <c r="I256" s="2"/>
      <c r="J256" s="22" t="str">
        <f t="shared" si="33"/>
        <v>3#3#54|3#4#108|3#5#54|3#6#108|3#7#54|3#8#108</v>
      </c>
      <c r="K256" s="22" t="s">
        <v>3303</v>
      </c>
      <c r="L256" s="33" t="str">
        <f t="shared" ref="L256:L266" si="34">"仙品升星石"&amp;INT(X17/2)&amp;"/元宝"&amp;Y17</f>
        <v>仙品升星石19/元宝78000</v>
      </c>
      <c r="M256" s="22">
        <v>100</v>
      </c>
    </row>
    <row r="257" spans="1:13" ht="15.75" x14ac:dyDescent="0.3">
      <c r="A257" s="22" t="s">
        <v>49</v>
      </c>
      <c r="B257" s="22" t="s">
        <v>33</v>
      </c>
      <c r="C257" s="22" t="s">
        <v>1920</v>
      </c>
      <c r="D257" s="2"/>
      <c r="E257" s="2"/>
      <c r="F257" s="23" t="s">
        <v>3188</v>
      </c>
      <c r="G257" s="22">
        <v>14</v>
      </c>
      <c r="H257" s="2"/>
      <c r="I257" s="2"/>
      <c r="J257" s="22" t="str">
        <f t="shared" si="33"/>
        <v>3#3#58|3#4#116|3#5#58|3#6#116|3#7#58|3#8#116</v>
      </c>
      <c r="K257" s="22" t="s">
        <v>3303</v>
      </c>
      <c r="L257" s="33" t="str">
        <f t="shared" si="34"/>
        <v>仙品升星石21/元宝84000</v>
      </c>
      <c r="M257" s="22">
        <v>100</v>
      </c>
    </row>
    <row r="258" spans="1:13" ht="15.75" x14ac:dyDescent="0.3">
      <c r="A258" s="22" t="s">
        <v>49</v>
      </c>
      <c r="B258" s="22" t="s">
        <v>33</v>
      </c>
      <c r="C258" s="22" t="s">
        <v>1920</v>
      </c>
      <c r="D258" s="2"/>
      <c r="E258" s="2"/>
      <c r="F258" s="23" t="s">
        <v>3189</v>
      </c>
      <c r="G258" s="22">
        <v>15</v>
      </c>
      <c r="H258" s="2"/>
      <c r="I258" s="2"/>
      <c r="J258" s="22" t="str">
        <f t="shared" si="33"/>
        <v>3#3#62|3#4#124|3#5#62|3#6#124|3#7#62|3#8#124</v>
      </c>
      <c r="K258" s="22" t="s">
        <v>3303</v>
      </c>
      <c r="L258" s="33" t="str">
        <f t="shared" si="34"/>
        <v>仙品升星石21/元宝84000</v>
      </c>
      <c r="M258" s="22">
        <v>70</v>
      </c>
    </row>
    <row r="259" spans="1:13" ht="15.75" x14ac:dyDescent="0.3">
      <c r="A259" s="22" t="s">
        <v>49</v>
      </c>
      <c r="B259" s="22" t="s">
        <v>33</v>
      </c>
      <c r="C259" s="22" t="s">
        <v>1920</v>
      </c>
      <c r="D259" s="2"/>
      <c r="E259" s="2"/>
      <c r="F259" s="23" t="s">
        <v>3190</v>
      </c>
      <c r="G259" s="22">
        <v>16</v>
      </c>
      <c r="H259" s="2"/>
      <c r="I259" s="2"/>
      <c r="J259" s="22" t="str">
        <f t="shared" si="33"/>
        <v>3#3#66|3#4#132|3#5#66|3#6#132|3#7#66|3#8#132</v>
      </c>
      <c r="K259" s="22" t="s">
        <v>3303</v>
      </c>
      <c r="L259" s="33" t="str">
        <f t="shared" si="34"/>
        <v>仙品升星石23/元宝92000</v>
      </c>
      <c r="M259" s="22">
        <v>60</v>
      </c>
    </row>
    <row r="260" spans="1:13" ht="15.75" x14ac:dyDescent="0.3">
      <c r="A260" s="22" t="s">
        <v>49</v>
      </c>
      <c r="B260" s="22" t="s">
        <v>33</v>
      </c>
      <c r="C260" s="22" t="s">
        <v>1920</v>
      </c>
      <c r="D260" s="2"/>
      <c r="E260" s="2"/>
      <c r="F260" s="23" t="s">
        <v>3191</v>
      </c>
      <c r="G260" s="22">
        <v>17</v>
      </c>
      <c r="H260" s="2"/>
      <c r="I260" s="2"/>
      <c r="J260" s="22" t="str">
        <f t="shared" si="33"/>
        <v>3#3#79|3#4#159|3#5#79|3#6#159|3#7#79|3#8#159</v>
      </c>
      <c r="K260" s="22" t="s">
        <v>3303</v>
      </c>
      <c r="L260" s="33" t="str">
        <f t="shared" si="34"/>
        <v>仙品升星石23/元宝92000</v>
      </c>
      <c r="M260" s="22">
        <v>50</v>
      </c>
    </row>
    <row r="261" spans="1:13" ht="15.75" x14ac:dyDescent="0.3">
      <c r="A261" s="22" t="s">
        <v>49</v>
      </c>
      <c r="B261" s="22" t="s">
        <v>33</v>
      </c>
      <c r="C261" s="22" t="s">
        <v>1920</v>
      </c>
      <c r="D261" s="2"/>
      <c r="E261" s="2"/>
      <c r="F261" s="23" t="s">
        <v>3192</v>
      </c>
      <c r="G261" s="22">
        <v>18</v>
      </c>
      <c r="H261" s="2"/>
      <c r="I261" s="2"/>
      <c r="J261" s="22" t="str">
        <f t="shared" si="33"/>
        <v>3#3#85|3#4#170|3#5#85|3#6#170|3#7#85|3#8#170</v>
      </c>
      <c r="K261" s="22" t="s">
        <v>3304</v>
      </c>
      <c r="L261" s="33" t="str">
        <f t="shared" si="34"/>
        <v>仙品升星石24/元宝98000</v>
      </c>
      <c r="M261" s="22">
        <v>40</v>
      </c>
    </row>
    <row r="262" spans="1:13" ht="15.75" x14ac:dyDescent="0.3">
      <c r="A262" s="22" t="s">
        <v>49</v>
      </c>
      <c r="B262" s="22" t="s">
        <v>33</v>
      </c>
      <c r="C262" s="22" t="s">
        <v>1920</v>
      </c>
      <c r="D262" s="2"/>
      <c r="E262" s="2"/>
      <c r="F262" s="23" t="s">
        <v>3194</v>
      </c>
      <c r="G262" s="22">
        <v>19</v>
      </c>
      <c r="H262" s="2"/>
      <c r="I262" s="2"/>
      <c r="J262" s="22" t="str">
        <f t="shared" si="33"/>
        <v>3#3#89|3#4#179|3#5#89|3#6#179|3#7#89|3#8#179</v>
      </c>
      <c r="K262" s="22" t="s">
        <v>3305</v>
      </c>
      <c r="L262" s="33" t="str">
        <f t="shared" si="34"/>
        <v>仙品升星石24/元宝98000</v>
      </c>
      <c r="M262" s="22">
        <v>30</v>
      </c>
    </row>
    <row r="263" spans="1:13" ht="15.75" x14ac:dyDescent="0.3">
      <c r="A263" s="22" t="s">
        <v>49</v>
      </c>
      <c r="B263" s="22" t="s">
        <v>33</v>
      </c>
      <c r="C263" s="22" t="s">
        <v>1920</v>
      </c>
      <c r="D263" s="2"/>
      <c r="E263" s="2"/>
      <c r="F263" s="23" t="s">
        <v>3196</v>
      </c>
      <c r="G263" s="22">
        <v>20</v>
      </c>
      <c r="H263" s="2"/>
      <c r="I263" s="2"/>
      <c r="J263" s="22" t="str">
        <f t="shared" si="33"/>
        <v>3#3#94|3#4#188|3#5#94|3#6#188|3#7#94|3#8#188</v>
      </c>
      <c r="K263" s="22" t="s">
        <v>3305</v>
      </c>
      <c r="L263" s="33" t="str">
        <f t="shared" si="34"/>
        <v>仙品升星石26/元宝104000</v>
      </c>
      <c r="M263" s="22">
        <v>25</v>
      </c>
    </row>
    <row r="264" spans="1:13" ht="15.75" x14ac:dyDescent="0.3">
      <c r="A264" s="22" t="s">
        <v>49</v>
      </c>
      <c r="B264" s="22" t="s">
        <v>33</v>
      </c>
      <c r="C264" s="22" t="s">
        <v>1920</v>
      </c>
      <c r="D264" s="2"/>
      <c r="E264" s="2"/>
      <c r="F264" s="23" t="s">
        <v>3197</v>
      </c>
      <c r="G264" s="22">
        <v>21</v>
      </c>
      <c r="H264" s="2"/>
      <c r="I264" s="2"/>
      <c r="J264" s="22" t="str">
        <f t="shared" si="33"/>
        <v>3#3#110|3#4#221|3#5#110|3#6#221|3#7#110|3#8#221</v>
      </c>
      <c r="K264" s="22" t="s">
        <v>3306</v>
      </c>
      <c r="L264" s="33" t="str">
        <f t="shared" si="34"/>
        <v>仙品升星石26/元宝104000</v>
      </c>
      <c r="M264" s="22">
        <v>20</v>
      </c>
    </row>
    <row r="265" spans="1:13" ht="15.75" x14ac:dyDescent="0.3">
      <c r="A265" s="22" t="s">
        <v>49</v>
      </c>
      <c r="B265" s="22" t="s">
        <v>33</v>
      </c>
      <c r="C265" s="22" t="s">
        <v>1920</v>
      </c>
      <c r="D265" s="2"/>
      <c r="E265" s="2"/>
      <c r="F265" s="23" t="s">
        <v>3199</v>
      </c>
      <c r="G265" s="22">
        <v>22</v>
      </c>
      <c r="H265" s="2"/>
      <c r="I265" s="2"/>
      <c r="J265" s="22" t="str">
        <f t="shared" si="33"/>
        <v>3#3#115|3#4#231|3#5#115|3#6#231|3#7#115|3#8#231</v>
      </c>
      <c r="K265" s="22" t="s">
        <v>3307</v>
      </c>
      <c r="L265" s="33" t="str">
        <f t="shared" si="34"/>
        <v>仙品升星石27/元宝110000</v>
      </c>
      <c r="M265" s="22">
        <v>15</v>
      </c>
    </row>
    <row r="266" spans="1:13" ht="15.75" x14ac:dyDescent="0.3">
      <c r="A266" s="22" t="s">
        <v>49</v>
      </c>
      <c r="B266" s="22" t="s">
        <v>33</v>
      </c>
      <c r="C266" s="22" t="s">
        <v>1920</v>
      </c>
      <c r="D266" s="2"/>
      <c r="E266" s="2"/>
      <c r="F266" s="23" t="s">
        <v>3201</v>
      </c>
      <c r="G266" s="22">
        <v>23</v>
      </c>
      <c r="H266" s="2"/>
      <c r="I266" s="2"/>
      <c r="J266" s="22" t="str">
        <f t="shared" si="33"/>
        <v>3#3#121|3#4#242|3#5#121|3#6#242|3#7#121|3#8#242</v>
      </c>
      <c r="K266" s="22" t="s">
        <v>3308</v>
      </c>
      <c r="L266" s="33" t="str">
        <f t="shared" si="34"/>
        <v>仙品升星石27/元宝110000</v>
      </c>
      <c r="M266" s="22">
        <v>10</v>
      </c>
    </row>
    <row r="267" spans="1:13" ht="15.75" x14ac:dyDescent="0.3">
      <c r="A267" s="22" t="s">
        <v>49</v>
      </c>
      <c r="B267" s="22" t="s">
        <v>33</v>
      </c>
      <c r="C267" s="22" t="s">
        <v>1920</v>
      </c>
      <c r="D267" s="2"/>
      <c r="E267" s="2"/>
      <c r="F267" s="23" t="s">
        <v>3203</v>
      </c>
      <c r="G267" s="22">
        <v>24</v>
      </c>
      <c r="H267" s="2"/>
      <c r="I267" s="2"/>
      <c r="J267" s="22" t="str">
        <f t="shared" si="33"/>
        <v>3#3#126|3#4#252|3#5#126|3#6#252|3#7#126|3#8#252</v>
      </c>
      <c r="K267" s="22" t="s">
        <v>3309</v>
      </c>
      <c r="L267" s="33" t="str">
        <f>"神品升星石"&amp;INT(X28/10)&amp;"/元宝"&amp;Y28</f>
        <v>神品升星石5/元宝116000</v>
      </c>
      <c r="M267" s="22">
        <v>100</v>
      </c>
    </row>
    <row r="268" spans="1:13" ht="15.75" x14ac:dyDescent="0.3">
      <c r="A268" s="22" t="s">
        <v>49</v>
      </c>
      <c r="B268" s="22" t="s">
        <v>33</v>
      </c>
      <c r="C268" s="22" t="s">
        <v>1920</v>
      </c>
      <c r="D268" s="2"/>
      <c r="E268" s="2"/>
      <c r="F268" s="23" t="s">
        <v>3205</v>
      </c>
      <c r="G268" s="22">
        <v>25</v>
      </c>
      <c r="H268" s="2"/>
      <c r="I268" s="2"/>
      <c r="J268" s="22" t="str">
        <f t="shared" si="33"/>
        <v>3#3#138|3#4#277|3#5#138|3#6#277|3#7#138|3#8#277</v>
      </c>
      <c r="K268" s="22" t="s">
        <v>3309</v>
      </c>
      <c r="L268" s="33" t="str">
        <f t="shared" ref="L268:L278" si="35">"神品升星石"&amp;INT(X29/10)&amp;"/元宝"&amp;Y29</f>
        <v>神品升星石5/元宝116000</v>
      </c>
      <c r="M268" s="22">
        <v>100</v>
      </c>
    </row>
    <row r="269" spans="1:13" ht="15.75" x14ac:dyDescent="0.3">
      <c r="A269" s="22" t="s">
        <v>49</v>
      </c>
      <c r="B269" s="22" t="s">
        <v>33</v>
      </c>
      <c r="C269" s="22" t="s">
        <v>1920</v>
      </c>
      <c r="D269" s="2"/>
      <c r="E269" s="2"/>
      <c r="F269" s="23" t="s">
        <v>3206</v>
      </c>
      <c r="G269" s="22">
        <v>26</v>
      </c>
      <c r="H269" s="2"/>
      <c r="I269" s="2"/>
      <c r="J269" s="22" t="str">
        <f t="shared" si="33"/>
        <v>3#3#144|3#4#288|3#5#144|3#6#288|3#7#144|3#8#288</v>
      </c>
      <c r="K269" s="22" t="s">
        <v>3309</v>
      </c>
      <c r="L269" s="33" t="str">
        <f t="shared" si="35"/>
        <v>神品升星石6/元宝122000</v>
      </c>
      <c r="M269" s="22">
        <v>100</v>
      </c>
    </row>
    <row r="270" spans="1:13" ht="15.75" x14ac:dyDescent="0.3">
      <c r="A270" s="22" t="s">
        <v>49</v>
      </c>
      <c r="B270" s="22" t="s">
        <v>33</v>
      </c>
      <c r="C270" s="22" t="s">
        <v>1920</v>
      </c>
      <c r="D270" s="2"/>
      <c r="E270" s="2"/>
      <c r="F270" s="23" t="s">
        <v>3207</v>
      </c>
      <c r="G270" s="22">
        <v>27</v>
      </c>
      <c r="H270" s="2"/>
      <c r="I270" s="2"/>
      <c r="J270" s="22" t="str">
        <f t="shared" si="33"/>
        <v>3#3#150|3#4#300|3#5#150|3#6#300|3#7#150|3#8#300</v>
      </c>
      <c r="K270" s="22" t="s">
        <v>3309</v>
      </c>
      <c r="L270" s="33" t="str">
        <f t="shared" si="35"/>
        <v>神品升星石6/元宝122000</v>
      </c>
      <c r="M270" s="22">
        <v>70</v>
      </c>
    </row>
    <row r="271" spans="1:13" ht="15.75" x14ac:dyDescent="0.3">
      <c r="A271" s="22" t="s">
        <v>49</v>
      </c>
      <c r="B271" s="22" t="s">
        <v>33</v>
      </c>
      <c r="C271" s="22" t="s">
        <v>1920</v>
      </c>
      <c r="D271" s="2"/>
      <c r="E271" s="2"/>
      <c r="F271" s="23" t="s">
        <v>3208</v>
      </c>
      <c r="G271" s="22">
        <v>28</v>
      </c>
      <c r="H271" s="2"/>
      <c r="I271" s="2"/>
      <c r="J271" s="22" t="str">
        <f t="shared" si="33"/>
        <v>3#3#155|3#4#311|3#5#155|3#6#311|3#7#155|3#8#311</v>
      </c>
      <c r="K271" s="22" t="s">
        <v>3309</v>
      </c>
      <c r="L271" s="33" t="str">
        <f t="shared" si="35"/>
        <v>神品升星石6/元宝130000</v>
      </c>
      <c r="M271" s="22">
        <v>60</v>
      </c>
    </row>
    <row r="272" spans="1:13" ht="15.75" x14ac:dyDescent="0.3">
      <c r="A272" s="22" t="s">
        <v>49</v>
      </c>
      <c r="B272" s="22" t="s">
        <v>33</v>
      </c>
      <c r="C272" s="22" t="s">
        <v>1920</v>
      </c>
      <c r="D272" s="2"/>
      <c r="E272" s="2"/>
      <c r="F272" s="23" t="s">
        <v>3209</v>
      </c>
      <c r="G272" s="22">
        <v>29</v>
      </c>
      <c r="H272" s="2"/>
      <c r="I272" s="2"/>
      <c r="J272" s="22" t="str">
        <f t="shared" si="33"/>
        <v>3#3#161|3#4#322|3#5#161|3#6#322|3#7#161|3#8#322</v>
      </c>
      <c r="K272" s="22" t="s">
        <v>3309</v>
      </c>
      <c r="L272" s="33" t="str">
        <f t="shared" si="35"/>
        <v>神品升星石6/元宝130000</v>
      </c>
      <c r="M272" s="22">
        <v>50</v>
      </c>
    </row>
    <row r="273" spans="1:13" ht="15.75" x14ac:dyDescent="0.3">
      <c r="A273" s="22" t="s">
        <v>49</v>
      </c>
      <c r="B273" s="22" t="s">
        <v>33</v>
      </c>
      <c r="C273" s="22" t="s">
        <v>1920</v>
      </c>
      <c r="D273" s="2"/>
      <c r="E273" s="2"/>
      <c r="F273" s="23" t="s">
        <v>3210</v>
      </c>
      <c r="G273" s="22">
        <v>30</v>
      </c>
      <c r="H273" s="2"/>
      <c r="I273" s="2"/>
      <c r="J273" s="22" t="str">
        <f t="shared" si="33"/>
        <v>3#3#166|3#4#333|3#5#166|3#6#333|3#7#166|3#8#333</v>
      </c>
      <c r="K273" s="22" t="s">
        <v>3309</v>
      </c>
      <c r="L273" s="33" t="str">
        <f t="shared" si="35"/>
        <v>神品升星石6/元宝136000</v>
      </c>
      <c r="M273" s="22">
        <v>40</v>
      </c>
    </row>
    <row r="274" spans="1:13" ht="15.75" x14ac:dyDescent="0.3">
      <c r="A274" s="22" t="s">
        <v>49</v>
      </c>
      <c r="B274" s="22" t="s">
        <v>33</v>
      </c>
      <c r="C274" s="22" t="s">
        <v>1920</v>
      </c>
      <c r="D274" s="2"/>
      <c r="E274" s="2"/>
      <c r="F274" s="23" t="s">
        <v>3211</v>
      </c>
      <c r="G274" s="22">
        <v>31</v>
      </c>
      <c r="H274" s="2"/>
      <c r="I274" s="2"/>
      <c r="J274" s="22" t="str">
        <f t="shared" si="33"/>
        <v>3#3#172|3#4#344|3#5#172|3#6#344|3#7#172|3#8#344</v>
      </c>
      <c r="K274" s="22" t="s">
        <v>3310</v>
      </c>
      <c r="L274" s="33" t="str">
        <f t="shared" si="35"/>
        <v>神品升星石6/元宝136000</v>
      </c>
      <c r="M274" s="22">
        <v>30</v>
      </c>
    </row>
    <row r="275" spans="1:13" ht="15.75" x14ac:dyDescent="0.3">
      <c r="A275" s="22" t="s">
        <v>49</v>
      </c>
      <c r="B275" s="22" t="s">
        <v>33</v>
      </c>
      <c r="C275" s="22" t="s">
        <v>1920</v>
      </c>
      <c r="D275" s="2"/>
      <c r="E275" s="2"/>
      <c r="F275" s="23" t="s">
        <v>3213</v>
      </c>
      <c r="G275" s="22">
        <v>32</v>
      </c>
      <c r="H275" s="2"/>
      <c r="I275" s="2"/>
      <c r="J275" s="22" t="str">
        <f t="shared" si="33"/>
        <v>3#3#177|3#4#355|3#5#177|3#6#355|3#7#177|3#8#355</v>
      </c>
      <c r="K275" s="22" t="s">
        <v>3311</v>
      </c>
      <c r="L275" s="33" t="str">
        <f t="shared" si="35"/>
        <v>神品升星石7/元宝142000</v>
      </c>
      <c r="M275" s="22">
        <v>25</v>
      </c>
    </row>
    <row r="276" spans="1:13" ht="15.75" x14ac:dyDescent="0.3">
      <c r="A276" s="22" t="s">
        <v>49</v>
      </c>
      <c r="B276" s="22" t="s">
        <v>33</v>
      </c>
      <c r="C276" s="22" t="s">
        <v>1920</v>
      </c>
      <c r="D276" s="2"/>
      <c r="E276" s="2"/>
      <c r="F276" s="23" t="s">
        <v>3215</v>
      </c>
      <c r="G276" s="22">
        <v>33</v>
      </c>
      <c r="H276" s="2"/>
      <c r="I276" s="2"/>
      <c r="J276" s="22" t="str">
        <f t="shared" si="33"/>
        <v>3#3#183|3#4#366|3#5#183|3#6#366|3#7#183|3#8#366</v>
      </c>
      <c r="K276" s="22" t="s">
        <v>3312</v>
      </c>
      <c r="L276" s="33" t="str">
        <f t="shared" si="35"/>
        <v>神品升星石7/元宝142000</v>
      </c>
      <c r="M276" s="22">
        <v>20</v>
      </c>
    </row>
    <row r="277" spans="1:13" ht="15.75" x14ac:dyDescent="0.3">
      <c r="A277" s="22" t="s">
        <v>49</v>
      </c>
      <c r="B277" s="22" t="s">
        <v>33</v>
      </c>
      <c r="C277" s="22" t="s">
        <v>1920</v>
      </c>
      <c r="D277" s="2"/>
      <c r="E277" s="2"/>
      <c r="F277" s="23" t="s">
        <v>3217</v>
      </c>
      <c r="G277" s="22">
        <v>34</v>
      </c>
      <c r="H277" s="2"/>
      <c r="I277" s="2"/>
      <c r="J277" s="22" t="str">
        <f t="shared" si="33"/>
        <v>3#3#188|3#4#377|3#5#188|3#6#377|3#7#188|3#8#377</v>
      </c>
      <c r="K277" s="22" t="s">
        <v>3313</v>
      </c>
      <c r="L277" s="33" t="str">
        <f t="shared" si="35"/>
        <v>神品升星石7/元宝148000</v>
      </c>
      <c r="M277" s="22">
        <v>15</v>
      </c>
    </row>
    <row r="278" spans="1:13" ht="15.75" x14ac:dyDescent="0.3">
      <c r="A278" s="22" t="s">
        <v>49</v>
      </c>
      <c r="B278" s="22" t="s">
        <v>33</v>
      </c>
      <c r="C278" s="22" t="s">
        <v>1920</v>
      </c>
      <c r="D278" s="2"/>
      <c r="E278" s="2"/>
      <c r="F278" s="23" t="s">
        <v>3219</v>
      </c>
      <c r="G278" s="22">
        <v>35</v>
      </c>
      <c r="H278" s="2"/>
      <c r="I278" s="2"/>
      <c r="J278" s="22" t="str">
        <f t="shared" si="33"/>
        <v>3#3#194|3#4#388|3#5#194|3#6#388|3#7#194|3#8#388</v>
      </c>
      <c r="K278" s="22" t="s">
        <v>3314</v>
      </c>
      <c r="L278" s="33" t="str">
        <f t="shared" si="35"/>
        <v>神品升星石7/元宝148000</v>
      </c>
      <c r="M278" s="22">
        <v>10</v>
      </c>
    </row>
    <row r="279" spans="1:13" ht="15.75" x14ac:dyDescent="0.3">
      <c r="A279" s="22" t="s">
        <v>49</v>
      </c>
      <c r="B279" s="22" t="s">
        <v>33</v>
      </c>
      <c r="C279" s="22" t="s">
        <v>1920</v>
      </c>
      <c r="D279" s="2"/>
      <c r="E279" s="2"/>
      <c r="F279" s="23" t="s">
        <v>3221</v>
      </c>
      <c r="G279" s="22">
        <v>36</v>
      </c>
      <c r="H279" s="2"/>
      <c r="I279" s="2"/>
      <c r="J279" s="22" t="str">
        <f t="shared" si="33"/>
        <v>3#3#200|3#4#400|3#5#200|3#6#400|3#7#200|3#8#400</v>
      </c>
      <c r="K279" s="22" t="s">
        <v>3315</v>
      </c>
      <c r="L279" s="2"/>
      <c r="M279" s="22"/>
    </row>
    <row r="280" spans="1:13" ht="15.75" x14ac:dyDescent="0.3">
      <c r="A280" s="22" t="s">
        <v>49</v>
      </c>
      <c r="B280" s="22" t="s">
        <v>33</v>
      </c>
      <c r="C280" s="22" t="s">
        <v>1920</v>
      </c>
      <c r="D280" s="2"/>
      <c r="E280" s="2"/>
      <c r="F280" s="23" t="s">
        <v>3223</v>
      </c>
      <c r="G280" s="22">
        <v>37</v>
      </c>
      <c r="H280" s="2"/>
      <c r="I280" s="2"/>
      <c r="J280" s="22"/>
      <c r="K280" s="22"/>
      <c r="L280" s="2"/>
      <c r="M280" s="22"/>
    </row>
    <row r="281" spans="1:13" ht="15.75" x14ac:dyDescent="0.3">
      <c r="A281" s="22" t="s">
        <v>49</v>
      </c>
      <c r="B281" s="22" t="s">
        <v>33</v>
      </c>
      <c r="C281" s="22" t="s">
        <v>1920</v>
      </c>
      <c r="D281" s="2"/>
      <c r="E281" s="2"/>
      <c r="F281" s="23" t="s">
        <v>3224</v>
      </c>
      <c r="G281" s="22">
        <v>38</v>
      </c>
      <c r="H281" s="2"/>
      <c r="I281" s="2"/>
      <c r="J281" s="22"/>
      <c r="K281" s="22"/>
      <c r="L281" s="2"/>
      <c r="M281" s="22"/>
    </row>
    <row r="282" spans="1:13" ht="15.75" x14ac:dyDescent="0.3">
      <c r="A282" s="22" t="s">
        <v>49</v>
      </c>
      <c r="B282" s="22" t="s">
        <v>33</v>
      </c>
      <c r="C282" s="22" t="s">
        <v>1920</v>
      </c>
      <c r="D282" s="2"/>
      <c r="E282" s="2"/>
      <c r="F282" s="23" t="s">
        <v>3225</v>
      </c>
      <c r="G282" s="22">
        <v>39</v>
      </c>
      <c r="H282" s="2"/>
      <c r="I282" s="2"/>
      <c r="J282" s="22"/>
      <c r="K282" s="22"/>
      <c r="L282" s="2"/>
      <c r="M282" s="22"/>
    </row>
    <row r="283" spans="1:13" ht="15.75" x14ac:dyDescent="0.3">
      <c r="A283" s="22" t="s">
        <v>49</v>
      </c>
      <c r="B283" s="22" t="s">
        <v>33</v>
      </c>
      <c r="C283" s="22" t="s">
        <v>1921</v>
      </c>
      <c r="D283" s="22"/>
      <c r="E283" s="22"/>
      <c r="F283" s="23" t="s">
        <v>3168</v>
      </c>
      <c r="G283" s="22">
        <v>0</v>
      </c>
      <c r="H283" s="32"/>
      <c r="I283" s="22"/>
      <c r="J283" s="22"/>
      <c r="K283" s="22"/>
      <c r="L283" s="33" t="str">
        <f>"凡品升星石"&amp;X4&amp;"/元宝"&amp;Y4</f>
        <v>凡品升星石16/元宝32000</v>
      </c>
      <c r="M283" s="22">
        <v>100</v>
      </c>
    </row>
    <row r="284" spans="1:13" ht="15.75" x14ac:dyDescent="0.3">
      <c r="A284" s="22" t="s">
        <v>49</v>
      </c>
      <c r="B284" s="22" t="s">
        <v>33</v>
      </c>
      <c r="C284" s="22" t="s">
        <v>1921</v>
      </c>
      <c r="D284" s="22"/>
      <c r="E284" s="22"/>
      <c r="F284" s="23" t="s">
        <v>3169</v>
      </c>
      <c r="G284" s="22">
        <v>1</v>
      </c>
      <c r="H284" s="32"/>
      <c r="I284" s="22"/>
      <c r="J2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84" s="22"/>
      <c r="L284" s="33" t="str">
        <f t="shared" ref="L284:L294" si="36">"凡品升星石"&amp;X5&amp;"/元宝"&amp;Y5</f>
        <v>凡品升星石16/元宝32000</v>
      </c>
      <c r="M284" s="22">
        <v>100</v>
      </c>
    </row>
    <row r="285" spans="1:13" ht="15.75" x14ac:dyDescent="0.3">
      <c r="A285" s="22" t="s">
        <v>49</v>
      </c>
      <c r="B285" s="22" t="s">
        <v>33</v>
      </c>
      <c r="C285" s="22" t="s">
        <v>1921</v>
      </c>
      <c r="D285" s="2"/>
      <c r="E285" s="2"/>
      <c r="F285" s="23" t="s">
        <v>3170</v>
      </c>
      <c r="G285" s="22">
        <v>2</v>
      </c>
      <c r="H285" s="2"/>
      <c r="I285" s="2"/>
      <c r="J285" s="22" t="str">
        <f t="shared" ref="J285:J319" si="37">"3#3#"&amp;INT(0.5*S5)&amp;"|"&amp;"3#4#"&amp;S5&amp;"|"&amp;"3#5#"&amp;INT(0.5*S5)&amp;"|"&amp;"3#6#"&amp;S5&amp;"|"&amp;"3#7#"&amp;INT(0.5*S5)&amp;"|"&amp;"3#8#"&amp;S5</f>
        <v>3#3#5|3#4#11|3#5#5|3#6#11|3#7#5|3#8#11</v>
      </c>
      <c r="K285" s="22"/>
      <c r="L285" s="33" t="str">
        <f t="shared" si="36"/>
        <v>凡品升星石19/元宝38000</v>
      </c>
      <c r="M285" s="22">
        <v>100</v>
      </c>
    </row>
    <row r="286" spans="1:13" ht="15.75" x14ac:dyDescent="0.3">
      <c r="A286" s="22" t="s">
        <v>49</v>
      </c>
      <c r="B286" s="22" t="s">
        <v>33</v>
      </c>
      <c r="C286" s="22" t="s">
        <v>1921</v>
      </c>
      <c r="D286" s="2"/>
      <c r="E286" s="2"/>
      <c r="F286" s="23" t="s">
        <v>3171</v>
      </c>
      <c r="G286" s="22">
        <v>3</v>
      </c>
      <c r="H286" s="2"/>
      <c r="I286" s="2"/>
      <c r="J286" s="22" t="str">
        <f t="shared" si="37"/>
        <v>3#3#8|3#4#16|3#5#8|3#6#16|3#7#8|3#8#16</v>
      </c>
      <c r="K286" s="22"/>
      <c r="L286" s="33" t="str">
        <f t="shared" si="36"/>
        <v>凡品升星石19/元宝38000</v>
      </c>
      <c r="M286" s="22">
        <v>90</v>
      </c>
    </row>
    <row r="287" spans="1:13" ht="15.75" x14ac:dyDescent="0.3">
      <c r="A287" s="22" t="s">
        <v>49</v>
      </c>
      <c r="B287" s="22" t="s">
        <v>33</v>
      </c>
      <c r="C287" s="22" t="s">
        <v>1921</v>
      </c>
      <c r="D287" s="2"/>
      <c r="E287" s="2"/>
      <c r="F287" s="23" t="s">
        <v>3172</v>
      </c>
      <c r="G287" s="22">
        <v>4</v>
      </c>
      <c r="H287" s="2"/>
      <c r="I287" s="2"/>
      <c r="J287" s="22" t="str">
        <f t="shared" si="37"/>
        <v>3#3#11|3#4#22|3#5#11|3#6#22|3#7#11|3#8#22</v>
      </c>
      <c r="K287" s="22"/>
      <c r="L287" s="33" t="str">
        <f t="shared" si="36"/>
        <v>凡品升星石22/元宝44000</v>
      </c>
      <c r="M287" s="22">
        <v>80</v>
      </c>
    </row>
    <row r="288" spans="1:13" ht="15.75" x14ac:dyDescent="0.3">
      <c r="A288" s="22" t="s">
        <v>49</v>
      </c>
      <c r="B288" s="22" t="s">
        <v>33</v>
      </c>
      <c r="C288" s="22" t="s">
        <v>1921</v>
      </c>
      <c r="D288" s="2"/>
      <c r="E288" s="2"/>
      <c r="F288" s="23" t="s">
        <v>3173</v>
      </c>
      <c r="G288" s="22">
        <v>5</v>
      </c>
      <c r="H288" s="2"/>
      <c r="I288" s="2"/>
      <c r="J288" s="22" t="str">
        <f t="shared" si="37"/>
        <v>3#3#16|3#4#33|3#5#16|3#6#33|3#7#16|3#8#33</v>
      </c>
      <c r="K288" s="22"/>
      <c r="L288" s="33" t="str">
        <f t="shared" si="36"/>
        <v>凡品升星石22/元宝44000</v>
      </c>
      <c r="M288" s="22">
        <v>70</v>
      </c>
    </row>
    <row r="289" spans="1:13" ht="15.75" x14ac:dyDescent="0.3">
      <c r="A289" s="22" t="s">
        <v>49</v>
      </c>
      <c r="B289" s="22" t="s">
        <v>33</v>
      </c>
      <c r="C289" s="22" t="s">
        <v>1921</v>
      </c>
      <c r="D289" s="2"/>
      <c r="E289" s="2"/>
      <c r="F289" s="23" t="s">
        <v>3174</v>
      </c>
      <c r="G289" s="22">
        <v>6</v>
      </c>
      <c r="H289" s="2"/>
      <c r="I289" s="2"/>
      <c r="J289" s="22" t="str">
        <f t="shared" si="37"/>
        <v>3#3#19|3#4#39|3#5#19|3#6#39|3#7#19|3#8#39</v>
      </c>
      <c r="K289" s="22"/>
      <c r="L289" s="33" t="str">
        <f t="shared" si="36"/>
        <v>凡品升星石26/元宝52000</v>
      </c>
      <c r="M289" s="22">
        <v>60</v>
      </c>
    </row>
    <row r="290" spans="1:13" ht="15.75" x14ac:dyDescent="0.3">
      <c r="A290" s="22" t="s">
        <v>49</v>
      </c>
      <c r="B290" s="22" t="s">
        <v>33</v>
      </c>
      <c r="C290" s="22" t="s">
        <v>1921</v>
      </c>
      <c r="D290" s="2"/>
      <c r="E290" s="2"/>
      <c r="F290" s="23" t="s">
        <v>3175</v>
      </c>
      <c r="G290" s="22">
        <v>7</v>
      </c>
      <c r="H290" s="2"/>
      <c r="I290" s="2"/>
      <c r="J290" s="22" t="str">
        <f t="shared" si="37"/>
        <v>3#3#23|3#4#46|3#5#23|3#6#46|3#7#23|3#8#46</v>
      </c>
      <c r="K290" s="22" t="s">
        <v>3316</v>
      </c>
      <c r="L290" s="33" t="str">
        <f t="shared" si="36"/>
        <v>凡品升星石26/元宝52000</v>
      </c>
      <c r="M290" s="22">
        <v>50</v>
      </c>
    </row>
    <row r="291" spans="1:13" ht="15.75" x14ac:dyDescent="0.3">
      <c r="A291" s="22" t="s">
        <v>49</v>
      </c>
      <c r="B291" s="22" t="s">
        <v>33</v>
      </c>
      <c r="C291" s="22" t="s">
        <v>1921</v>
      </c>
      <c r="D291" s="2"/>
      <c r="E291" s="2"/>
      <c r="F291" s="23" t="s">
        <v>3177</v>
      </c>
      <c r="G291" s="22">
        <v>8</v>
      </c>
      <c r="H291" s="2"/>
      <c r="I291" s="2"/>
      <c r="J291" s="22" t="str">
        <f t="shared" si="37"/>
        <v>3#3#26|3#4#52|3#5#26|3#6#52|3#7#26|3#8#52</v>
      </c>
      <c r="K291" s="22" t="s">
        <v>3317</v>
      </c>
      <c r="L291" s="33" t="str">
        <f t="shared" si="36"/>
        <v>凡品升星石32/元宝64000</v>
      </c>
      <c r="M291" s="22">
        <v>40</v>
      </c>
    </row>
    <row r="292" spans="1:13" ht="15.75" x14ac:dyDescent="0.3">
      <c r="A292" s="22" t="s">
        <v>49</v>
      </c>
      <c r="B292" s="22" t="s">
        <v>33</v>
      </c>
      <c r="C292" s="22" t="s">
        <v>1921</v>
      </c>
      <c r="D292" s="2"/>
      <c r="E292" s="2"/>
      <c r="F292" s="23" t="s">
        <v>3179</v>
      </c>
      <c r="G292" s="22">
        <v>9</v>
      </c>
      <c r="H292" s="2"/>
      <c r="I292" s="2"/>
      <c r="J292" s="22" t="str">
        <f t="shared" si="37"/>
        <v>3#3#35|3#4#70|3#5#35|3#6#70|3#7#35|3#8#70</v>
      </c>
      <c r="K292" s="22" t="s">
        <v>3318</v>
      </c>
      <c r="L292" s="33" t="str">
        <f t="shared" si="36"/>
        <v>凡品升星石32/元宝64000</v>
      </c>
      <c r="M292" s="22">
        <v>30</v>
      </c>
    </row>
    <row r="293" spans="1:13" ht="15.75" x14ac:dyDescent="0.3">
      <c r="A293" s="22" t="s">
        <v>49</v>
      </c>
      <c r="B293" s="22" t="s">
        <v>33</v>
      </c>
      <c r="C293" s="22" t="s">
        <v>1921</v>
      </c>
      <c r="D293" s="2"/>
      <c r="E293" s="2"/>
      <c r="F293" s="23" t="s">
        <v>3181</v>
      </c>
      <c r="G293" s="22">
        <v>10</v>
      </c>
      <c r="H293" s="2"/>
      <c r="I293" s="2"/>
      <c r="J293" s="22" t="str">
        <f t="shared" si="37"/>
        <v>3#3#38|3#4#77|3#5#38|3#6#77|3#7#38|3#8#77</v>
      </c>
      <c r="K293" s="22" t="s">
        <v>3319</v>
      </c>
      <c r="L293" s="33" t="str">
        <f t="shared" si="36"/>
        <v>凡品升星石37/元宝74000</v>
      </c>
      <c r="M293" s="22">
        <v>20</v>
      </c>
    </row>
    <row r="294" spans="1:13" ht="15.75" x14ac:dyDescent="0.3">
      <c r="A294" s="22" t="s">
        <v>49</v>
      </c>
      <c r="B294" s="22" t="s">
        <v>33</v>
      </c>
      <c r="C294" s="22" t="s">
        <v>1921</v>
      </c>
      <c r="D294" s="2"/>
      <c r="E294" s="2"/>
      <c r="F294" s="23" t="s">
        <v>3183</v>
      </c>
      <c r="G294" s="22">
        <v>11</v>
      </c>
      <c r="H294" s="2"/>
      <c r="I294" s="2"/>
      <c r="J294" s="22" t="str">
        <f t="shared" si="37"/>
        <v>3#3#42|3#4#85|3#5#42|3#6#85|3#7#42|3#8#85</v>
      </c>
      <c r="K294" s="22" t="s">
        <v>3320</v>
      </c>
      <c r="L294" s="33" t="str">
        <f t="shared" si="36"/>
        <v>凡品升星石37/元宝74000</v>
      </c>
      <c r="M294" s="22">
        <v>15</v>
      </c>
    </row>
    <row r="295" spans="1:13" ht="15.75" x14ac:dyDescent="0.3">
      <c r="A295" s="22" t="s">
        <v>49</v>
      </c>
      <c r="B295" s="22" t="s">
        <v>33</v>
      </c>
      <c r="C295" s="22" t="s">
        <v>1921</v>
      </c>
      <c r="D295" s="2"/>
      <c r="E295" s="2"/>
      <c r="F295" s="23" t="s">
        <v>3185</v>
      </c>
      <c r="G295" s="22">
        <v>12</v>
      </c>
      <c r="H295" s="2"/>
      <c r="I295" s="2"/>
      <c r="J295" s="22" t="str">
        <f t="shared" si="37"/>
        <v>3#3#46|3#4#93|3#5#46|3#6#93|3#7#46|3#8#93</v>
      </c>
      <c r="K295" s="22" t="s">
        <v>3321</v>
      </c>
      <c r="L295" s="33" t="str">
        <f>"仙品升星石"&amp;INT(X16/2)&amp;"/元宝"&amp;Y16</f>
        <v>仙品升星石19/元宝78000</v>
      </c>
      <c r="M295" s="22">
        <v>100</v>
      </c>
    </row>
    <row r="296" spans="1:13" ht="15.75" x14ac:dyDescent="0.3">
      <c r="A296" s="22" t="s">
        <v>49</v>
      </c>
      <c r="B296" s="22" t="s">
        <v>33</v>
      </c>
      <c r="C296" s="22" t="s">
        <v>1921</v>
      </c>
      <c r="D296" s="2"/>
      <c r="E296" s="2"/>
      <c r="F296" s="23" t="s">
        <v>3187</v>
      </c>
      <c r="G296" s="22">
        <v>13</v>
      </c>
      <c r="H296" s="2"/>
      <c r="I296" s="2"/>
      <c r="J296" s="22" t="str">
        <f t="shared" si="37"/>
        <v>3#3#54|3#4#108|3#5#54|3#6#108|3#7#54|3#8#108</v>
      </c>
      <c r="K296" s="22" t="s">
        <v>3321</v>
      </c>
      <c r="L296" s="33" t="str">
        <f t="shared" ref="L296:L306" si="38">"仙品升星石"&amp;INT(X17/2)&amp;"/元宝"&amp;Y17</f>
        <v>仙品升星石19/元宝78000</v>
      </c>
      <c r="M296" s="22">
        <v>100</v>
      </c>
    </row>
    <row r="297" spans="1:13" ht="15.75" x14ac:dyDescent="0.3">
      <c r="A297" s="22" t="s">
        <v>49</v>
      </c>
      <c r="B297" s="22" t="s">
        <v>33</v>
      </c>
      <c r="C297" s="22" t="s">
        <v>1921</v>
      </c>
      <c r="D297" s="2"/>
      <c r="E297" s="2"/>
      <c r="F297" s="23" t="s">
        <v>3188</v>
      </c>
      <c r="G297" s="22">
        <v>14</v>
      </c>
      <c r="H297" s="2"/>
      <c r="I297" s="2"/>
      <c r="J297" s="22" t="str">
        <f t="shared" si="37"/>
        <v>3#3#58|3#4#116|3#5#58|3#6#116|3#7#58|3#8#116</v>
      </c>
      <c r="K297" s="22" t="s">
        <v>3321</v>
      </c>
      <c r="L297" s="33" t="str">
        <f t="shared" si="38"/>
        <v>仙品升星石21/元宝84000</v>
      </c>
      <c r="M297" s="22">
        <v>100</v>
      </c>
    </row>
    <row r="298" spans="1:13" ht="15.75" x14ac:dyDescent="0.3">
      <c r="A298" s="22" t="s">
        <v>49</v>
      </c>
      <c r="B298" s="22" t="s">
        <v>33</v>
      </c>
      <c r="C298" s="22" t="s">
        <v>1921</v>
      </c>
      <c r="D298" s="2"/>
      <c r="E298" s="2"/>
      <c r="F298" s="23" t="s">
        <v>3189</v>
      </c>
      <c r="G298" s="22">
        <v>15</v>
      </c>
      <c r="H298" s="2"/>
      <c r="I298" s="2"/>
      <c r="J298" s="22" t="str">
        <f t="shared" si="37"/>
        <v>3#3#62|3#4#124|3#5#62|3#6#124|3#7#62|3#8#124</v>
      </c>
      <c r="K298" s="22" t="s">
        <v>3321</v>
      </c>
      <c r="L298" s="33" t="str">
        <f t="shared" si="38"/>
        <v>仙品升星石21/元宝84000</v>
      </c>
      <c r="M298" s="22">
        <v>70</v>
      </c>
    </row>
    <row r="299" spans="1:13" ht="15.75" x14ac:dyDescent="0.3">
      <c r="A299" s="22" t="s">
        <v>49</v>
      </c>
      <c r="B299" s="22" t="s">
        <v>33</v>
      </c>
      <c r="C299" s="22" t="s">
        <v>1921</v>
      </c>
      <c r="D299" s="2"/>
      <c r="E299" s="2"/>
      <c r="F299" s="23" t="s">
        <v>3190</v>
      </c>
      <c r="G299" s="22">
        <v>16</v>
      </c>
      <c r="H299" s="2"/>
      <c r="I299" s="2"/>
      <c r="J299" s="22" t="str">
        <f t="shared" si="37"/>
        <v>3#3#66|3#4#132|3#5#66|3#6#132|3#7#66|3#8#132</v>
      </c>
      <c r="K299" s="22" t="s">
        <v>3321</v>
      </c>
      <c r="L299" s="33" t="str">
        <f t="shared" si="38"/>
        <v>仙品升星石23/元宝92000</v>
      </c>
      <c r="M299" s="22">
        <v>60</v>
      </c>
    </row>
    <row r="300" spans="1:13" ht="15.75" x14ac:dyDescent="0.3">
      <c r="A300" s="22" t="s">
        <v>49</v>
      </c>
      <c r="B300" s="22" t="s">
        <v>33</v>
      </c>
      <c r="C300" s="22" t="s">
        <v>1921</v>
      </c>
      <c r="D300" s="2"/>
      <c r="E300" s="2"/>
      <c r="F300" s="23" t="s">
        <v>3191</v>
      </c>
      <c r="G300" s="22">
        <v>17</v>
      </c>
      <c r="H300" s="2"/>
      <c r="I300" s="2"/>
      <c r="J300" s="22" t="str">
        <f t="shared" si="37"/>
        <v>3#3#79|3#4#159|3#5#79|3#6#159|3#7#79|3#8#159</v>
      </c>
      <c r="K300" s="22" t="s">
        <v>3321</v>
      </c>
      <c r="L300" s="33" t="str">
        <f t="shared" si="38"/>
        <v>仙品升星石23/元宝92000</v>
      </c>
      <c r="M300" s="22">
        <v>50</v>
      </c>
    </row>
    <row r="301" spans="1:13" ht="15.75" x14ac:dyDescent="0.3">
      <c r="A301" s="22" t="s">
        <v>49</v>
      </c>
      <c r="B301" s="22" t="s">
        <v>33</v>
      </c>
      <c r="C301" s="22" t="s">
        <v>1921</v>
      </c>
      <c r="D301" s="2"/>
      <c r="E301" s="2"/>
      <c r="F301" s="23" t="s">
        <v>3192</v>
      </c>
      <c r="G301" s="22">
        <v>18</v>
      </c>
      <c r="H301" s="2"/>
      <c r="I301" s="2"/>
      <c r="J301" s="22" t="str">
        <f t="shared" si="37"/>
        <v>3#3#85|3#4#170|3#5#85|3#6#170|3#7#85|3#8#170</v>
      </c>
      <c r="K301" s="22" t="s">
        <v>3322</v>
      </c>
      <c r="L301" s="33" t="str">
        <f t="shared" si="38"/>
        <v>仙品升星石24/元宝98000</v>
      </c>
      <c r="M301" s="22">
        <v>40</v>
      </c>
    </row>
    <row r="302" spans="1:13" ht="15.75" x14ac:dyDescent="0.3">
      <c r="A302" s="22" t="s">
        <v>49</v>
      </c>
      <c r="B302" s="22" t="s">
        <v>33</v>
      </c>
      <c r="C302" s="22" t="s">
        <v>1921</v>
      </c>
      <c r="D302" s="2"/>
      <c r="E302" s="2"/>
      <c r="F302" s="23" t="s">
        <v>3194</v>
      </c>
      <c r="G302" s="22">
        <v>19</v>
      </c>
      <c r="H302" s="2"/>
      <c r="I302" s="2"/>
      <c r="J302" s="22" t="str">
        <f t="shared" si="37"/>
        <v>3#3#89|3#4#179|3#5#89|3#6#179|3#7#89|3#8#179</v>
      </c>
      <c r="K302" s="22" t="s">
        <v>3323</v>
      </c>
      <c r="L302" s="33" t="str">
        <f t="shared" si="38"/>
        <v>仙品升星石24/元宝98000</v>
      </c>
      <c r="M302" s="22">
        <v>30</v>
      </c>
    </row>
    <row r="303" spans="1:13" ht="15.75" x14ac:dyDescent="0.3">
      <c r="A303" s="22" t="s">
        <v>49</v>
      </c>
      <c r="B303" s="22" t="s">
        <v>33</v>
      </c>
      <c r="C303" s="22" t="s">
        <v>1921</v>
      </c>
      <c r="D303" s="2"/>
      <c r="E303" s="2"/>
      <c r="F303" s="23" t="s">
        <v>3196</v>
      </c>
      <c r="G303" s="22">
        <v>20</v>
      </c>
      <c r="H303" s="2"/>
      <c r="I303" s="2"/>
      <c r="J303" s="22" t="str">
        <f t="shared" si="37"/>
        <v>3#3#94|3#4#188|3#5#94|3#6#188|3#7#94|3#8#188</v>
      </c>
      <c r="K303" s="22" t="s">
        <v>3323</v>
      </c>
      <c r="L303" s="33" t="str">
        <f t="shared" si="38"/>
        <v>仙品升星石26/元宝104000</v>
      </c>
      <c r="M303" s="22">
        <v>25</v>
      </c>
    </row>
    <row r="304" spans="1:13" ht="15.75" x14ac:dyDescent="0.3">
      <c r="A304" s="22" t="s">
        <v>49</v>
      </c>
      <c r="B304" s="22" t="s">
        <v>33</v>
      </c>
      <c r="C304" s="22" t="s">
        <v>1921</v>
      </c>
      <c r="D304" s="2"/>
      <c r="E304" s="2"/>
      <c r="F304" s="23" t="s">
        <v>3197</v>
      </c>
      <c r="G304" s="22">
        <v>21</v>
      </c>
      <c r="H304" s="2"/>
      <c r="I304" s="2"/>
      <c r="J304" s="22" t="str">
        <f t="shared" si="37"/>
        <v>3#3#110|3#4#221|3#5#110|3#6#221|3#7#110|3#8#221</v>
      </c>
      <c r="K304" s="22" t="s">
        <v>3324</v>
      </c>
      <c r="L304" s="33" t="str">
        <f t="shared" si="38"/>
        <v>仙品升星石26/元宝104000</v>
      </c>
      <c r="M304" s="22">
        <v>20</v>
      </c>
    </row>
    <row r="305" spans="1:13" ht="15.75" x14ac:dyDescent="0.3">
      <c r="A305" s="22" t="s">
        <v>49</v>
      </c>
      <c r="B305" s="22" t="s">
        <v>33</v>
      </c>
      <c r="C305" s="22" t="s">
        <v>1921</v>
      </c>
      <c r="D305" s="2"/>
      <c r="E305" s="2"/>
      <c r="F305" s="23" t="s">
        <v>3199</v>
      </c>
      <c r="G305" s="22">
        <v>22</v>
      </c>
      <c r="H305" s="2"/>
      <c r="I305" s="2"/>
      <c r="J305" s="22" t="str">
        <f t="shared" si="37"/>
        <v>3#3#115|3#4#231|3#5#115|3#6#231|3#7#115|3#8#231</v>
      </c>
      <c r="K305" s="22" t="s">
        <v>3325</v>
      </c>
      <c r="L305" s="33" t="str">
        <f t="shared" si="38"/>
        <v>仙品升星石27/元宝110000</v>
      </c>
      <c r="M305" s="22">
        <v>15</v>
      </c>
    </row>
    <row r="306" spans="1:13" ht="15.75" x14ac:dyDescent="0.3">
      <c r="A306" s="22" t="s">
        <v>49</v>
      </c>
      <c r="B306" s="22" t="s">
        <v>33</v>
      </c>
      <c r="C306" s="22" t="s">
        <v>1921</v>
      </c>
      <c r="D306" s="2"/>
      <c r="E306" s="2"/>
      <c r="F306" s="23" t="s">
        <v>3201</v>
      </c>
      <c r="G306" s="22">
        <v>23</v>
      </c>
      <c r="H306" s="2"/>
      <c r="I306" s="2"/>
      <c r="J306" s="22" t="str">
        <f t="shared" si="37"/>
        <v>3#3#121|3#4#242|3#5#121|3#6#242|3#7#121|3#8#242</v>
      </c>
      <c r="K306" s="22" t="s">
        <v>3326</v>
      </c>
      <c r="L306" s="33" t="str">
        <f t="shared" si="38"/>
        <v>仙品升星石27/元宝110000</v>
      </c>
      <c r="M306" s="22">
        <v>10</v>
      </c>
    </row>
    <row r="307" spans="1:13" ht="15.75" x14ac:dyDescent="0.3">
      <c r="A307" s="22" t="s">
        <v>49</v>
      </c>
      <c r="B307" s="22" t="s">
        <v>33</v>
      </c>
      <c r="C307" s="22" t="s">
        <v>1921</v>
      </c>
      <c r="D307" s="2"/>
      <c r="E307" s="2"/>
      <c r="F307" s="23" t="s">
        <v>3203</v>
      </c>
      <c r="G307" s="22">
        <v>24</v>
      </c>
      <c r="H307" s="2"/>
      <c r="I307" s="2"/>
      <c r="J307" s="22" t="str">
        <f t="shared" si="37"/>
        <v>3#3#126|3#4#252|3#5#126|3#6#252|3#7#126|3#8#252</v>
      </c>
      <c r="K307" s="22" t="s">
        <v>3327</v>
      </c>
      <c r="L307" s="33" t="str">
        <f>"神品升星石"&amp;INT(X28/10)&amp;"/元宝"&amp;Y28</f>
        <v>神品升星石5/元宝116000</v>
      </c>
      <c r="M307" s="22">
        <v>100</v>
      </c>
    </row>
    <row r="308" spans="1:13" ht="15.75" x14ac:dyDescent="0.3">
      <c r="A308" s="22" t="s">
        <v>49</v>
      </c>
      <c r="B308" s="22" t="s">
        <v>33</v>
      </c>
      <c r="C308" s="22" t="s">
        <v>1921</v>
      </c>
      <c r="D308" s="2"/>
      <c r="E308" s="2"/>
      <c r="F308" s="23" t="s">
        <v>3205</v>
      </c>
      <c r="G308" s="22">
        <v>25</v>
      </c>
      <c r="H308" s="2"/>
      <c r="I308" s="2"/>
      <c r="J308" s="22" t="str">
        <f t="shared" si="37"/>
        <v>3#3#138|3#4#277|3#5#138|3#6#277|3#7#138|3#8#277</v>
      </c>
      <c r="K308" s="22" t="s">
        <v>3327</v>
      </c>
      <c r="L308" s="33" t="str">
        <f t="shared" ref="L308:L318" si="39">"神品升星石"&amp;INT(X29/10)&amp;"/元宝"&amp;Y29</f>
        <v>神品升星石5/元宝116000</v>
      </c>
      <c r="M308" s="22">
        <v>100</v>
      </c>
    </row>
    <row r="309" spans="1:13" ht="15.75" x14ac:dyDescent="0.3">
      <c r="A309" s="22" t="s">
        <v>49</v>
      </c>
      <c r="B309" s="22" t="s">
        <v>33</v>
      </c>
      <c r="C309" s="22" t="s">
        <v>1921</v>
      </c>
      <c r="D309" s="2"/>
      <c r="E309" s="2"/>
      <c r="F309" s="23" t="s">
        <v>3206</v>
      </c>
      <c r="G309" s="22">
        <v>26</v>
      </c>
      <c r="H309" s="2"/>
      <c r="I309" s="2"/>
      <c r="J309" s="22" t="str">
        <f t="shared" si="37"/>
        <v>3#3#144|3#4#288|3#5#144|3#6#288|3#7#144|3#8#288</v>
      </c>
      <c r="K309" s="22" t="s">
        <v>3327</v>
      </c>
      <c r="L309" s="33" t="str">
        <f t="shared" si="39"/>
        <v>神品升星石6/元宝122000</v>
      </c>
      <c r="M309" s="22">
        <v>100</v>
      </c>
    </row>
    <row r="310" spans="1:13" ht="15.75" x14ac:dyDescent="0.3">
      <c r="A310" s="22" t="s">
        <v>49</v>
      </c>
      <c r="B310" s="22" t="s">
        <v>33</v>
      </c>
      <c r="C310" s="22" t="s">
        <v>1921</v>
      </c>
      <c r="D310" s="2"/>
      <c r="E310" s="2"/>
      <c r="F310" s="23" t="s">
        <v>3207</v>
      </c>
      <c r="G310" s="22">
        <v>27</v>
      </c>
      <c r="H310" s="2"/>
      <c r="I310" s="2"/>
      <c r="J310" s="22" t="str">
        <f t="shared" si="37"/>
        <v>3#3#150|3#4#300|3#5#150|3#6#300|3#7#150|3#8#300</v>
      </c>
      <c r="K310" s="22" t="s">
        <v>3327</v>
      </c>
      <c r="L310" s="33" t="str">
        <f t="shared" si="39"/>
        <v>神品升星石6/元宝122000</v>
      </c>
      <c r="M310" s="22">
        <v>70</v>
      </c>
    </row>
    <row r="311" spans="1:13" ht="15.75" x14ac:dyDescent="0.3">
      <c r="A311" s="22" t="s">
        <v>49</v>
      </c>
      <c r="B311" s="22" t="s">
        <v>33</v>
      </c>
      <c r="C311" s="22" t="s">
        <v>1921</v>
      </c>
      <c r="D311" s="2"/>
      <c r="E311" s="2"/>
      <c r="F311" s="23" t="s">
        <v>3208</v>
      </c>
      <c r="G311" s="22">
        <v>28</v>
      </c>
      <c r="H311" s="2"/>
      <c r="I311" s="2"/>
      <c r="J311" s="22" t="str">
        <f t="shared" si="37"/>
        <v>3#3#155|3#4#311|3#5#155|3#6#311|3#7#155|3#8#311</v>
      </c>
      <c r="K311" s="22" t="s">
        <v>3327</v>
      </c>
      <c r="L311" s="33" t="str">
        <f t="shared" si="39"/>
        <v>神品升星石6/元宝130000</v>
      </c>
      <c r="M311" s="22">
        <v>60</v>
      </c>
    </row>
    <row r="312" spans="1:13" ht="15.75" x14ac:dyDescent="0.3">
      <c r="A312" s="22" t="s">
        <v>49</v>
      </c>
      <c r="B312" s="22" t="s">
        <v>33</v>
      </c>
      <c r="C312" s="22" t="s">
        <v>1921</v>
      </c>
      <c r="D312" s="2"/>
      <c r="E312" s="2"/>
      <c r="F312" s="23" t="s">
        <v>3209</v>
      </c>
      <c r="G312" s="22">
        <v>29</v>
      </c>
      <c r="H312" s="2"/>
      <c r="I312" s="2"/>
      <c r="J312" s="22" t="str">
        <f t="shared" si="37"/>
        <v>3#3#161|3#4#322|3#5#161|3#6#322|3#7#161|3#8#322</v>
      </c>
      <c r="K312" s="22" t="s">
        <v>3327</v>
      </c>
      <c r="L312" s="33" t="str">
        <f t="shared" si="39"/>
        <v>神品升星石6/元宝130000</v>
      </c>
      <c r="M312" s="22">
        <v>50</v>
      </c>
    </row>
    <row r="313" spans="1:13" ht="15.75" x14ac:dyDescent="0.3">
      <c r="A313" s="22" t="s">
        <v>49</v>
      </c>
      <c r="B313" s="22" t="s">
        <v>33</v>
      </c>
      <c r="C313" s="22" t="s">
        <v>1921</v>
      </c>
      <c r="D313" s="2"/>
      <c r="E313" s="2"/>
      <c r="F313" s="23" t="s">
        <v>3210</v>
      </c>
      <c r="G313" s="22">
        <v>30</v>
      </c>
      <c r="H313" s="2"/>
      <c r="I313" s="2"/>
      <c r="J313" s="22" t="str">
        <f t="shared" si="37"/>
        <v>3#3#166|3#4#333|3#5#166|3#6#333|3#7#166|3#8#333</v>
      </c>
      <c r="K313" s="22" t="s">
        <v>3327</v>
      </c>
      <c r="L313" s="33" t="str">
        <f t="shared" si="39"/>
        <v>神品升星石6/元宝136000</v>
      </c>
      <c r="M313" s="22">
        <v>40</v>
      </c>
    </row>
    <row r="314" spans="1:13" ht="15.75" x14ac:dyDescent="0.3">
      <c r="A314" s="22" t="s">
        <v>49</v>
      </c>
      <c r="B314" s="22" t="s">
        <v>33</v>
      </c>
      <c r="C314" s="22" t="s">
        <v>1921</v>
      </c>
      <c r="D314" s="2"/>
      <c r="E314" s="2"/>
      <c r="F314" s="23" t="s">
        <v>3211</v>
      </c>
      <c r="G314" s="22">
        <v>31</v>
      </c>
      <c r="H314" s="2"/>
      <c r="I314" s="2"/>
      <c r="J314" s="22" t="str">
        <f t="shared" si="37"/>
        <v>3#3#172|3#4#344|3#5#172|3#6#344|3#7#172|3#8#344</v>
      </c>
      <c r="K314" s="22" t="s">
        <v>3328</v>
      </c>
      <c r="L314" s="33" t="str">
        <f t="shared" si="39"/>
        <v>神品升星石6/元宝136000</v>
      </c>
      <c r="M314" s="22">
        <v>30</v>
      </c>
    </row>
    <row r="315" spans="1:13" ht="15.75" x14ac:dyDescent="0.3">
      <c r="A315" s="22" t="s">
        <v>49</v>
      </c>
      <c r="B315" s="22" t="s">
        <v>33</v>
      </c>
      <c r="C315" s="22" t="s">
        <v>1921</v>
      </c>
      <c r="D315" s="2"/>
      <c r="E315" s="2"/>
      <c r="F315" s="23" t="s">
        <v>3213</v>
      </c>
      <c r="G315" s="22">
        <v>32</v>
      </c>
      <c r="H315" s="2"/>
      <c r="I315" s="2"/>
      <c r="J315" s="22" t="str">
        <f t="shared" si="37"/>
        <v>3#3#177|3#4#355|3#5#177|3#6#355|3#7#177|3#8#355</v>
      </c>
      <c r="K315" s="22" t="s">
        <v>3329</v>
      </c>
      <c r="L315" s="33" t="str">
        <f t="shared" si="39"/>
        <v>神品升星石7/元宝142000</v>
      </c>
      <c r="M315" s="22">
        <v>25</v>
      </c>
    </row>
    <row r="316" spans="1:13" ht="15.75" x14ac:dyDescent="0.3">
      <c r="A316" s="22" t="s">
        <v>49</v>
      </c>
      <c r="B316" s="22" t="s">
        <v>33</v>
      </c>
      <c r="C316" s="22" t="s">
        <v>1921</v>
      </c>
      <c r="D316" s="2"/>
      <c r="E316" s="2"/>
      <c r="F316" s="23" t="s">
        <v>3215</v>
      </c>
      <c r="G316" s="22">
        <v>33</v>
      </c>
      <c r="H316" s="2"/>
      <c r="I316" s="2"/>
      <c r="J316" s="22" t="str">
        <f t="shared" si="37"/>
        <v>3#3#183|3#4#366|3#5#183|3#6#366|3#7#183|3#8#366</v>
      </c>
      <c r="K316" s="22" t="s">
        <v>3330</v>
      </c>
      <c r="L316" s="33" t="str">
        <f t="shared" si="39"/>
        <v>神品升星石7/元宝142000</v>
      </c>
      <c r="M316" s="22">
        <v>20</v>
      </c>
    </row>
    <row r="317" spans="1:13" ht="15.75" x14ac:dyDescent="0.3">
      <c r="A317" s="22" t="s">
        <v>49</v>
      </c>
      <c r="B317" s="22" t="s">
        <v>33</v>
      </c>
      <c r="C317" s="22" t="s">
        <v>1921</v>
      </c>
      <c r="D317" s="2"/>
      <c r="E317" s="2"/>
      <c r="F317" s="23" t="s">
        <v>3217</v>
      </c>
      <c r="G317" s="22">
        <v>34</v>
      </c>
      <c r="H317" s="2"/>
      <c r="I317" s="2"/>
      <c r="J317" s="22" t="str">
        <f t="shared" si="37"/>
        <v>3#3#188|3#4#377|3#5#188|3#6#377|3#7#188|3#8#377</v>
      </c>
      <c r="K317" s="22" t="s">
        <v>3331</v>
      </c>
      <c r="L317" s="33" t="str">
        <f t="shared" si="39"/>
        <v>神品升星石7/元宝148000</v>
      </c>
      <c r="M317" s="22">
        <v>15</v>
      </c>
    </row>
    <row r="318" spans="1:13" ht="15.75" x14ac:dyDescent="0.3">
      <c r="A318" s="22" t="s">
        <v>49</v>
      </c>
      <c r="B318" s="22" t="s">
        <v>33</v>
      </c>
      <c r="C318" s="22" t="s">
        <v>1921</v>
      </c>
      <c r="D318" s="2"/>
      <c r="E318" s="2"/>
      <c r="F318" s="23" t="s">
        <v>3219</v>
      </c>
      <c r="G318" s="22">
        <v>35</v>
      </c>
      <c r="H318" s="2"/>
      <c r="I318" s="2"/>
      <c r="J318" s="22" t="str">
        <f t="shared" si="37"/>
        <v>3#3#194|3#4#388|3#5#194|3#6#388|3#7#194|3#8#388</v>
      </c>
      <c r="K318" s="22" t="s">
        <v>3332</v>
      </c>
      <c r="L318" s="33" t="str">
        <f t="shared" si="39"/>
        <v>神品升星石7/元宝148000</v>
      </c>
      <c r="M318" s="22">
        <v>10</v>
      </c>
    </row>
    <row r="319" spans="1:13" ht="15.75" x14ac:dyDescent="0.3">
      <c r="A319" s="22" t="s">
        <v>49</v>
      </c>
      <c r="B319" s="22" t="s">
        <v>33</v>
      </c>
      <c r="C319" s="22" t="s">
        <v>1921</v>
      </c>
      <c r="D319" s="2"/>
      <c r="E319" s="2"/>
      <c r="F319" s="23" t="s">
        <v>3221</v>
      </c>
      <c r="G319" s="22">
        <v>36</v>
      </c>
      <c r="H319" s="2"/>
      <c r="I319" s="2"/>
      <c r="J319" s="22" t="str">
        <f t="shared" si="37"/>
        <v>3#3#200|3#4#400|3#5#200|3#6#400|3#7#200|3#8#400</v>
      </c>
      <c r="K319" s="22" t="s">
        <v>3333</v>
      </c>
      <c r="L319" s="2"/>
      <c r="M319" s="22"/>
    </row>
    <row r="320" spans="1:13" ht="15.75" x14ac:dyDescent="0.3">
      <c r="A320" s="22" t="s">
        <v>49</v>
      </c>
      <c r="B320" s="22" t="s">
        <v>33</v>
      </c>
      <c r="C320" s="22" t="s">
        <v>1921</v>
      </c>
      <c r="D320" s="2"/>
      <c r="E320" s="2"/>
      <c r="F320" s="23" t="s">
        <v>3223</v>
      </c>
      <c r="G320" s="22">
        <v>37</v>
      </c>
      <c r="H320" s="2"/>
      <c r="I320" s="2"/>
      <c r="J320" s="22"/>
      <c r="K320" s="22"/>
      <c r="L320" s="2"/>
      <c r="M320" s="22"/>
    </row>
    <row r="321" spans="1:13" ht="15.75" x14ac:dyDescent="0.3">
      <c r="A321" s="22" t="s">
        <v>49</v>
      </c>
      <c r="B321" s="22" t="s">
        <v>33</v>
      </c>
      <c r="C321" s="22" t="s">
        <v>1921</v>
      </c>
      <c r="D321" s="2"/>
      <c r="E321" s="2"/>
      <c r="F321" s="23" t="s">
        <v>3224</v>
      </c>
      <c r="G321" s="22">
        <v>38</v>
      </c>
      <c r="H321" s="2"/>
      <c r="I321" s="2"/>
      <c r="J321" s="22"/>
      <c r="K321" s="22"/>
      <c r="L321" s="2"/>
      <c r="M321" s="22"/>
    </row>
    <row r="322" spans="1:13" ht="15.75" x14ac:dyDescent="0.3">
      <c r="A322" s="22" t="s">
        <v>49</v>
      </c>
      <c r="B322" s="22" t="s">
        <v>33</v>
      </c>
      <c r="C322" s="22" t="s">
        <v>1921</v>
      </c>
      <c r="D322" s="2"/>
      <c r="E322" s="2"/>
      <c r="F322" s="23" t="s">
        <v>3225</v>
      </c>
      <c r="G322" s="22">
        <v>39</v>
      </c>
      <c r="H322" s="2"/>
      <c r="I322" s="2"/>
      <c r="J322" s="22"/>
      <c r="K322" s="22"/>
      <c r="L322" s="2"/>
      <c r="M322" s="22"/>
    </row>
    <row r="323" spans="1:13" ht="15.75" x14ac:dyDescent="0.3">
      <c r="A323" s="22" t="s">
        <v>49</v>
      </c>
      <c r="B323" s="22" t="s">
        <v>33</v>
      </c>
      <c r="C323" s="22" t="s">
        <v>1922</v>
      </c>
      <c r="D323" s="22"/>
      <c r="E323" s="22"/>
      <c r="F323" s="23" t="s">
        <v>3168</v>
      </c>
      <c r="G323" s="22">
        <v>0</v>
      </c>
      <c r="H323" s="32"/>
      <c r="I323" s="22"/>
      <c r="J323" s="22"/>
      <c r="K323" s="22"/>
      <c r="L323" s="33" t="str">
        <f>"凡品升星石"&amp;X4&amp;"/元宝"&amp;Y4</f>
        <v>凡品升星石16/元宝32000</v>
      </c>
      <c r="M323" s="22">
        <v>100</v>
      </c>
    </row>
    <row r="324" spans="1:13" ht="15.75" x14ac:dyDescent="0.3">
      <c r="A324" s="22" t="s">
        <v>49</v>
      </c>
      <c r="B324" s="22" t="s">
        <v>33</v>
      </c>
      <c r="C324" s="22" t="s">
        <v>1922</v>
      </c>
      <c r="D324" s="22"/>
      <c r="E324" s="22"/>
      <c r="F324" s="23" t="s">
        <v>3169</v>
      </c>
      <c r="G324" s="22">
        <v>1</v>
      </c>
      <c r="H324" s="32"/>
      <c r="I324" s="22"/>
      <c r="J3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324" s="22"/>
      <c r="L324" s="33" t="str">
        <f t="shared" ref="L324:L334" si="40">"凡品升星石"&amp;X5&amp;"/元宝"&amp;Y5</f>
        <v>凡品升星石16/元宝32000</v>
      </c>
      <c r="M324" s="22">
        <v>100</v>
      </c>
    </row>
    <row r="325" spans="1:13" ht="15.75" x14ac:dyDescent="0.3">
      <c r="A325" s="22" t="s">
        <v>49</v>
      </c>
      <c r="B325" s="22" t="s">
        <v>33</v>
      </c>
      <c r="C325" s="22" t="s">
        <v>1922</v>
      </c>
      <c r="D325" s="2"/>
      <c r="E325" s="2"/>
      <c r="F325" s="23" t="s">
        <v>3170</v>
      </c>
      <c r="G325" s="22">
        <v>2</v>
      </c>
      <c r="H325" s="2"/>
      <c r="I325" s="2"/>
      <c r="J325" s="22" t="str">
        <f t="shared" ref="J325:J359" si="41">"3#3#"&amp;INT(0.5*S5)&amp;"|"&amp;"3#4#"&amp;S5&amp;"|"&amp;"3#5#"&amp;INT(0.5*S5)&amp;"|"&amp;"3#6#"&amp;S5&amp;"|"&amp;"3#7#"&amp;INT(0.5*S5)&amp;"|"&amp;"3#8#"&amp;S5</f>
        <v>3#3#5|3#4#11|3#5#5|3#6#11|3#7#5|3#8#11</v>
      </c>
      <c r="K325" s="22"/>
      <c r="L325" s="33" t="str">
        <f t="shared" si="40"/>
        <v>凡品升星石19/元宝38000</v>
      </c>
      <c r="M325" s="22">
        <v>100</v>
      </c>
    </row>
    <row r="326" spans="1:13" ht="15.75" x14ac:dyDescent="0.3">
      <c r="A326" s="22" t="s">
        <v>49</v>
      </c>
      <c r="B326" s="22" t="s">
        <v>33</v>
      </c>
      <c r="C326" s="22" t="s">
        <v>1922</v>
      </c>
      <c r="D326" s="2"/>
      <c r="E326" s="2"/>
      <c r="F326" s="23" t="s">
        <v>3171</v>
      </c>
      <c r="G326" s="22">
        <v>3</v>
      </c>
      <c r="H326" s="2"/>
      <c r="I326" s="2"/>
      <c r="J326" s="22" t="str">
        <f t="shared" si="41"/>
        <v>3#3#8|3#4#16|3#5#8|3#6#16|3#7#8|3#8#16</v>
      </c>
      <c r="K326" s="22"/>
      <c r="L326" s="33" t="str">
        <f t="shared" si="40"/>
        <v>凡品升星石19/元宝38000</v>
      </c>
      <c r="M326" s="22">
        <v>90</v>
      </c>
    </row>
    <row r="327" spans="1:13" ht="15.75" x14ac:dyDescent="0.3">
      <c r="A327" s="22" t="s">
        <v>49</v>
      </c>
      <c r="B327" s="22" t="s">
        <v>33</v>
      </c>
      <c r="C327" s="22" t="s">
        <v>1922</v>
      </c>
      <c r="D327" s="2"/>
      <c r="E327" s="2"/>
      <c r="F327" s="23" t="s">
        <v>3172</v>
      </c>
      <c r="G327" s="22">
        <v>4</v>
      </c>
      <c r="H327" s="2"/>
      <c r="I327" s="2"/>
      <c r="J327" s="22" t="str">
        <f t="shared" si="41"/>
        <v>3#3#11|3#4#22|3#5#11|3#6#22|3#7#11|3#8#22</v>
      </c>
      <c r="K327" s="22"/>
      <c r="L327" s="33" t="str">
        <f t="shared" si="40"/>
        <v>凡品升星石22/元宝44000</v>
      </c>
      <c r="M327" s="22">
        <v>80</v>
      </c>
    </row>
    <row r="328" spans="1:13" ht="15.75" x14ac:dyDescent="0.3">
      <c r="A328" s="22" t="s">
        <v>49</v>
      </c>
      <c r="B328" s="22" t="s">
        <v>33</v>
      </c>
      <c r="C328" s="22" t="s">
        <v>1922</v>
      </c>
      <c r="D328" s="2"/>
      <c r="E328" s="2"/>
      <c r="F328" s="23" t="s">
        <v>3173</v>
      </c>
      <c r="G328" s="22">
        <v>5</v>
      </c>
      <c r="H328" s="2"/>
      <c r="I328" s="2"/>
      <c r="J328" s="22" t="str">
        <f t="shared" si="41"/>
        <v>3#3#16|3#4#33|3#5#16|3#6#33|3#7#16|3#8#33</v>
      </c>
      <c r="K328" s="22"/>
      <c r="L328" s="33" t="str">
        <f t="shared" si="40"/>
        <v>凡品升星石22/元宝44000</v>
      </c>
      <c r="M328" s="22">
        <v>70</v>
      </c>
    </row>
    <row r="329" spans="1:13" ht="15.75" x14ac:dyDescent="0.3">
      <c r="A329" s="22" t="s">
        <v>49</v>
      </c>
      <c r="B329" s="22" t="s">
        <v>33</v>
      </c>
      <c r="C329" s="22" t="s">
        <v>1922</v>
      </c>
      <c r="D329" s="2"/>
      <c r="E329" s="2"/>
      <c r="F329" s="23" t="s">
        <v>3174</v>
      </c>
      <c r="G329" s="22">
        <v>6</v>
      </c>
      <c r="H329" s="2"/>
      <c r="I329" s="2"/>
      <c r="J329" s="22" t="str">
        <f t="shared" si="41"/>
        <v>3#3#19|3#4#39|3#5#19|3#6#39|3#7#19|3#8#39</v>
      </c>
      <c r="K329" s="22"/>
      <c r="L329" s="33" t="str">
        <f t="shared" si="40"/>
        <v>凡品升星石26/元宝52000</v>
      </c>
      <c r="M329" s="22">
        <v>60</v>
      </c>
    </row>
    <row r="330" spans="1:13" ht="15.75" x14ac:dyDescent="0.3">
      <c r="A330" s="22" t="s">
        <v>49</v>
      </c>
      <c r="B330" s="22" t="s">
        <v>33</v>
      </c>
      <c r="C330" s="22" t="s">
        <v>1922</v>
      </c>
      <c r="D330" s="2"/>
      <c r="E330" s="2"/>
      <c r="F330" s="23" t="s">
        <v>3175</v>
      </c>
      <c r="G330" s="22">
        <v>7</v>
      </c>
      <c r="H330" s="2"/>
      <c r="I330" s="2"/>
      <c r="J330" s="22" t="str">
        <f t="shared" si="41"/>
        <v>3#3#23|3#4#46|3#5#23|3#6#46|3#7#23|3#8#46</v>
      </c>
      <c r="K330" s="22" t="s">
        <v>3316</v>
      </c>
      <c r="L330" s="33" t="str">
        <f t="shared" si="40"/>
        <v>凡品升星石26/元宝52000</v>
      </c>
      <c r="M330" s="22">
        <v>50</v>
      </c>
    </row>
    <row r="331" spans="1:13" ht="15.75" x14ac:dyDescent="0.3">
      <c r="A331" s="22" t="s">
        <v>49</v>
      </c>
      <c r="B331" s="22" t="s">
        <v>33</v>
      </c>
      <c r="C331" s="22" t="s">
        <v>1922</v>
      </c>
      <c r="D331" s="2"/>
      <c r="E331" s="2"/>
      <c r="F331" s="23" t="s">
        <v>3177</v>
      </c>
      <c r="G331" s="22">
        <v>8</v>
      </c>
      <c r="H331" s="2"/>
      <c r="I331" s="2"/>
      <c r="J331" s="22" t="str">
        <f t="shared" si="41"/>
        <v>3#3#26|3#4#52|3#5#26|3#6#52|3#7#26|3#8#52</v>
      </c>
      <c r="K331" s="22" t="s">
        <v>3317</v>
      </c>
      <c r="L331" s="33" t="str">
        <f t="shared" si="40"/>
        <v>凡品升星石32/元宝64000</v>
      </c>
      <c r="M331" s="22">
        <v>40</v>
      </c>
    </row>
    <row r="332" spans="1:13" ht="15.75" x14ac:dyDescent="0.3">
      <c r="A332" s="22" t="s">
        <v>49</v>
      </c>
      <c r="B332" s="22" t="s">
        <v>33</v>
      </c>
      <c r="C332" s="22" t="s">
        <v>1922</v>
      </c>
      <c r="D332" s="2"/>
      <c r="E332" s="2"/>
      <c r="F332" s="23" t="s">
        <v>3179</v>
      </c>
      <c r="G332" s="22">
        <v>9</v>
      </c>
      <c r="H332" s="2"/>
      <c r="I332" s="2"/>
      <c r="J332" s="22" t="str">
        <f t="shared" si="41"/>
        <v>3#3#35|3#4#70|3#5#35|3#6#70|3#7#35|3#8#70</v>
      </c>
      <c r="K332" s="22" t="s">
        <v>3318</v>
      </c>
      <c r="L332" s="33" t="str">
        <f t="shared" si="40"/>
        <v>凡品升星石32/元宝64000</v>
      </c>
      <c r="M332" s="22">
        <v>30</v>
      </c>
    </row>
    <row r="333" spans="1:13" ht="15.75" x14ac:dyDescent="0.3">
      <c r="A333" s="22" t="s">
        <v>49</v>
      </c>
      <c r="B333" s="22" t="s">
        <v>33</v>
      </c>
      <c r="C333" s="22" t="s">
        <v>1922</v>
      </c>
      <c r="D333" s="2"/>
      <c r="E333" s="2"/>
      <c r="F333" s="23" t="s">
        <v>3181</v>
      </c>
      <c r="G333" s="22">
        <v>10</v>
      </c>
      <c r="H333" s="2"/>
      <c r="I333" s="2"/>
      <c r="J333" s="22" t="str">
        <f t="shared" si="41"/>
        <v>3#3#38|3#4#77|3#5#38|3#6#77|3#7#38|3#8#77</v>
      </c>
      <c r="K333" s="22" t="s">
        <v>3319</v>
      </c>
      <c r="L333" s="33" t="str">
        <f t="shared" si="40"/>
        <v>凡品升星石37/元宝74000</v>
      </c>
      <c r="M333" s="22">
        <v>20</v>
      </c>
    </row>
    <row r="334" spans="1:13" ht="15.75" x14ac:dyDescent="0.3">
      <c r="A334" s="22" t="s">
        <v>49</v>
      </c>
      <c r="B334" s="22" t="s">
        <v>33</v>
      </c>
      <c r="C334" s="22" t="s">
        <v>1922</v>
      </c>
      <c r="D334" s="2"/>
      <c r="E334" s="2"/>
      <c r="F334" s="23" t="s">
        <v>3183</v>
      </c>
      <c r="G334" s="22">
        <v>11</v>
      </c>
      <c r="H334" s="2"/>
      <c r="I334" s="2"/>
      <c r="J334" s="22" t="str">
        <f t="shared" si="41"/>
        <v>3#3#42|3#4#85|3#5#42|3#6#85|3#7#42|3#8#85</v>
      </c>
      <c r="K334" s="22" t="s">
        <v>3320</v>
      </c>
      <c r="L334" s="33" t="str">
        <f t="shared" si="40"/>
        <v>凡品升星石37/元宝74000</v>
      </c>
      <c r="M334" s="22">
        <v>15</v>
      </c>
    </row>
    <row r="335" spans="1:13" ht="15.75" x14ac:dyDescent="0.3">
      <c r="A335" s="22" t="s">
        <v>49</v>
      </c>
      <c r="B335" s="22" t="s">
        <v>33</v>
      </c>
      <c r="C335" s="22" t="s">
        <v>1922</v>
      </c>
      <c r="D335" s="2"/>
      <c r="E335" s="2"/>
      <c r="F335" s="23" t="s">
        <v>3185</v>
      </c>
      <c r="G335" s="22">
        <v>12</v>
      </c>
      <c r="H335" s="2"/>
      <c r="I335" s="2"/>
      <c r="J335" s="22" t="str">
        <f t="shared" si="41"/>
        <v>3#3#46|3#4#93|3#5#46|3#6#93|3#7#46|3#8#93</v>
      </c>
      <c r="K335" s="22" t="s">
        <v>3321</v>
      </c>
      <c r="L335" s="33" t="str">
        <f>"仙品升星石"&amp;INT(X16/2)&amp;"/元宝"&amp;Y16</f>
        <v>仙品升星石19/元宝78000</v>
      </c>
      <c r="M335" s="22">
        <v>100</v>
      </c>
    </row>
    <row r="336" spans="1:13" ht="15.75" x14ac:dyDescent="0.3">
      <c r="A336" s="22" t="s">
        <v>49</v>
      </c>
      <c r="B336" s="22" t="s">
        <v>33</v>
      </c>
      <c r="C336" s="22" t="s">
        <v>1922</v>
      </c>
      <c r="D336" s="2"/>
      <c r="E336" s="2"/>
      <c r="F336" s="23" t="s">
        <v>3187</v>
      </c>
      <c r="G336" s="22">
        <v>13</v>
      </c>
      <c r="H336" s="2"/>
      <c r="I336" s="2"/>
      <c r="J336" s="22" t="str">
        <f t="shared" si="41"/>
        <v>3#3#54|3#4#108|3#5#54|3#6#108|3#7#54|3#8#108</v>
      </c>
      <c r="K336" s="22" t="s">
        <v>3321</v>
      </c>
      <c r="L336" s="33" t="str">
        <f t="shared" ref="L336:L346" si="42">"仙品升星石"&amp;INT(X17/2)&amp;"/元宝"&amp;Y17</f>
        <v>仙品升星石19/元宝78000</v>
      </c>
      <c r="M336" s="22">
        <v>100</v>
      </c>
    </row>
    <row r="337" spans="1:13" ht="15.75" x14ac:dyDescent="0.3">
      <c r="A337" s="22" t="s">
        <v>49</v>
      </c>
      <c r="B337" s="22" t="s">
        <v>33</v>
      </c>
      <c r="C337" s="22" t="s">
        <v>1922</v>
      </c>
      <c r="D337" s="2"/>
      <c r="E337" s="2"/>
      <c r="F337" s="23" t="s">
        <v>3188</v>
      </c>
      <c r="G337" s="22">
        <v>14</v>
      </c>
      <c r="H337" s="2"/>
      <c r="I337" s="2"/>
      <c r="J337" s="22" t="str">
        <f t="shared" si="41"/>
        <v>3#3#58|3#4#116|3#5#58|3#6#116|3#7#58|3#8#116</v>
      </c>
      <c r="K337" s="22" t="s">
        <v>3321</v>
      </c>
      <c r="L337" s="33" t="str">
        <f t="shared" si="42"/>
        <v>仙品升星石21/元宝84000</v>
      </c>
      <c r="M337" s="22">
        <v>100</v>
      </c>
    </row>
    <row r="338" spans="1:13" ht="15.75" x14ac:dyDescent="0.3">
      <c r="A338" s="22" t="s">
        <v>49</v>
      </c>
      <c r="B338" s="22" t="s">
        <v>33</v>
      </c>
      <c r="C338" s="22" t="s">
        <v>1922</v>
      </c>
      <c r="D338" s="2"/>
      <c r="E338" s="2"/>
      <c r="F338" s="23" t="s">
        <v>3189</v>
      </c>
      <c r="G338" s="22">
        <v>15</v>
      </c>
      <c r="H338" s="2"/>
      <c r="I338" s="2"/>
      <c r="J338" s="22" t="str">
        <f t="shared" si="41"/>
        <v>3#3#62|3#4#124|3#5#62|3#6#124|3#7#62|3#8#124</v>
      </c>
      <c r="K338" s="22" t="s">
        <v>3321</v>
      </c>
      <c r="L338" s="33" t="str">
        <f t="shared" si="42"/>
        <v>仙品升星石21/元宝84000</v>
      </c>
      <c r="M338" s="22">
        <v>70</v>
      </c>
    </row>
    <row r="339" spans="1:13" ht="15.75" x14ac:dyDescent="0.3">
      <c r="A339" s="22" t="s">
        <v>49</v>
      </c>
      <c r="B339" s="22" t="s">
        <v>33</v>
      </c>
      <c r="C339" s="22" t="s">
        <v>1922</v>
      </c>
      <c r="D339" s="2"/>
      <c r="E339" s="2"/>
      <c r="F339" s="23" t="s">
        <v>3190</v>
      </c>
      <c r="G339" s="22">
        <v>16</v>
      </c>
      <c r="H339" s="2"/>
      <c r="I339" s="2"/>
      <c r="J339" s="22" t="str">
        <f t="shared" si="41"/>
        <v>3#3#66|3#4#132|3#5#66|3#6#132|3#7#66|3#8#132</v>
      </c>
      <c r="K339" s="22" t="s">
        <v>3321</v>
      </c>
      <c r="L339" s="33" t="str">
        <f t="shared" si="42"/>
        <v>仙品升星石23/元宝92000</v>
      </c>
      <c r="M339" s="22">
        <v>60</v>
      </c>
    </row>
    <row r="340" spans="1:13" ht="15.75" x14ac:dyDescent="0.3">
      <c r="A340" s="22" t="s">
        <v>49</v>
      </c>
      <c r="B340" s="22" t="s">
        <v>33</v>
      </c>
      <c r="C340" s="22" t="s">
        <v>1922</v>
      </c>
      <c r="D340" s="2"/>
      <c r="E340" s="2"/>
      <c r="F340" s="23" t="s">
        <v>3191</v>
      </c>
      <c r="G340" s="22">
        <v>17</v>
      </c>
      <c r="H340" s="2"/>
      <c r="I340" s="2"/>
      <c r="J340" s="22" t="str">
        <f t="shared" si="41"/>
        <v>3#3#79|3#4#159|3#5#79|3#6#159|3#7#79|3#8#159</v>
      </c>
      <c r="K340" s="22" t="s">
        <v>3321</v>
      </c>
      <c r="L340" s="33" t="str">
        <f t="shared" si="42"/>
        <v>仙品升星石23/元宝92000</v>
      </c>
      <c r="M340" s="22">
        <v>50</v>
      </c>
    </row>
    <row r="341" spans="1:13" ht="15.75" x14ac:dyDescent="0.3">
      <c r="A341" s="22" t="s">
        <v>49</v>
      </c>
      <c r="B341" s="22" t="s">
        <v>33</v>
      </c>
      <c r="C341" s="22" t="s">
        <v>1922</v>
      </c>
      <c r="D341" s="2"/>
      <c r="E341" s="2"/>
      <c r="F341" s="23" t="s">
        <v>3192</v>
      </c>
      <c r="G341" s="22">
        <v>18</v>
      </c>
      <c r="H341" s="2"/>
      <c r="I341" s="2"/>
      <c r="J341" s="22" t="str">
        <f t="shared" si="41"/>
        <v>3#3#85|3#4#170|3#5#85|3#6#170|3#7#85|3#8#170</v>
      </c>
      <c r="K341" s="22" t="s">
        <v>3322</v>
      </c>
      <c r="L341" s="33" t="str">
        <f t="shared" si="42"/>
        <v>仙品升星石24/元宝98000</v>
      </c>
      <c r="M341" s="22">
        <v>40</v>
      </c>
    </row>
    <row r="342" spans="1:13" ht="15.75" x14ac:dyDescent="0.3">
      <c r="A342" s="22" t="s">
        <v>49</v>
      </c>
      <c r="B342" s="22" t="s">
        <v>33</v>
      </c>
      <c r="C342" s="22" t="s">
        <v>1922</v>
      </c>
      <c r="D342" s="2"/>
      <c r="E342" s="2"/>
      <c r="F342" s="23" t="s">
        <v>3194</v>
      </c>
      <c r="G342" s="22">
        <v>19</v>
      </c>
      <c r="H342" s="2"/>
      <c r="I342" s="2"/>
      <c r="J342" s="22" t="str">
        <f t="shared" si="41"/>
        <v>3#3#89|3#4#179|3#5#89|3#6#179|3#7#89|3#8#179</v>
      </c>
      <c r="K342" s="22" t="s">
        <v>3323</v>
      </c>
      <c r="L342" s="33" t="str">
        <f t="shared" si="42"/>
        <v>仙品升星石24/元宝98000</v>
      </c>
      <c r="M342" s="22">
        <v>30</v>
      </c>
    </row>
    <row r="343" spans="1:13" ht="15.75" x14ac:dyDescent="0.3">
      <c r="A343" s="22" t="s">
        <v>49</v>
      </c>
      <c r="B343" s="22" t="s">
        <v>33</v>
      </c>
      <c r="C343" s="22" t="s">
        <v>1922</v>
      </c>
      <c r="D343" s="2"/>
      <c r="E343" s="2"/>
      <c r="F343" s="23" t="s">
        <v>3196</v>
      </c>
      <c r="G343" s="22">
        <v>20</v>
      </c>
      <c r="H343" s="2"/>
      <c r="I343" s="2"/>
      <c r="J343" s="22" t="str">
        <f t="shared" si="41"/>
        <v>3#3#94|3#4#188|3#5#94|3#6#188|3#7#94|3#8#188</v>
      </c>
      <c r="K343" s="22" t="s">
        <v>3323</v>
      </c>
      <c r="L343" s="33" t="str">
        <f t="shared" si="42"/>
        <v>仙品升星石26/元宝104000</v>
      </c>
      <c r="M343" s="22">
        <v>25</v>
      </c>
    </row>
    <row r="344" spans="1:13" ht="15.75" x14ac:dyDescent="0.3">
      <c r="A344" s="22" t="s">
        <v>49</v>
      </c>
      <c r="B344" s="22" t="s">
        <v>33</v>
      </c>
      <c r="C344" s="22" t="s">
        <v>1922</v>
      </c>
      <c r="D344" s="2"/>
      <c r="E344" s="2"/>
      <c r="F344" s="23" t="s">
        <v>3197</v>
      </c>
      <c r="G344" s="22">
        <v>21</v>
      </c>
      <c r="H344" s="2"/>
      <c r="I344" s="2"/>
      <c r="J344" s="22" t="str">
        <f t="shared" si="41"/>
        <v>3#3#110|3#4#221|3#5#110|3#6#221|3#7#110|3#8#221</v>
      </c>
      <c r="K344" s="22" t="s">
        <v>3324</v>
      </c>
      <c r="L344" s="33" t="str">
        <f t="shared" si="42"/>
        <v>仙品升星石26/元宝104000</v>
      </c>
      <c r="M344" s="22">
        <v>20</v>
      </c>
    </row>
    <row r="345" spans="1:13" ht="15.75" x14ac:dyDescent="0.3">
      <c r="A345" s="22" t="s">
        <v>49</v>
      </c>
      <c r="B345" s="22" t="s">
        <v>33</v>
      </c>
      <c r="C345" s="22" t="s">
        <v>1922</v>
      </c>
      <c r="D345" s="2"/>
      <c r="E345" s="2"/>
      <c r="F345" s="23" t="s">
        <v>3199</v>
      </c>
      <c r="G345" s="22">
        <v>22</v>
      </c>
      <c r="H345" s="2"/>
      <c r="I345" s="2"/>
      <c r="J345" s="22" t="str">
        <f t="shared" si="41"/>
        <v>3#3#115|3#4#231|3#5#115|3#6#231|3#7#115|3#8#231</v>
      </c>
      <c r="K345" s="22" t="s">
        <v>3325</v>
      </c>
      <c r="L345" s="33" t="str">
        <f t="shared" si="42"/>
        <v>仙品升星石27/元宝110000</v>
      </c>
      <c r="M345" s="22">
        <v>15</v>
      </c>
    </row>
    <row r="346" spans="1:13" ht="15.75" x14ac:dyDescent="0.3">
      <c r="A346" s="22" t="s">
        <v>49</v>
      </c>
      <c r="B346" s="22" t="s">
        <v>33</v>
      </c>
      <c r="C346" s="22" t="s">
        <v>1922</v>
      </c>
      <c r="D346" s="2"/>
      <c r="E346" s="2"/>
      <c r="F346" s="23" t="s">
        <v>3201</v>
      </c>
      <c r="G346" s="22">
        <v>23</v>
      </c>
      <c r="H346" s="2"/>
      <c r="I346" s="2"/>
      <c r="J346" s="22" t="str">
        <f t="shared" si="41"/>
        <v>3#3#121|3#4#242|3#5#121|3#6#242|3#7#121|3#8#242</v>
      </c>
      <c r="K346" s="22" t="s">
        <v>3326</v>
      </c>
      <c r="L346" s="33" t="str">
        <f t="shared" si="42"/>
        <v>仙品升星石27/元宝110000</v>
      </c>
      <c r="M346" s="22">
        <v>10</v>
      </c>
    </row>
    <row r="347" spans="1:13" ht="15.75" x14ac:dyDescent="0.3">
      <c r="A347" s="22" t="s">
        <v>49</v>
      </c>
      <c r="B347" s="22" t="s">
        <v>33</v>
      </c>
      <c r="C347" s="22" t="s">
        <v>1922</v>
      </c>
      <c r="D347" s="2"/>
      <c r="E347" s="2"/>
      <c r="F347" s="23" t="s">
        <v>3203</v>
      </c>
      <c r="G347" s="22">
        <v>24</v>
      </c>
      <c r="H347" s="2"/>
      <c r="I347" s="2"/>
      <c r="J347" s="22" t="str">
        <f t="shared" si="41"/>
        <v>3#3#126|3#4#252|3#5#126|3#6#252|3#7#126|3#8#252</v>
      </c>
      <c r="K347" s="22" t="s">
        <v>3327</v>
      </c>
      <c r="L347" s="33" t="str">
        <f>"神品升星石"&amp;INT(X28/10)&amp;"/元宝"&amp;Y28</f>
        <v>神品升星石5/元宝116000</v>
      </c>
      <c r="M347" s="22">
        <v>100</v>
      </c>
    </row>
    <row r="348" spans="1:13" ht="15.75" x14ac:dyDescent="0.3">
      <c r="A348" s="22" t="s">
        <v>49</v>
      </c>
      <c r="B348" s="22" t="s">
        <v>33</v>
      </c>
      <c r="C348" s="22" t="s">
        <v>1922</v>
      </c>
      <c r="D348" s="2"/>
      <c r="E348" s="2"/>
      <c r="F348" s="23" t="s">
        <v>3205</v>
      </c>
      <c r="G348" s="22">
        <v>25</v>
      </c>
      <c r="H348" s="2"/>
      <c r="I348" s="2"/>
      <c r="J348" s="22" t="str">
        <f t="shared" si="41"/>
        <v>3#3#138|3#4#277|3#5#138|3#6#277|3#7#138|3#8#277</v>
      </c>
      <c r="K348" s="22" t="s">
        <v>3327</v>
      </c>
      <c r="L348" s="33" t="str">
        <f t="shared" ref="L348:L358" si="43">"神品升星石"&amp;INT(X29/10)&amp;"/元宝"&amp;Y29</f>
        <v>神品升星石5/元宝116000</v>
      </c>
      <c r="M348" s="22">
        <v>100</v>
      </c>
    </row>
    <row r="349" spans="1:13" ht="15.75" x14ac:dyDescent="0.3">
      <c r="A349" s="22" t="s">
        <v>49</v>
      </c>
      <c r="B349" s="22" t="s">
        <v>33</v>
      </c>
      <c r="C349" s="22" t="s">
        <v>1922</v>
      </c>
      <c r="D349" s="2"/>
      <c r="E349" s="2"/>
      <c r="F349" s="23" t="s">
        <v>3206</v>
      </c>
      <c r="G349" s="22">
        <v>26</v>
      </c>
      <c r="H349" s="2"/>
      <c r="I349" s="2"/>
      <c r="J349" s="22" t="str">
        <f t="shared" si="41"/>
        <v>3#3#144|3#4#288|3#5#144|3#6#288|3#7#144|3#8#288</v>
      </c>
      <c r="K349" s="22" t="s">
        <v>3327</v>
      </c>
      <c r="L349" s="33" t="str">
        <f t="shared" si="43"/>
        <v>神品升星石6/元宝122000</v>
      </c>
      <c r="M349" s="22">
        <v>100</v>
      </c>
    </row>
    <row r="350" spans="1:13" ht="15.75" x14ac:dyDescent="0.3">
      <c r="A350" s="22" t="s">
        <v>49</v>
      </c>
      <c r="B350" s="22" t="s">
        <v>33</v>
      </c>
      <c r="C350" s="22" t="s">
        <v>1922</v>
      </c>
      <c r="D350" s="2"/>
      <c r="E350" s="2"/>
      <c r="F350" s="23" t="s">
        <v>3207</v>
      </c>
      <c r="G350" s="22">
        <v>27</v>
      </c>
      <c r="H350" s="2"/>
      <c r="I350" s="2"/>
      <c r="J350" s="22" t="str">
        <f t="shared" si="41"/>
        <v>3#3#150|3#4#300|3#5#150|3#6#300|3#7#150|3#8#300</v>
      </c>
      <c r="K350" s="22" t="s">
        <v>3327</v>
      </c>
      <c r="L350" s="33" t="str">
        <f t="shared" si="43"/>
        <v>神品升星石6/元宝122000</v>
      </c>
      <c r="M350" s="22">
        <v>70</v>
      </c>
    </row>
    <row r="351" spans="1:13" ht="15.75" x14ac:dyDescent="0.3">
      <c r="A351" s="22" t="s">
        <v>49</v>
      </c>
      <c r="B351" s="22" t="s">
        <v>33</v>
      </c>
      <c r="C351" s="22" t="s">
        <v>1922</v>
      </c>
      <c r="D351" s="2"/>
      <c r="E351" s="2"/>
      <c r="F351" s="23" t="s">
        <v>3208</v>
      </c>
      <c r="G351" s="22">
        <v>28</v>
      </c>
      <c r="H351" s="2"/>
      <c r="I351" s="2"/>
      <c r="J351" s="22" t="str">
        <f t="shared" si="41"/>
        <v>3#3#155|3#4#311|3#5#155|3#6#311|3#7#155|3#8#311</v>
      </c>
      <c r="K351" s="22" t="s">
        <v>3327</v>
      </c>
      <c r="L351" s="33" t="str">
        <f t="shared" si="43"/>
        <v>神品升星石6/元宝130000</v>
      </c>
      <c r="M351" s="22">
        <v>60</v>
      </c>
    </row>
    <row r="352" spans="1:13" ht="15.75" x14ac:dyDescent="0.3">
      <c r="A352" s="22" t="s">
        <v>49</v>
      </c>
      <c r="B352" s="22" t="s">
        <v>33</v>
      </c>
      <c r="C352" s="22" t="s">
        <v>1922</v>
      </c>
      <c r="D352" s="2"/>
      <c r="E352" s="2"/>
      <c r="F352" s="23" t="s">
        <v>3209</v>
      </c>
      <c r="G352" s="22">
        <v>29</v>
      </c>
      <c r="H352" s="2"/>
      <c r="I352" s="2"/>
      <c r="J352" s="22" t="str">
        <f t="shared" si="41"/>
        <v>3#3#161|3#4#322|3#5#161|3#6#322|3#7#161|3#8#322</v>
      </c>
      <c r="K352" s="22" t="s">
        <v>3327</v>
      </c>
      <c r="L352" s="33" t="str">
        <f t="shared" si="43"/>
        <v>神品升星石6/元宝130000</v>
      </c>
      <c r="M352" s="22">
        <v>50</v>
      </c>
    </row>
    <row r="353" spans="1:13" ht="15.75" x14ac:dyDescent="0.3">
      <c r="A353" s="22" t="s">
        <v>49</v>
      </c>
      <c r="B353" s="22" t="s">
        <v>33</v>
      </c>
      <c r="C353" s="22" t="s">
        <v>1922</v>
      </c>
      <c r="D353" s="2"/>
      <c r="E353" s="2"/>
      <c r="F353" s="23" t="s">
        <v>3210</v>
      </c>
      <c r="G353" s="22">
        <v>30</v>
      </c>
      <c r="H353" s="2"/>
      <c r="I353" s="2"/>
      <c r="J353" s="22" t="str">
        <f t="shared" si="41"/>
        <v>3#3#166|3#4#333|3#5#166|3#6#333|3#7#166|3#8#333</v>
      </c>
      <c r="K353" s="22" t="s">
        <v>3327</v>
      </c>
      <c r="L353" s="33" t="str">
        <f t="shared" si="43"/>
        <v>神品升星石6/元宝136000</v>
      </c>
      <c r="M353" s="22">
        <v>40</v>
      </c>
    </row>
    <row r="354" spans="1:13" ht="15.75" x14ac:dyDescent="0.3">
      <c r="A354" s="22" t="s">
        <v>49</v>
      </c>
      <c r="B354" s="22" t="s">
        <v>33</v>
      </c>
      <c r="C354" s="22" t="s">
        <v>1922</v>
      </c>
      <c r="D354" s="2"/>
      <c r="E354" s="2"/>
      <c r="F354" s="23" t="s">
        <v>3211</v>
      </c>
      <c r="G354" s="22">
        <v>31</v>
      </c>
      <c r="H354" s="2"/>
      <c r="I354" s="2"/>
      <c r="J354" s="22" t="str">
        <f t="shared" si="41"/>
        <v>3#3#172|3#4#344|3#5#172|3#6#344|3#7#172|3#8#344</v>
      </c>
      <c r="K354" s="22" t="s">
        <v>3328</v>
      </c>
      <c r="L354" s="33" t="str">
        <f t="shared" si="43"/>
        <v>神品升星石6/元宝136000</v>
      </c>
      <c r="M354" s="22">
        <v>30</v>
      </c>
    </row>
    <row r="355" spans="1:13" ht="15.75" x14ac:dyDescent="0.3">
      <c r="A355" s="22" t="s">
        <v>49</v>
      </c>
      <c r="B355" s="22" t="s">
        <v>33</v>
      </c>
      <c r="C355" s="22" t="s">
        <v>1922</v>
      </c>
      <c r="D355" s="2"/>
      <c r="E355" s="2"/>
      <c r="F355" s="23" t="s">
        <v>3213</v>
      </c>
      <c r="G355" s="22">
        <v>32</v>
      </c>
      <c r="H355" s="2"/>
      <c r="I355" s="2"/>
      <c r="J355" s="22" t="str">
        <f t="shared" si="41"/>
        <v>3#3#177|3#4#355|3#5#177|3#6#355|3#7#177|3#8#355</v>
      </c>
      <c r="K355" s="22" t="s">
        <v>3329</v>
      </c>
      <c r="L355" s="33" t="str">
        <f t="shared" si="43"/>
        <v>神品升星石7/元宝142000</v>
      </c>
      <c r="M355" s="22">
        <v>25</v>
      </c>
    </row>
    <row r="356" spans="1:13" ht="15.75" x14ac:dyDescent="0.3">
      <c r="A356" s="22" t="s">
        <v>49</v>
      </c>
      <c r="B356" s="22" t="s">
        <v>33</v>
      </c>
      <c r="C356" s="22" t="s">
        <v>1922</v>
      </c>
      <c r="D356" s="2"/>
      <c r="E356" s="2"/>
      <c r="F356" s="23" t="s">
        <v>3215</v>
      </c>
      <c r="G356" s="22">
        <v>33</v>
      </c>
      <c r="H356" s="2"/>
      <c r="I356" s="2"/>
      <c r="J356" s="22" t="str">
        <f t="shared" si="41"/>
        <v>3#3#183|3#4#366|3#5#183|3#6#366|3#7#183|3#8#366</v>
      </c>
      <c r="K356" s="22" t="s">
        <v>3330</v>
      </c>
      <c r="L356" s="33" t="str">
        <f t="shared" si="43"/>
        <v>神品升星石7/元宝142000</v>
      </c>
      <c r="M356" s="22">
        <v>20</v>
      </c>
    </row>
    <row r="357" spans="1:13" ht="15.75" x14ac:dyDescent="0.3">
      <c r="A357" s="22" t="s">
        <v>49</v>
      </c>
      <c r="B357" s="22" t="s">
        <v>33</v>
      </c>
      <c r="C357" s="22" t="s">
        <v>1922</v>
      </c>
      <c r="D357" s="2"/>
      <c r="E357" s="2"/>
      <c r="F357" s="23" t="s">
        <v>3217</v>
      </c>
      <c r="G357" s="22">
        <v>34</v>
      </c>
      <c r="H357" s="2"/>
      <c r="I357" s="2"/>
      <c r="J357" s="22" t="str">
        <f t="shared" si="41"/>
        <v>3#3#188|3#4#377|3#5#188|3#6#377|3#7#188|3#8#377</v>
      </c>
      <c r="K357" s="22" t="s">
        <v>3331</v>
      </c>
      <c r="L357" s="33" t="str">
        <f t="shared" si="43"/>
        <v>神品升星石7/元宝148000</v>
      </c>
      <c r="M357" s="22">
        <v>15</v>
      </c>
    </row>
    <row r="358" spans="1:13" ht="15.75" x14ac:dyDescent="0.3">
      <c r="A358" s="22" t="s">
        <v>49</v>
      </c>
      <c r="B358" s="22" t="s">
        <v>33</v>
      </c>
      <c r="C358" s="22" t="s">
        <v>1922</v>
      </c>
      <c r="D358" s="2"/>
      <c r="E358" s="2"/>
      <c r="F358" s="23" t="s">
        <v>3219</v>
      </c>
      <c r="G358" s="22">
        <v>35</v>
      </c>
      <c r="H358" s="2"/>
      <c r="I358" s="2"/>
      <c r="J358" s="22" t="str">
        <f t="shared" si="41"/>
        <v>3#3#194|3#4#388|3#5#194|3#6#388|3#7#194|3#8#388</v>
      </c>
      <c r="K358" s="22" t="s">
        <v>3332</v>
      </c>
      <c r="L358" s="33" t="str">
        <f t="shared" si="43"/>
        <v>神品升星石7/元宝148000</v>
      </c>
      <c r="M358" s="22">
        <v>10</v>
      </c>
    </row>
    <row r="359" spans="1:13" ht="15.75" x14ac:dyDescent="0.3">
      <c r="A359" s="22" t="s">
        <v>49</v>
      </c>
      <c r="B359" s="22" t="s">
        <v>33</v>
      </c>
      <c r="C359" s="22" t="s">
        <v>1922</v>
      </c>
      <c r="D359" s="2"/>
      <c r="E359" s="2"/>
      <c r="F359" s="23" t="s">
        <v>3221</v>
      </c>
      <c r="G359" s="22">
        <v>36</v>
      </c>
      <c r="H359" s="2"/>
      <c r="I359" s="2"/>
      <c r="J359" s="22" t="str">
        <f t="shared" si="41"/>
        <v>3#3#200|3#4#400|3#5#200|3#6#400|3#7#200|3#8#400</v>
      </c>
      <c r="K359" s="22" t="s">
        <v>3333</v>
      </c>
      <c r="L359" s="2"/>
      <c r="M359" s="22"/>
    </row>
    <row r="360" spans="1:13" ht="15.75" x14ac:dyDescent="0.3">
      <c r="A360" s="22" t="s">
        <v>49</v>
      </c>
      <c r="B360" s="22" t="s">
        <v>33</v>
      </c>
      <c r="C360" s="22" t="s">
        <v>1922</v>
      </c>
      <c r="D360" s="2"/>
      <c r="E360" s="2"/>
      <c r="F360" s="23" t="s">
        <v>3223</v>
      </c>
      <c r="G360" s="22">
        <v>37</v>
      </c>
      <c r="H360" s="2"/>
      <c r="I360" s="2"/>
      <c r="J360" s="22"/>
      <c r="K360" s="22"/>
      <c r="L360" s="2"/>
      <c r="M360" s="22"/>
    </row>
    <row r="361" spans="1:13" ht="15.75" x14ac:dyDescent="0.3">
      <c r="A361" s="22" t="s">
        <v>49</v>
      </c>
      <c r="B361" s="22" t="s">
        <v>33</v>
      </c>
      <c r="C361" s="22" t="s">
        <v>1922</v>
      </c>
      <c r="D361" s="2"/>
      <c r="E361" s="2"/>
      <c r="F361" s="23" t="s">
        <v>3224</v>
      </c>
      <c r="G361" s="22">
        <v>38</v>
      </c>
      <c r="H361" s="2"/>
      <c r="I361" s="2"/>
      <c r="J361" s="22"/>
      <c r="K361" s="22"/>
      <c r="L361" s="2"/>
      <c r="M361" s="22"/>
    </row>
    <row r="362" spans="1:13" ht="15.75" x14ac:dyDescent="0.3">
      <c r="A362" s="22" t="s">
        <v>49</v>
      </c>
      <c r="B362" s="22" t="s">
        <v>33</v>
      </c>
      <c r="C362" s="22" t="s">
        <v>1922</v>
      </c>
      <c r="D362" s="2"/>
      <c r="E362" s="2"/>
      <c r="F362" s="23" t="s">
        <v>3225</v>
      </c>
      <c r="G362" s="22">
        <v>39</v>
      </c>
      <c r="H362" s="2"/>
      <c r="I362" s="2"/>
      <c r="J362" s="22"/>
      <c r="K362" s="22"/>
      <c r="L362" s="2"/>
      <c r="M362" s="22"/>
    </row>
  </sheetData>
  <mergeCells count="6">
    <mergeCell ref="N2:Q2"/>
    <mergeCell ref="R2:S2"/>
    <mergeCell ref="AA2:AL2"/>
    <mergeCell ref="T2:U2"/>
    <mergeCell ref="V2:W2"/>
    <mergeCell ref="X2:Y2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装备强化!S4:S39</xm:f>
              <xm:sqref>S40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2:AH508"/>
  <sheetViews>
    <sheetView topLeftCell="R25" workbookViewId="0">
      <selection activeCell="AG59" sqref="AG59"/>
    </sheetView>
  </sheetViews>
  <sheetFormatPr defaultRowHeight="14.25" x14ac:dyDescent="0.2"/>
  <cols>
    <col min="2" max="2" width="13.375" customWidth="1"/>
    <col min="5" max="5" width="39.25" bestFit="1" customWidth="1"/>
    <col min="6" max="6" width="37.625" customWidth="1"/>
    <col min="7" max="7" width="12.625" customWidth="1"/>
    <col min="8" max="8" width="12.625" style="139" customWidth="1"/>
    <col min="11" max="12" width="19.375" customWidth="1"/>
    <col min="14" max="14" width="52.625" customWidth="1"/>
    <col min="17" max="19" width="9" style="159"/>
    <col min="21" max="22" width="12.25" style="159" customWidth="1"/>
    <col min="23" max="24" width="9.625" style="159" customWidth="1"/>
    <col min="25" max="26" width="9" style="159"/>
    <col min="27" max="29" width="9.75" customWidth="1"/>
    <col min="30" max="30" width="11.875" bestFit="1" customWidth="1"/>
    <col min="31" max="31" width="40.5" bestFit="1" customWidth="1"/>
    <col min="32" max="32" width="11.625" bestFit="1" customWidth="1"/>
    <col min="33" max="33" width="40.5" bestFit="1" customWidth="1"/>
  </cols>
  <sheetData>
    <row r="2" spans="1:34" ht="18" x14ac:dyDescent="0.2">
      <c r="A2" s="21" t="s">
        <v>49</v>
      </c>
      <c r="B2" s="21" t="s">
        <v>50</v>
      </c>
      <c r="C2" s="21" t="s">
        <v>54</v>
      </c>
      <c r="D2" s="21" t="s">
        <v>55</v>
      </c>
      <c r="E2" s="21" t="s">
        <v>77</v>
      </c>
      <c r="F2" s="21" t="s">
        <v>62</v>
      </c>
      <c r="G2" s="21" t="s">
        <v>3167</v>
      </c>
      <c r="H2" s="110"/>
      <c r="I2" s="21" t="s">
        <v>49</v>
      </c>
      <c r="J2" s="21" t="s">
        <v>50</v>
      </c>
      <c r="K2" s="21" t="s">
        <v>54</v>
      </c>
      <c r="L2" s="21" t="s">
        <v>55</v>
      </c>
      <c r="M2" s="21" t="s">
        <v>3340</v>
      </c>
      <c r="N2" s="103" t="s">
        <v>77</v>
      </c>
      <c r="O2" s="265" t="s">
        <v>40</v>
      </c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/>
      <c r="AB2" s="265"/>
      <c r="AC2" s="265"/>
      <c r="AD2" s="21" t="s">
        <v>3773</v>
      </c>
      <c r="AE2" s="265" t="s">
        <v>3782</v>
      </c>
      <c r="AF2" s="265"/>
      <c r="AG2" s="265" t="s">
        <v>3805</v>
      </c>
      <c r="AH2" s="265"/>
    </row>
    <row r="3" spans="1:34" ht="18" x14ac:dyDescent="0.3">
      <c r="A3" s="35" t="s">
        <v>40</v>
      </c>
      <c r="B3" s="35" t="s">
        <v>3341</v>
      </c>
      <c r="C3" s="41" t="s">
        <v>78</v>
      </c>
      <c r="D3" s="35">
        <v>0</v>
      </c>
      <c r="E3" s="36"/>
      <c r="F3" s="190" t="str">
        <f>"中品注灵石"&amp;AG4&amp;"/元宝"&amp;AH4</f>
        <v>中品注灵石5/元宝20000</v>
      </c>
      <c r="G3" s="35">
        <v>100</v>
      </c>
      <c r="H3" s="112"/>
      <c r="I3" s="41" t="s">
        <v>40</v>
      </c>
      <c r="J3" s="41" t="s">
        <v>3342</v>
      </c>
      <c r="K3" s="41" t="s">
        <v>3343</v>
      </c>
      <c r="L3" s="41">
        <v>1</v>
      </c>
      <c r="M3" s="41">
        <v>5</v>
      </c>
      <c r="N3" s="140" t="str">
        <f>"3#1#"&amp;AA8&amp;"|"&amp;"3#3#"&amp;AB8&amp;"|"&amp;"3#4#"&amp;AB8&amp;"|"&amp;"3#5#"&amp;AB8&amp;"|"&amp;"3#6#"&amp;AB8&amp;"|"&amp;"3#7#"&amp;AB8&amp;"|"&amp;"3#8#"&amp;AB8&amp;"|"&amp;"3#9#"&amp;AC8&amp;"|"&amp;"3#10#"&amp;AC8&amp;"|"&amp;"3#11#"&amp;AC8&amp;"|"&amp;"3#12#"&amp;AC8</f>
        <v>3#1#100|3#3#5|3#4#5|3#5#5|3#6#5|3#7#5|3#8#5|3#9#5|3#10#5|3#11#5|3#12#5</v>
      </c>
      <c r="O3" s="21" t="s">
        <v>55</v>
      </c>
      <c r="P3" s="21" t="s">
        <v>3798</v>
      </c>
      <c r="Q3" s="205" t="s">
        <v>3439</v>
      </c>
      <c r="R3" s="205" t="s">
        <v>3440</v>
      </c>
      <c r="S3" s="205" t="s">
        <v>3441</v>
      </c>
      <c r="T3" s="63" t="s">
        <v>3336</v>
      </c>
      <c r="U3" s="205" t="s">
        <v>3433</v>
      </c>
      <c r="V3" s="205" t="s">
        <v>3442</v>
      </c>
      <c r="W3" s="205" t="s">
        <v>3434</v>
      </c>
      <c r="X3" s="205" t="s">
        <v>3442</v>
      </c>
      <c r="Y3" s="205" t="s">
        <v>3435</v>
      </c>
      <c r="Z3" s="205" t="s">
        <v>3442</v>
      </c>
      <c r="AA3" s="21" t="s">
        <v>3436</v>
      </c>
      <c r="AB3" s="21" t="s">
        <v>3437</v>
      </c>
      <c r="AC3" s="21" t="s">
        <v>3438</v>
      </c>
      <c r="AD3" s="21" t="s">
        <v>3758</v>
      </c>
      <c r="AE3" s="21" t="s">
        <v>3786</v>
      </c>
      <c r="AF3" s="21" t="s">
        <v>3777</v>
      </c>
      <c r="AG3" s="21" t="s">
        <v>3786</v>
      </c>
      <c r="AH3" s="21" t="s">
        <v>3777</v>
      </c>
    </row>
    <row r="4" spans="1:34" ht="16.5" x14ac:dyDescent="0.3">
      <c r="A4" s="35" t="s">
        <v>40</v>
      </c>
      <c r="B4" s="35" t="s">
        <v>3341</v>
      </c>
      <c r="C4" s="41" t="s">
        <v>3344</v>
      </c>
      <c r="D4" s="35">
        <v>1</v>
      </c>
      <c r="E4" s="36" t="str">
        <f t="shared" ref="E4:E47" si="0">"3#3#"&amp;INT(1/3*X4)&amp;"|"&amp;"3#4#"&amp;INT(1/3*X4)&amp;"|"&amp;"3#5#"&amp;INT(1/3*X4)&amp;"|"&amp;"3#6#"&amp;INT(1/3*X4)&amp;"|"&amp;"3#7#"&amp;INT(1/3*X4)&amp;"|"&amp;"3#8#"&amp;INT(1/3*X4)</f>
        <v>3#3#1|3#4#1|3#5#1|3#6#1|3#7#1|3#8#1</v>
      </c>
      <c r="F4" s="190" t="str">
        <f t="shared" ref="F4:F17" si="1">"中品注灵石"&amp;AG5&amp;"/元宝"&amp;AH5</f>
        <v>中品注灵石6/元宝24000</v>
      </c>
      <c r="G4" s="35">
        <v>100</v>
      </c>
      <c r="H4" s="112"/>
      <c r="I4" s="41" t="s">
        <v>40</v>
      </c>
      <c r="J4" s="41" t="s">
        <v>3342</v>
      </c>
      <c r="K4" s="41" t="s">
        <v>3345</v>
      </c>
      <c r="L4" s="41">
        <v>2</v>
      </c>
      <c r="M4" s="41">
        <v>10</v>
      </c>
      <c r="N4" s="140" t="str">
        <f>"3#1#"&amp;AA13&amp;"|"&amp;"3#3#"&amp;AB13&amp;"|"&amp;"3#4#"&amp;AB13&amp;"|"&amp;"3#5#"&amp;AB13&amp;"|"&amp;"3#6#"&amp;AB13&amp;"|"&amp;"3#7#"&amp;AB13&amp;"|"&amp;"3#8#"&amp;AB13&amp;"|"&amp;"3#9#"&amp;AC13&amp;"|"&amp;"3#10#"&amp;AC13&amp;"|"&amp;"3#11#"&amp;AC13&amp;"|"&amp;"3#12#"&amp;AC13</f>
        <v>3#1#300|3#3#15|3#4#15|3#5#15|3#6#15|3#7#15|3#8#15|3#9#15|3#10#15|3#11#15|3#12#15</v>
      </c>
      <c r="O4" s="8">
        <v>1</v>
      </c>
      <c r="P4" s="8">
        <f>材料产出!C4</f>
        <v>0.5</v>
      </c>
      <c r="Q4" s="158"/>
      <c r="R4" s="158"/>
      <c r="S4" s="158"/>
      <c r="T4" s="97">
        <v>0.6</v>
      </c>
      <c r="U4" s="158">
        <f t="shared" ref="U4:U46" si="2">INT(O4/O$48*U$48)</f>
        <v>200</v>
      </c>
      <c r="V4" s="158">
        <f t="shared" ref="V4:V47" si="3">U4*T4</f>
        <v>120</v>
      </c>
      <c r="W4" s="158">
        <f t="shared" ref="W4:W45" si="4">INT(O4/O$48*W$48)</f>
        <v>6</v>
      </c>
      <c r="X4" s="158">
        <f t="shared" ref="X4:X47" si="5">INT(W4*T4)</f>
        <v>3</v>
      </c>
      <c r="Y4" s="158">
        <f t="shared" ref="Y4:Y46" si="6">INT(O4/O$48*Y$48)</f>
        <v>6</v>
      </c>
      <c r="Z4" s="158">
        <f t="shared" ref="Z4:Z47" si="7">INT(Y4*T4)</f>
        <v>3</v>
      </c>
      <c r="AA4" s="8"/>
      <c r="AB4" s="8"/>
      <c r="AC4" s="8"/>
      <c r="AD4" s="8"/>
      <c r="AE4" s="8"/>
      <c r="AF4" s="8"/>
      <c r="AG4" s="8">
        <f>ROUND(AE$48*1/45*P4/11,0)</f>
        <v>5</v>
      </c>
      <c r="AH4" s="8">
        <f t="shared" ref="AH4:AH46" si="8">AG4*4000</f>
        <v>20000</v>
      </c>
    </row>
    <row r="5" spans="1:34" ht="16.5" x14ac:dyDescent="0.3">
      <c r="A5" s="35" t="s">
        <v>40</v>
      </c>
      <c r="B5" s="35" t="s">
        <v>3341</v>
      </c>
      <c r="C5" s="41" t="s">
        <v>3346</v>
      </c>
      <c r="D5" s="35">
        <v>2</v>
      </c>
      <c r="E5" s="36" t="str">
        <f t="shared" si="0"/>
        <v>3#3#2|3#4#2|3#5#2|3#6#2|3#7#2|3#8#2</v>
      </c>
      <c r="F5" s="190" t="str">
        <f t="shared" si="1"/>
        <v>中品注灵石6/元宝24000</v>
      </c>
      <c r="G5" s="35">
        <v>100</v>
      </c>
      <c r="H5" s="112"/>
      <c r="I5" s="41" t="s">
        <v>40</v>
      </c>
      <c r="J5" s="41" t="s">
        <v>3342</v>
      </c>
      <c r="K5" s="41" t="s">
        <v>3347</v>
      </c>
      <c r="L5" s="41">
        <v>3</v>
      </c>
      <c r="M5" s="41">
        <v>15</v>
      </c>
      <c r="N5" s="140" t="str">
        <f>"3#1#"&amp;AA18&amp;"|"&amp;"3#3#"&amp;AB18&amp;"|"&amp;"3#4#"&amp;AB18&amp;"|"&amp;"3#5#"&amp;AB18&amp;"|"&amp;"3#6#"&amp;AB18&amp;"|"&amp;"3#7#"&amp;AB18&amp;"|"&amp;"3#8#"&amp;AB18&amp;"|"&amp;"3#9#"&amp;AC18&amp;"|"&amp;"3#10#"&amp;AC18&amp;"|"&amp;"3#11#"&amp;AC18&amp;"|"&amp;"3#12#"&amp;AC18</f>
        <v>3#1#600|3#3#30|3#4#30|3#5#30|3#6#30|3#7#30|3#8#30|3#9#30|3#10#30|3#11#30|3#12#30</v>
      </c>
      <c r="O5" s="8">
        <v>2</v>
      </c>
      <c r="P5" s="8">
        <f>(P$8-P$4)*1/4+P$4</f>
        <v>0.57499999999999996</v>
      </c>
      <c r="Q5" s="158"/>
      <c r="R5" s="158"/>
      <c r="S5" s="158"/>
      <c r="T5" s="97">
        <v>0.6</v>
      </c>
      <c r="U5" s="158">
        <f t="shared" si="2"/>
        <v>400</v>
      </c>
      <c r="V5" s="158">
        <f t="shared" si="3"/>
        <v>240</v>
      </c>
      <c r="W5" s="158">
        <f t="shared" si="4"/>
        <v>13</v>
      </c>
      <c r="X5" s="158">
        <f t="shared" si="5"/>
        <v>7</v>
      </c>
      <c r="Y5" s="158">
        <f t="shared" si="6"/>
        <v>13</v>
      </c>
      <c r="Z5" s="158">
        <f t="shared" si="7"/>
        <v>7</v>
      </c>
      <c r="AA5" s="8"/>
      <c r="AB5" s="8"/>
      <c r="AC5" s="8"/>
      <c r="AD5" s="8"/>
      <c r="AE5" s="8"/>
      <c r="AF5" s="8"/>
      <c r="AG5" s="8">
        <f t="shared" ref="AG5:AG46" si="9">ROUND(AE$48*1/45*P5/11,0)</f>
        <v>6</v>
      </c>
      <c r="AH5" s="8">
        <f t="shared" si="8"/>
        <v>24000</v>
      </c>
    </row>
    <row r="6" spans="1:34" ht="16.5" x14ac:dyDescent="0.3">
      <c r="A6" s="35" t="s">
        <v>40</v>
      </c>
      <c r="B6" s="35" t="s">
        <v>3341</v>
      </c>
      <c r="C6" s="41" t="s">
        <v>3348</v>
      </c>
      <c r="D6" s="35">
        <v>3</v>
      </c>
      <c r="E6" s="36" t="str">
        <f t="shared" si="0"/>
        <v>3#3#4|3#4#4|3#5#4|3#6#4|3#7#4|3#8#4</v>
      </c>
      <c r="F6" s="190" t="str">
        <f t="shared" si="1"/>
        <v>中品注灵石7/元宝28000</v>
      </c>
      <c r="G6" s="35">
        <v>100</v>
      </c>
      <c r="H6" s="112"/>
      <c r="I6" s="41" t="s">
        <v>40</v>
      </c>
      <c r="J6" s="41" t="s">
        <v>3342</v>
      </c>
      <c r="K6" s="41" t="s">
        <v>3349</v>
      </c>
      <c r="L6" s="41">
        <v>4</v>
      </c>
      <c r="M6" s="41">
        <v>20</v>
      </c>
      <c r="N6" s="140" t="str">
        <f>"3#1#"&amp;AA23&amp;"|"&amp;"3#3#"&amp;AB23&amp;"|"&amp;"3#4#"&amp;AB23&amp;"|"&amp;"3#5#"&amp;AB23&amp;"|"&amp;"3#6#"&amp;AB23&amp;"|"&amp;"3#7#"&amp;AB23&amp;"|"&amp;"3#8#"&amp;AB23&amp;"|"&amp;"3#9#"&amp;AC23&amp;"|"&amp;"3#10#"&amp;AC23&amp;"|"&amp;"3#11#"&amp;AC23&amp;"|"&amp;"3#12#"&amp;AC23</f>
        <v>3#1#1000|3#3#50|3#4#50|3#5#50|3#6#50|3#7#50|3#8#50|3#9#50|3#10#50|3#11#50|3#12#50</v>
      </c>
      <c r="O6" s="8">
        <v>3</v>
      </c>
      <c r="P6" s="8">
        <f>(P$8-P$4)*2/4+P$4</f>
        <v>0.65</v>
      </c>
      <c r="Q6" s="158"/>
      <c r="R6" s="158"/>
      <c r="S6" s="158"/>
      <c r="T6" s="97">
        <v>0.6</v>
      </c>
      <c r="U6" s="158">
        <f t="shared" si="2"/>
        <v>600</v>
      </c>
      <c r="V6" s="158">
        <f t="shared" si="3"/>
        <v>360</v>
      </c>
      <c r="W6" s="158">
        <f t="shared" si="4"/>
        <v>20</v>
      </c>
      <c r="X6" s="158">
        <f t="shared" si="5"/>
        <v>12</v>
      </c>
      <c r="Y6" s="158">
        <f t="shared" si="6"/>
        <v>20</v>
      </c>
      <c r="Z6" s="158">
        <f t="shared" si="7"/>
        <v>12</v>
      </c>
      <c r="AA6" s="8"/>
      <c r="AB6" s="8"/>
      <c r="AC6" s="8"/>
      <c r="AD6" s="8"/>
      <c r="AE6" s="8"/>
      <c r="AF6" s="8"/>
      <c r="AG6" s="8">
        <f t="shared" si="9"/>
        <v>6</v>
      </c>
      <c r="AH6" s="8">
        <f t="shared" si="8"/>
        <v>24000</v>
      </c>
    </row>
    <row r="7" spans="1:34" ht="16.5" x14ac:dyDescent="0.3">
      <c r="A7" s="35" t="s">
        <v>40</v>
      </c>
      <c r="B7" s="35" t="s">
        <v>3341</v>
      </c>
      <c r="C7" s="41" t="s">
        <v>3350</v>
      </c>
      <c r="D7" s="35">
        <v>4</v>
      </c>
      <c r="E7" s="36" t="str">
        <f t="shared" si="0"/>
        <v>3#3#5|3#4#5|3#5#5|3#6#5|3#7#5|3#8#5</v>
      </c>
      <c r="F7" s="190" t="str">
        <f t="shared" si="1"/>
        <v>中品注灵石8/元宝32000</v>
      </c>
      <c r="G7" s="35">
        <v>100</v>
      </c>
      <c r="H7" s="112"/>
      <c r="I7" s="41" t="s">
        <v>40</v>
      </c>
      <c r="J7" s="41" t="s">
        <v>3342</v>
      </c>
      <c r="K7" s="41" t="s">
        <v>3351</v>
      </c>
      <c r="L7" s="41">
        <v>5</v>
      </c>
      <c r="M7" s="41">
        <v>25</v>
      </c>
      <c r="N7" s="140" t="str">
        <f>"3#1#"&amp;AA28&amp;"|"&amp;"3#3#"&amp;AB28&amp;"|"&amp;"3#4#"&amp;AB28&amp;"|"&amp;"3#5#"&amp;AB28&amp;"|"&amp;"3#6#"&amp;AB28&amp;"|"&amp;"3#7#"&amp;AB28&amp;"|"&amp;"3#8#"&amp;AB28&amp;"|"&amp;"3#9#"&amp;AC28&amp;"|"&amp;"3#10#"&amp;AC28&amp;"|"&amp;"3#11#"&amp;AC28&amp;"|"&amp;"3#12#"&amp;AC28</f>
        <v>3#1#1500|3#3#75|3#4#75|3#5#75|3#6#75|3#7#75|3#8#75|3#9#75|3#10#75|3#11#75|3#12#75</v>
      </c>
      <c r="O7" s="8">
        <v>4</v>
      </c>
      <c r="P7" s="8">
        <f>(P$8-P$4)*3/4+P$4</f>
        <v>0.72500000000000009</v>
      </c>
      <c r="Q7" s="158"/>
      <c r="R7" s="158"/>
      <c r="S7" s="158"/>
      <c r="T7" s="97">
        <v>0.6</v>
      </c>
      <c r="U7" s="158">
        <f t="shared" si="2"/>
        <v>800</v>
      </c>
      <c r="V7" s="158">
        <f t="shared" si="3"/>
        <v>480</v>
      </c>
      <c r="W7" s="158">
        <f t="shared" si="4"/>
        <v>26</v>
      </c>
      <c r="X7" s="158">
        <f t="shared" si="5"/>
        <v>15</v>
      </c>
      <c r="Y7" s="158">
        <f t="shared" si="6"/>
        <v>26</v>
      </c>
      <c r="Z7" s="158">
        <f t="shared" si="7"/>
        <v>15</v>
      </c>
      <c r="AA7" s="8"/>
      <c r="AB7" s="8"/>
      <c r="AC7" s="8"/>
      <c r="AD7" s="8"/>
      <c r="AE7" s="8"/>
      <c r="AF7" s="8"/>
      <c r="AG7" s="8">
        <f t="shared" si="9"/>
        <v>7</v>
      </c>
      <c r="AH7" s="8">
        <f t="shared" si="8"/>
        <v>28000</v>
      </c>
    </row>
    <row r="8" spans="1:34" ht="16.5" x14ac:dyDescent="0.3">
      <c r="A8" s="35" t="s">
        <v>40</v>
      </c>
      <c r="B8" s="35" t="s">
        <v>3341</v>
      </c>
      <c r="C8" s="41" t="s">
        <v>3352</v>
      </c>
      <c r="D8" s="35">
        <v>5</v>
      </c>
      <c r="E8" s="36" t="str">
        <f t="shared" si="0"/>
        <v>3#3#6|3#4#6|3#5#6|3#6#6|3#7#6|3#8#6</v>
      </c>
      <c r="F8" s="190" t="str">
        <f t="shared" si="1"/>
        <v>中品注灵石8/元宝32000</v>
      </c>
      <c r="G8" s="35">
        <v>100</v>
      </c>
      <c r="H8" s="112"/>
      <c r="I8" s="41" t="s">
        <v>40</v>
      </c>
      <c r="J8" s="41" t="s">
        <v>3342</v>
      </c>
      <c r="K8" s="41" t="s">
        <v>3353</v>
      </c>
      <c r="L8" s="41">
        <v>6</v>
      </c>
      <c r="M8" s="41">
        <v>30</v>
      </c>
      <c r="N8" s="140" t="str">
        <f>"3#1#"&amp;AA33&amp;"|"&amp;"3#3#"&amp;AB33&amp;"|"&amp;"3#4#"&amp;AB33&amp;"|"&amp;"3#5#"&amp;AB33&amp;"|"&amp;"3#6#"&amp;AB33&amp;"|"&amp;"3#7#"&amp;AB33&amp;"|"&amp;"3#8#"&amp;AB33&amp;"|"&amp;"3#9#"&amp;AC33&amp;"|"&amp;"3#10#"&amp;AC33&amp;"|"&amp;"3#11#"&amp;AC33&amp;"|"&amp;"3#12#"&amp;AC33</f>
        <v>3#1#2300|3#3#115|3#4#115|3#5#115|3#6#115|3#7#115|3#8#115|3#9#115|3#10#115|3#11#115|3#12#115</v>
      </c>
      <c r="O8" s="8">
        <v>5</v>
      </c>
      <c r="P8" s="8">
        <f>材料产出!C7</f>
        <v>0.8</v>
      </c>
      <c r="Q8" s="158"/>
      <c r="R8" s="158"/>
      <c r="S8" s="158"/>
      <c r="T8" s="97">
        <v>0.6</v>
      </c>
      <c r="U8" s="158">
        <f t="shared" si="2"/>
        <v>1000</v>
      </c>
      <c r="V8" s="158">
        <f t="shared" si="3"/>
        <v>600</v>
      </c>
      <c r="W8" s="158">
        <f t="shared" si="4"/>
        <v>33</v>
      </c>
      <c r="X8" s="158">
        <f t="shared" si="5"/>
        <v>19</v>
      </c>
      <c r="Y8" s="158">
        <f t="shared" si="6"/>
        <v>33</v>
      </c>
      <c r="Z8" s="158">
        <f t="shared" si="7"/>
        <v>19</v>
      </c>
      <c r="AA8" s="8">
        <f>INT(1/60*AA48)</f>
        <v>100</v>
      </c>
      <c r="AB8" s="8">
        <f>INT(1/60*AB48)</f>
        <v>5</v>
      </c>
      <c r="AC8" s="8">
        <f>INT(1/60*AC48)</f>
        <v>5</v>
      </c>
      <c r="AD8" s="8"/>
      <c r="AE8" s="8"/>
      <c r="AF8" s="8"/>
      <c r="AG8" s="8">
        <f t="shared" si="9"/>
        <v>8</v>
      </c>
      <c r="AH8" s="8">
        <f t="shared" si="8"/>
        <v>32000</v>
      </c>
    </row>
    <row r="9" spans="1:34" ht="16.5" x14ac:dyDescent="0.3">
      <c r="A9" s="35" t="s">
        <v>40</v>
      </c>
      <c r="B9" s="35" t="s">
        <v>3341</v>
      </c>
      <c r="C9" s="41" t="s">
        <v>3354</v>
      </c>
      <c r="D9" s="35">
        <v>6</v>
      </c>
      <c r="E9" s="36" t="str">
        <f t="shared" si="0"/>
        <v>3#3#8|3#4#8|3#5#8|3#6#8|3#7#8|3#8#8</v>
      </c>
      <c r="F9" s="190" t="str">
        <f t="shared" si="1"/>
        <v>中品注灵石9/元宝36000</v>
      </c>
      <c r="G9" s="35">
        <v>100</v>
      </c>
      <c r="H9" s="112"/>
      <c r="I9" s="41" t="s">
        <v>40</v>
      </c>
      <c r="J9" s="41" t="s">
        <v>3342</v>
      </c>
      <c r="K9" s="41" t="s">
        <v>3355</v>
      </c>
      <c r="L9" s="41">
        <v>7</v>
      </c>
      <c r="M9" s="41">
        <v>35</v>
      </c>
      <c r="N9" s="140" t="str">
        <f>"3#1#"&amp;AA38&amp;"|"&amp;"3#3#"&amp;AB38&amp;"|"&amp;"3#4#"&amp;AB38&amp;"|"&amp;"3#5#"&amp;AB38&amp;"|"&amp;"3#6#"&amp;AB38&amp;"|"&amp;"3#7#"&amp;AB38&amp;"|"&amp;"3#8#"&amp;AB38&amp;"|"&amp;"3#9#"&amp;AC38&amp;"|"&amp;"3#10#"&amp;AC38&amp;"|"&amp;"3#11#"&amp;AC38&amp;"|"&amp;"3#12#"&amp;AC38</f>
        <v>3#1#3300|3#3#165|3#4#165|3#5#165|3#6#165|3#7#165|3#8#165|3#9#165|3#10#165|3#11#165|3#12#165</v>
      </c>
      <c r="O9" s="8">
        <v>6</v>
      </c>
      <c r="P9" s="8">
        <f>(P$13-P$8)*1/5+P$8</f>
        <v>0.8600000000000001</v>
      </c>
      <c r="Q9" s="158"/>
      <c r="R9" s="158"/>
      <c r="S9" s="158"/>
      <c r="T9" s="97">
        <v>0.65</v>
      </c>
      <c r="U9" s="158">
        <f t="shared" si="2"/>
        <v>1200</v>
      </c>
      <c r="V9" s="158">
        <f t="shared" si="3"/>
        <v>780</v>
      </c>
      <c r="W9" s="158">
        <f t="shared" si="4"/>
        <v>40</v>
      </c>
      <c r="X9" s="158">
        <f t="shared" si="5"/>
        <v>26</v>
      </c>
      <c r="Y9" s="158">
        <f t="shared" si="6"/>
        <v>40</v>
      </c>
      <c r="Z9" s="158">
        <f t="shared" si="7"/>
        <v>26</v>
      </c>
      <c r="AA9" s="8"/>
      <c r="AB9" s="8"/>
      <c r="AC9" s="8"/>
      <c r="AD9" s="8"/>
      <c r="AE9" s="8"/>
      <c r="AF9" s="8"/>
      <c r="AG9" s="8">
        <f t="shared" si="9"/>
        <v>8</v>
      </c>
      <c r="AH9" s="8">
        <f t="shared" si="8"/>
        <v>32000</v>
      </c>
    </row>
    <row r="10" spans="1:34" ht="16.5" x14ac:dyDescent="0.3">
      <c r="A10" s="35" t="s">
        <v>40</v>
      </c>
      <c r="B10" s="35" t="s">
        <v>3341</v>
      </c>
      <c r="C10" s="41" t="s">
        <v>3356</v>
      </c>
      <c r="D10" s="35">
        <v>7</v>
      </c>
      <c r="E10" s="36" t="str">
        <f t="shared" si="0"/>
        <v>3#3#9|3#4#9|3#5#9|3#6#9|3#7#9|3#8#9</v>
      </c>
      <c r="F10" s="190" t="str">
        <f t="shared" si="1"/>
        <v>中品注灵石9/元宝36000</v>
      </c>
      <c r="G10" s="35">
        <v>100</v>
      </c>
      <c r="H10" s="112"/>
      <c r="I10" s="41" t="s">
        <v>40</v>
      </c>
      <c r="J10" s="41" t="s">
        <v>3342</v>
      </c>
      <c r="K10" s="41" t="s">
        <v>3357</v>
      </c>
      <c r="L10" s="41">
        <v>8</v>
      </c>
      <c r="M10" s="41">
        <v>40</v>
      </c>
      <c r="N10" s="140" t="str">
        <f>"3#1#"&amp;AA43&amp;"|"&amp;"3#3#"&amp;AB43&amp;"|"&amp;"3#4#"&amp;AB43&amp;"|"&amp;"3#5#"&amp;AB43&amp;"|"&amp;"3#6#"&amp;AB43&amp;"|"&amp;"3#7#"&amp;AB43&amp;"|"&amp;"3#8#"&amp;AB43&amp;"|"&amp;"3#9#"&amp;AC43&amp;"|"&amp;"3#10#"&amp;AC43&amp;"|"&amp;"3#11#"&amp;AC43&amp;"|"&amp;"3#12#"&amp;AC43</f>
        <v>3#1#4500|3#3#225|3#4#225|3#5#225|3#6#225|3#7#225|3#8#225|3#9#225|3#10#225|3#11#225|3#12#225</v>
      </c>
      <c r="O10" s="8">
        <v>7</v>
      </c>
      <c r="P10" s="8">
        <f>(P$13-P$8)*2/5+P$8</f>
        <v>0.92</v>
      </c>
      <c r="Q10" s="158"/>
      <c r="R10" s="158"/>
      <c r="S10" s="158"/>
      <c r="T10" s="97">
        <v>0.65</v>
      </c>
      <c r="U10" s="158">
        <f t="shared" si="2"/>
        <v>1400</v>
      </c>
      <c r="V10" s="158">
        <f t="shared" si="3"/>
        <v>910</v>
      </c>
      <c r="W10" s="158">
        <f t="shared" si="4"/>
        <v>46</v>
      </c>
      <c r="X10" s="158">
        <f t="shared" si="5"/>
        <v>29</v>
      </c>
      <c r="Y10" s="158">
        <f t="shared" si="6"/>
        <v>46</v>
      </c>
      <c r="Z10" s="158">
        <f t="shared" si="7"/>
        <v>29</v>
      </c>
      <c r="AA10" s="8"/>
      <c r="AB10" s="8"/>
      <c r="AC10" s="8"/>
      <c r="AD10" s="8"/>
      <c r="AE10" s="8"/>
      <c r="AF10" s="8"/>
      <c r="AG10" s="8">
        <f t="shared" si="9"/>
        <v>9</v>
      </c>
      <c r="AH10" s="8">
        <f t="shared" si="8"/>
        <v>36000</v>
      </c>
    </row>
    <row r="11" spans="1:34" ht="16.5" x14ac:dyDescent="0.3">
      <c r="A11" s="35" t="s">
        <v>40</v>
      </c>
      <c r="B11" s="35" t="s">
        <v>3341</v>
      </c>
      <c r="C11" s="41" t="s">
        <v>3358</v>
      </c>
      <c r="D11" s="35">
        <v>8</v>
      </c>
      <c r="E11" s="36" t="str">
        <f t="shared" si="0"/>
        <v>3#3#11|3#4#11|3#5#11|3#6#11|3#7#11|3#8#11</v>
      </c>
      <c r="F11" s="190" t="str">
        <f t="shared" si="1"/>
        <v>中品注灵石10/元宝40000</v>
      </c>
      <c r="G11" s="35">
        <v>100</v>
      </c>
      <c r="H11" s="112"/>
      <c r="I11" s="41" t="s">
        <v>40</v>
      </c>
      <c r="J11" s="41" t="s">
        <v>3342</v>
      </c>
      <c r="K11" s="41" t="s">
        <v>3359</v>
      </c>
      <c r="L11" s="41">
        <v>9</v>
      </c>
      <c r="M11" s="41">
        <v>45</v>
      </c>
      <c r="N11" s="140" t="str">
        <f>"3#1#"&amp;AA48&amp;"|"&amp;"3#3#"&amp;AB48&amp;"|"&amp;"3#4#"&amp;AB48&amp;"|"&amp;"3#5#"&amp;AB48&amp;"|"&amp;"3#6#"&amp;AB48&amp;"|"&amp;"3#7#"&amp;AB48&amp;"|"&amp;"3#8#"&amp;AB48&amp;"|"&amp;"3#9#"&amp;AC48&amp;"|"&amp;"3#10#"&amp;AC48&amp;"|"&amp;"3#11#"&amp;AC48&amp;"|"&amp;"3#12#"&amp;AC48</f>
        <v>3#1#6000|3#3#300|3#4#300|3#5#300|3#6#300|3#7#300|3#8#300|3#9#300|3#10#300|3#11#300|3#12#300</v>
      </c>
      <c r="O11" s="8">
        <v>8</v>
      </c>
      <c r="P11" s="8">
        <f>(P$13-P$8)*3/5+P$8</f>
        <v>0.98000000000000009</v>
      </c>
      <c r="Q11" s="158"/>
      <c r="R11" s="158"/>
      <c r="S11" s="158"/>
      <c r="T11" s="97">
        <v>0.65</v>
      </c>
      <c r="U11" s="158">
        <f t="shared" si="2"/>
        <v>1600</v>
      </c>
      <c r="V11" s="158">
        <f t="shared" si="3"/>
        <v>1040</v>
      </c>
      <c r="W11" s="158">
        <f t="shared" si="4"/>
        <v>53</v>
      </c>
      <c r="X11" s="158">
        <f t="shared" si="5"/>
        <v>34</v>
      </c>
      <c r="Y11" s="158">
        <f t="shared" si="6"/>
        <v>53</v>
      </c>
      <c r="Z11" s="158">
        <f t="shared" si="7"/>
        <v>34</v>
      </c>
      <c r="AA11" s="8"/>
      <c r="AB11" s="8"/>
      <c r="AC11" s="8"/>
      <c r="AD11" s="8"/>
      <c r="AE11" s="8"/>
      <c r="AF11" s="8"/>
      <c r="AG11" s="8">
        <f t="shared" si="9"/>
        <v>9</v>
      </c>
      <c r="AH11" s="8">
        <f t="shared" si="8"/>
        <v>36000</v>
      </c>
    </row>
    <row r="12" spans="1:34" ht="16.5" x14ac:dyDescent="0.3">
      <c r="A12" s="35" t="s">
        <v>40</v>
      </c>
      <c r="B12" s="35" t="s">
        <v>3341</v>
      </c>
      <c r="C12" s="41" t="s">
        <v>3360</v>
      </c>
      <c r="D12" s="35">
        <v>9</v>
      </c>
      <c r="E12" s="36" t="str">
        <f t="shared" si="0"/>
        <v>3#3#13|3#4#13|3#5#13|3#6#13|3#7#13|3#8#13</v>
      </c>
      <c r="F12" s="190" t="str">
        <f t="shared" si="1"/>
        <v>中品注灵石11/元宝44000</v>
      </c>
      <c r="G12" s="35">
        <v>100</v>
      </c>
      <c r="H12" s="112"/>
      <c r="O12" s="8">
        <v>9</v>
      </c>
      <c r="P12" s="8">
        <f>(P$13-P$8)*4/5+P$8</f>
        <v>1.04</v>
      </c>
      <c r="Q12" s="158"/>
      <c r="R12" s="158"/>
      <c r="S12" s="158"/>
      <c r="T12" s="97">
        <v>0.65</v>
      </c>
      <c r="U12" s="158">
        <f t="shared" si="2"/>
        <v>1800</v>
      </c>
      <c r="V12" s="158">
        <f t="shared" si="3"/>
        <v>1170</v>
      </c>
      <c r="W12" s="158">
        <f t="shared" si="4"/>
        <v>60</v>
      </c>
      <c r="X12" s="158">
        <f t="shared" si="5"/>
        <v>39</v>
      </c>
      <c r="Y12" s="158">
        <f t="shared" si="6"/>
        <v>60</v>
      </c>
      <c r="Z12" s="158">
        <f t="shared" si="7"/>
        <v>39</v>
      </c>
      <c r="AA12" s="8"/>
      <c r="AB12" s="8"/>
      <c r="AC12" s="8"/>
      <c r="AD12" s="8"/>
      <c r="AE12" s="8"/>
      <c r="AF12" s="8"/>
      <c r="AG12" s="8">
        <f t="shared" si="9"/>
        <v>10</v>
      </c>
      <c r="AH12" s="8">
        <f t="shared" si="8"/>
        <v>40000</v>
      </c>
    </row>
    <row r="13" spans="1:34" ht="16.5" x14ac:dyDescent="0.3">
      <c r="A13" s="35" t="s">
        <v>40</v>
      </c>
      <c r="B13" s="35" t="s">
        <v>3341</v>
      </c>
      <c r="C13" s="41" t="s">
        <v>3361</v>
      </c>
      <c r="D13" s="35">
        <v>10</v>
      </c>
      <c r="E13" s="36" t="str">
        <f t="shared" si="0"/>
        <v>3#3#14|3#4#14|3#5#14|3#6#14|3#7#14|3#8#14</v>
      </c>
      <c r="F13" s="190" t="str">
        <f t="shared" si="1"/>
        <v>中品注灵石11/元宝44000</v>
      </c>
      <c r="G13" s="35">
        <v>100</v>
      </c>
      <c r="H13" s="112"/>
      <c r="O13" s="8">
        <v>10</v>
      </c>
      <c r="P13" s="8">
        <f>材料产出!C10</f>
        <v>1.1000000000000001</v>
      </c>
      <c r="Q13" s="158"/>
      <c r="R13" s="158"/>
      <c r="S13" s="158"/>
      <c r="T13" s="97">
        <v>0.65</v>
      </c>
      <c r="U13" s="158">
        <f t="shared" si="2"/>
        <v>2000</v>
      </c>
      <c r="V13" s="158">
        <f t="shared" si="3"/>
        <v>1300</v>
      </c>
      <c r="W13" s="158">
        <f t="shared" si="4"/>
        <v>66</v>
      </c>
      <c r="X13" s="158">
        <f t="shared" si="5"/>
        <v>42</v>
      </c>
      <c r="Y13" s="158">
        <f t="shared" si="6"/>
        <v>66</v>
      </c>
      <c r="Z13" s="158">
        <f t="shared" si="7"/>
        <v>42</v>
      </c>
      <c r="AA13" s="8">
        <f>INT(1/20*AA48)</f>
        <v>300</v>
      </c>
      <c r="AB13" s="8">
        <f>INT(1/20*AB48)</f>
        <v>15</v>
      </c>
      <c r="AC13" s="8">
        <f>INT(1/20*AC48)</f>
        <v>15</v>
      </c>
      <c r="AD13" s="8"/>
      <c r="AE13" s="8"/>
      <c r="AF13" s="8"/>
      <c r="AG13" s="8">
        <f t="shared" si="9"/>
        <v>11</v>
      </c>
      <c r="AH13" s="8">
        <f t="shared" si="8"/>
        <v>44000</v>
      </c>
    </row>
    <row r="14" spans="1:34" ht="16.5" x14ac:dyDescent="0.3">
      <c r="A14" s="35" t="s">
        <v>40</v>
      </c>
      <c r="B14" s="35" t="s">
        <v>3341</v>
      </c>
      <c r="C14" s="41" t="s">
        <v>3362</v>
      </c>
      <c r="D14" s="35">
        <v>11</v>
      </c>
      <c r="E14" s="36" t="str">
        <f t="shared" si="0"/>
        <v>3#3#17|3#4#17|3#5#17|3#6#17|3#7#17|3#8#17</v>
      </c>
      <c r="F14" s="190" t="str">
        <f t="shared" si="1"/>
        <v>中品注灵石12/元宝48000</v>
      </c>
      <c r="G14" s="35">
        <v>100</v>
      </c>
      <c r="H14" s="112"/>
      <c r="O14" s="8">
        <v>11</v>
      </c>
      <c r="P14" s="8">
        <f>(P$18-P$13)*1/5+P$13</f>
        <v>1.1800000000000002</v>
      </c>
      <c r="Q14" s="158"/>
      <c r="R14" s="158"/>
      <c r="S14" s="158"/>
      <c r="T14" s="97">
        <v>0.7</v>
      </c>
      <c r="U14" s="158">
        <f t="shared" si="2"/>
        <v>2200</v>
      </c>
      <c r="V14" s="158">
        <f t="shared" si="3"/>
        <v>1540</v>
      </c>
      <c r="W14" s="158">
        <f t="shared" si="4"/>
        <v>73</v>
      </c>
      <c r="X14" s="158">
        <f t="shared" si="5"/>
        <v>51</v>
      </c>
      <c r="Y14" s="158">
        <f t="shared" si="6"/>
        <v>73</v>
      </c>
      <c r="Z14" s="158">
        <f t="shared" si="7"/>
        <v>51</v>
      </c>
      <c r="AA14" s="8"/>
      <c r="AB14" s="8"/>
      <c r="AC14" s="8"/>
      <c r="AD14" s="8"/>
      <c r="AE14" s="8"/>
      <c r="AF14" s="8"/>
      <c r="AG14" s="8">
        <f t="shared" si="9"/>
        <v>11</v>
      </c>
      <c r="AH14" s="8">
        <f t="shared" si="8"/>
        <v>44000</v>
      </c>
    </row>
    <row r="15" spans="1:34" ht="16.5" x14ac:dyDescent="0.3">
      <c r="A15" s="35" t="s">
        <v>40</v>
      </c>
      <c r="B15" s="35" t="s">
        <v>3341</v>
      </c>
      <c r="C15" s="41" t="s">
        <v>3363</v>
      </c>
      <c r="D15" s="35">
        <v>12</v>
      </c>
      <c r="E15" s="36" t="str">
        <f t="shared" si="0"/>
        <v>3#3#18|3#4#18|3#5#18|3#6#18|3#7#18|3#8#18</v>
      </c>
      <c r="F15" s="190" t="str">
        <f t="shared" si="1"/>
        <v>中品注灵石13/元宝52000</v>
      </c>
      <c r="G15" s="35">
        <v>100</v>
      </c>
      <c r="H15" s="112"/>
      <c r="O15" s="8">
        <v>12</v>
      </c>
      <c r="P15" s="8">
        <f>(P$18-P$13)*2/5+P$13</f>
        <v>1.26</v>
      </c>
      <c r="Q15" s="158"/>
      <c r="R15" s="158"/>
      <c r="S15" s="158"/>
      <c r="T15" s="97">
        <v>0.7</v>
      </c>
      <c r="U15" s="158">
        <f t="shared" si="2"/>
        <v>2400</v>
      </c>
      <c r="V15" s="158">
        <f t="shared" si="3"/>
        <v>1680</v>
      </c>
      <c r="W15" s="158">
        <f t="shared" si="4"/>
        <v>80</v>
      </c>
      <c r="X15" s="158">
        <f t="shared" si="5"/>
        <v>56</v>
      </c>
      <c r="Y15" s="158">
        <f t="shared" si="6"/>
        <v>80</v>
      </c>
      <c r="Z15" s="158">
        <f t="shared" si="7"/>
        <v>56</v>
      </c>
      <c r="AA15" s="8"/>
      <c r="AB15" s="8"/>
      <c r="AC15" s="8"/>
      <c r="AD15" s="8"/>
      <c r="AE15" s="8"/>
      <c r="AF15" s="8"/>
      <c r="AG15" s="8">
        <f t="shared" si="9"/>
        <v>12</v>
      </c>
      <c r="AH15" s="8">
        <f t="shared" si="8"/>
        <v>48000</v>
      </c>
    </row>
    <row r="16" spans="1:34" ht="16.5" x14ac:dyDescent="0.3">
      <c r="A16" s="35" t="s">
        <v>40</v>
      </c>
      <c r="B16" s="35" t="s">
        <v>3341</v>
      </c>
      <c r="C16" s="41" t="s">
        <v>3364</v>
      </c>
      <c r="D16" s="35">
        <v>13</v>
      </c>
      <c r="E16" s="36" t="str">
        <f t="shared" si="0"/>
        <v>3#3#20|3#4#20|3#5#20|3#6#20|3#7#20|3#8#20</v>
      </c>
      <c r="F16" s="190" t="str">
        <f t="shared" si="1"/>
        <v>中品注灵石14/元宝56000</v>
      </c>
      <c r="G16" s="35">
        <v>100</v>
      </c>
      <c r="H16" s="112"/>
      <c r="O16" s="8">
        <v>13</v>
      </c>
      <c r="P16" s="8">
        <f>(P$18-P$13)*3/5+P$13</f>
        <v>1.34</v>
      </c>
      <c r="Q16" s="158"/>
      <c r="R16" s="158"/>
      <c r="S16" s="158"/>
      <c r="T16" s="97">
        <v>0.7</v>
      </c>
      <c r="U16" s="158">
        <f t="shared" si="2"/>
        <v>2600</v>
      </c>
      <c r="V16" s="158">
        <f t="shared" si="3"/>
        <v>1819.9999999999998</v>
      </c>
      <c r="W16" s="158">
        <f t="shared" si="4"/>
        <v>86</v>
      </c>
      <c r="X16" s="158">
        <f t="shared" si="5"/>
        <v>60</v>
      </c>
      <c r="Y16" s="158">
        <f t="shared" si="6"/>
        <v>86</v>
      </c>
      <c r="Z16" s="158">
        <f t="shared" si="7"/>
        <v>60</v>
      </c>
      <c r="AA16" s="8"/>
      <c r="AB16" s="8"/>
      <c r="AC16" s="8"/>
      <c r="AD16" s="8"/>
      <c r="AE16" s="8"/>
      <c r="AF16" s="8"/>
      <c r="AG16" s="8">
        <f t="shared" si="9"/>
        <v>13</v>
      </c>
      <c r="AH16" s="8">
        <f t="shared" si="8"/>
        <v>52000</v>
      </c>
    </row>
    <row r="17" spans="1:34" ht="16.5" x14ac:dyDescent="0.3">
      <c r="A17" s="35" t="s">
        <v>40</v>
      </c>
      <c r="B17" s="35" t="s">
        <v>3341</v>
      </c>
      <c r="C17" s="41" t="s">
        <v>3365</v>
      </c>
      <c r="D17" s="35">
        <v>14</v>
      </c>
      <c r="E17" s="36" t="str">
        <f t="shared" si="0"/>
        <v>3#3#21|3#4#21|3#5#21|3#6#21|3#7#21|3#8#21</v>
      </c>
      <c r="F17" s="190" t="str">
        <f t="shared" si="1"/>
        <v>中品注灵石15/元宝60000</v>
      </c>
      <c r="G17" s="35">
        <v>100</v>
      </c>
      <c r="H17" s="112"/>
      <c r="O17" s="8">
        <v>14</v>
      </c>
      <c r="P17" s="8">
        <f>(P$18-P$13)*4/5+P$13</f>
        <v>1.42</v>
      </c>
      <c r="Q17" s="158"/>
      <c r="R17" s="158"/>
      <c r="S17" s="158"/>
      <c r="T17" s="97">
        <v>0.7</v>
      </c>
      <c r="U17" s="158">
        <f t="shared" si="2"/>
        <v>2800</v>
      </c>
      <c r="V17" s="158">
        <f t="shared" si="3"/>
        <v>1959.9999999999998</v>
      </c>
      <c r="W17" s="158">
        <f t="shared" si="4"/>
        <v>93</v>
      </c>
      <c r="X17" s="158">
        <f t="shared" si="5"/>
        <v>65</v>
      </c>
      <c r="Y17" s="158">
        <f t="shared" si="6"/>
        <v>93</v>
      </c>
      <c r="Z17" s="158">
        <f t="shared" si="7"/>
        <v>65</v>
      </c>
      <c r="AA17" s="8"/>
      <c r="AB17" s="8"/>
      <c r="AC17" s="8"/>
      <c r="AD17" s="8"/>
      <c r="AE17" s="8"/>
      <c r="AF17" s="8"/>
      <c r="AG17" s="8">
        <f t="shared" si="9"/>
        <v>14</v>
      </c>
      <c r="AH17" s="8">
        <f t="shared" si="8"/>
        <v>56000</v>
      </c>
    </row>
    <row r="18" spans="1:34" ht="16.5" x14ac:dyDescent="0.3">
      <c r="A18" s="35" t="s">
        <v>40</v>
      </c>
      <c r="B18" s="35" t="s">
        <v>3341</v>
      </c>
      <c r="C18" s="41" t="s">
        <v>3366</v>
      </c>
      <c r="D18" s="35">
        <v>15</v>
      </c>
      <c r="E18" s="36" t="str">
        <f t="shared" si="0"/>
        <v>3#3#23|3#4#23|3#5#23|3#6#23|3#7#23|3#8#23</v>
      </c>
      <c r="F18" s="190" t="str">
        <f>"上品注灵石"&amp;ROUND(AG19/2,0)&amp;"/元宝"&amp;AH18</f>
        <v>上品注灵石8/元宝60000</v>
      </c>
      <c r="G18" s="35">
        <v>30</v>
      </c>
      <c r="H18" s="112"/>
      <c r="O18" s="8">
        <v>15</v>
      </c>
      <c r="P18" s="8">
        <f>材料产出!C13</f>
        <v>1.5</v>
      </c>
      <c r="Q18" s="158"/>
      <c r="R18" s="158"/>
      <c r="S18" s="158"/>
      <c r="T18" s="97">
        <v>0.7</v>
      </c>
      <c r="U18" s="158">
        <f t="shared" si="2"/>
        <v>3000</v>
      </c>
      <c r="V18" s="158">
        <f t="shared" si="3"/>
        <v>2100</v>
      </c>
      <c r="W18" s="158">
        <f t="shared" si="4"/>
        <v>100</v>
      </c>
      <c r="X18" s="158">
        <f t="shared" si="5"/>
        <v>70</v>
      </c>
      <c r="Y18" s="158">
        <f t="shared" si="6"/>
        <v>100</v>
      </c>
      <c r="Z18" s="158">
        <f t="shared" si="7"/>
        <v>70</v>
      </c>
      <c r="AA18" s="8">
        <f>INT(1/10*AA48)</f>
        <v>600</v>
      </c>
      <c r="AB18" s="8">
        <f>INT(1/10*AB48)</f>
        <v>30</v>
      </c>
      <c r="AC18" s="8">
        <f>INT(1/10*AC48)</f>
        <v>30</v>
      </c>
      <c r="AD18" s="8"/>
      <c r="AE18" s="8"/>
      <c r="AF18" s="8"/>
      <c r="AG18" s="8">
        <f t="shared" si="9"/>
        <v>15</v>
      </c>
      <c r="AH18" s="8">
        <f t="shared" si="8"/>
        <v>60000</v>
      </c>
    </row>
    <row r="19" spans="1:34" ht="16.5" x14ac:dyDescent="0.3">
      <c r="A19" s="35" t="s">
        <v>40</v>
      </c>
      <c r="B19" s="35" t="s">
        <v>3367</v>
      </c>
      <c r="C19" s="41" t="s">
        <v>3368</v>
      </c>
      <c r="D19" s="35">
        <v>16</v>
      </c>
      <c r="E19" s="36" t="str">
        <f t="shared" si="0"/>
        <v>3#3#26|3#4#26|3#5#26|3#6#26|3#7#26|3#8#26</v>
      </c>
      <c r="F19" s="190" t="str">
        <f t="shared" ref="F19:F32" si="10">"上品注灵石"&amp;ROUND(AG20/2,0)&amp;"/元宝"&amp;AH19</f>
        <v>上品注灵石9/元宝64000</v>
      </c>
      <c r="G19" s="35">
        <v>30</v>
      </c>
      <c r="H19" s="112"/>
      <c r="O19" s="8">
        <v>16</v>
      </c>
      <c r="P19" s="8">
        <f>(P$23-P$18)*1/5+P$18</f>
        <v>1.7</v>
      </c>
      <c r="Q19" s="158"/>
      <c r="R19" s="158"/>
      <c r="S19" s="158"/>
      <c r="T19" s="97">
        <v>0.75</v>
      </c>
      <c r="U19" s="158">
        <f t="shared" si="2"/>
        <v>3200</v>
      </c>
      <c r="V19" s="158">
        <f t="shared" si="3"/>
        <v>2400</v>
      </c>
      <c r="W19" s="158">
        <f t="shared" si="4"/>
        <v>106</v>
      </c>
      <c r="X19" s="158">
        <f t="shared" si="5"/>
        <v>79</v>
      </c>
      <c r="Y19" s="158">
        <f t="shared" si="6"/>
        <v>106</v>
      </c>
      <c r="Z19" s="158">
        <f t="shared" si="7"/>
        <v>79</v>
      </c>
      <c r="AA19" s="8"/>
      <c r="AB19" s="8"/>
      <c r="AC19" s="8"/>
      <c r="AD19" s="8"/>
      <c r="AE19" s="8"/>
      <c r="AF19" s="8"/>
      <c r="AG19" s="8">
        <f t="shared" si="9"/>
        <v>16</v>
      </c>
      <c r="AH19" s="8">
        <f t="shared" si="8"/>
        <v>64000</v>
      </c>
    </row>
    <row r="20" spans="1:34" ht="16.5" x14ac:dyDescent="0.3">
      <c r="A20" s="35" t="s">
        <v>40</v>
      </c>
      <c r="B20" s="35" t="s">
        <v>3367</v>
      </c>
      <c r="C20" s="41" t="s">
        <v>3369</v>
      </c>
      <c r="D20" s="35">
        <v>17</v>
      </c>
      <c r="E20" s="36" t="str">
        <f t="shared" si="0"/>
        <v>3#3#28|3#4#28|3#5#28|3#6#28|3#7#28|3#8#28</v>
      </c>
      <c r="F20" s="190" t="str">
        <f t="shared" si="10"/>
        <v>上品注灵石10/元宝72000</v>
      </c>
      <c r="G20" s="35">
        <v>30</v>
      </c>
      <c r="H20" s="112"/>
      <c r="O20" s="8">
        <v>17</v>
      </c>
      <c r="P20" s="8">
        <f>(P$23-P$18)*2/5+P$18</f>
        <v>1.9</v>
      </c>
      <c r="Q20" s="158"/>
      <c r="R20" s="158"/>
      <c r="S20" s="158"/>
      <c r="T20" s="97">
        <v>0.75</v>
      </c>
      <c r="U20" s="158">
        <f t="shared" si="2"/>
        <v>3400</v>
      </c>
      <c r="V20" s="158">
        <f t="shared" si="3"/>
        <v>2550</v>
      </c>
      <c r="W20" s="158">
        <f t="shared" si="4"/>
        <v>113</v>
      </c>
      <c r="X20" s="158">
        <f t="shared" si="5"/>
        <v>84</v>
      </c>
      <c r="Y20" s="158">
        <f t="shared" si="6"/>
        <v>113</v>
      </c>
      <c r="Z20" s="158">
        <f t="shared" si="7"/>
        <v>84</v>
      </c>
      <c r="AA20" s="8"/>
      <c r="AB20" s="8"/>
      <c r="AC20" s="8"/>
      <c r="AD20" s="8"/>
      <c r="AE20" s="8"/>
      <c r="AF20" s="8"/>
      <c r="AG20" s="8">
        <f t="shared" si="9"/>
        <v>18</v>
      </c>
      <c r="AH20" s="8">
        <f t="shared" si="8"/>
        <v>72000</v>
      </c>
    </row>
    <row r="21" spans="1:34" ht="16.5" x14ac:dyDescent="0.3">
      <c r="A21" s="35" t="s">
        <v>40</v>
      </c>
      <c r="B21" s="35" t="s">
        <v>3367</v>
      </c>
      <c r="C21" s="41" t="s">
        <v>3370</v>
      </c>
      <c r="D21" s="35">
        <v>18</v>
      </c>
      <c r="E21" s="36" t="str">
        <f t="shared" si="0"/>
        <v>3#3#30|3#4#30|3#5#30|3#6#30|3#7#30|3#8#30</v>
      </c>
      <c r="F21" s="190" t="str">
        <f t="shared" si="10"/>
        <v>上品注灵石11/元宝80000</v>
      </c>
      <c r="G21" s="35">
        <v>30</v>
      </c>
      <c r="H21" s="112"/>
      <c r="O21" s="8">
        <v>18</v>
      </c>
      <c r="P21" s="8">
        <f>(P$23-P$18)*3/5+P$18</f>
        <v>2.1</v>
      </c>
      <c r="Q21" s="158"/>
      <c r="R21" s="158"/>
      <c r="S21" s="158"/>
      <c r="T21" s="97">
        <v>0.75</v>
      </c>
      <c r="U21" s="158">
        <f t="shared" si="2"/>
        <v>3600</v>
      </c>
      <c r="V21" s="158">
        <f t="shared" si="3"/>
        <v>2700</v>
      </c>
      <c r="W21" s="158">
        <f t="shared" si="4"/>
        <v>120</v>
      </c>
      <c r="X21" s="158">
        <f t="shared" si="5"/>
        <v>90</v>
      </c>
      <c r="Y21" s="158">
        <f t="shared" si="6"/>
        <v>120</v>
      </c>
      <c r="Z21" s="158">
        <f t="shared" si="7"/>
        <v>90</v>
      </c>
      <c r="AA21" s="8"/>
      <c r="AB21" s="8"/>
      <c r="AC21" s="8"/>
      <c r="AD21" s="8"/>
      <c r="AE21" s="8"/>
      <c r="AF21" s="8"/>
      <c r="AG21" s="8">
        <f t="shared" si="9"/>
        <v>20</v>
      </c>
      <c r="AH21" s="8">
        <f t="shared" si="8"/>
        <v>80000</v>
      </c>
    </row>
    <row r="22" spans="1:34" ht="16.5" x14ac:dyDescent="0.3">
      <c r="A22" s="35" t="s">
        <v>40</v>
      </c>
      <c r="B22" s="35" t="s">
        <v>3367</v>
      </c>
      <c r="C22" s="41" t="s">
        <v>3371</v>
      </c>
      <c r="D22" s="35">
        <v>19</v>
      </c>
      <c r="E22" s="36" t="str">
        <f t="shared" si="0"/>
        <v>3#3#31|3#4#31|3#5#31|3#6#31|3#7#31|3#8#31</v>
      </c>
      <c r="F22" s="190" t="str">
        <f t="shared" si="10"/>
        <v>上品注灵石12/元宝88000</v>
      </c>
      <c r="G22" s="35">
        <v>30</v>
      </c>
      <c r="H22" s="112"/>
      <c r="O22" s="8">
        <v>19</v>
      </c>
      <c r="P22" s="8">
        <f>(P$23-P$18)*4/5+P$18</f>
        <v>2.2999999999999998</v>
      </c>
      <c r="Q22" s="158"/>
      <c r="R22" s="158"/>
      <c r="S22" s="158"/>
      <c r="T22" s="97">
        <v>0.75</v>
      </c>
      <c r="U22" s="158">
        <f t="shared" si="2"/>
        <v>3800</v>
      </c>
      <c r="V22" s="158">
        <f t="shared" si="3"/>
        <v>2850</v>
      </c>
      <c r="W22" s="158">
        <f t="shared" si="4"/>
        <v>126</v>
      </c>
      <c r="X22" s="158">
        <f t="shared" si="5"/>
        <v>94</v>
      </c>
      <c r="Y22" s="158">
        <f t="shared" si="6"/>
        <v>126</v>
      </c>
      <c r="Z22" s="158">
        <f t="shared" si="7"/>
        <v>94</v>
      </c>
      <c r="AA22" s="8"/>
      <c r="AB22" s="8"/>
      <c r="AC22" s="8"/>
      <c r="AD22" s="8"/>
      <c r="AE22" s="8"/>
      <c r="AF22" s="8"/>
      <c r="AG22" s="8">
        <f t="shared" si="9"/>
        <v>22</v>
      </c>
      <c r="AH22" s="8">
        <f t="shared" si="8"/>
        <v>88000</v>
      </c>
    </row>
    <row r="23" spans="1:34" ht="16.5" x14ac:dyDescent="0.3">
      <c r="A23" s="35" t="s">
        <v>40</v>
      </c>
      <c r="B23" s="35" t="s">
        <v>3367</v>
      </c>
      <c r="C23" s="41" t="s">
        <v>3372</v>
      </c>
      <c r="D23" s="35">
        <v>20</v>
      </c>
      <c r="E23" s="36" t="str">
        <f t="shared" si="0"/>
        <v>3#3#33|3#4#33|3#5#33|3#6#33|3#7#33|3#8#33</v>
      </c>
      <c r="F23" s="190" t="str">
        <f t="shared" si="10"/>
        <v>上品注灵石14/元宝96000</v>
      </c>
      <c r="G23" s="35">
        <v>25</v>
      </c>
      <c r="H23" s="112"/>
      <c r="O23" s="8">
        <v>20</v>
      </c>
      <c r="P23" s="8">
        <f>材料产出!C16</f>
        <v>2.5</v>
      </c>
      <c r="Q23" s="158"/>
      <c r="R23" s="158"/>
      <c r="S23" s="158"/>
      <c r="T23" s="97">
        <v>0.75</v>
      </c>
      <c r="U23" s="158">
        <f t="shared" si="2"/>
        <v>4000</v>
      </c>
      <c r="V23" s="158">
        <f t="shared" si="3"/>
        <v>3000</v>
      </c>
      <c r="W23" s="158">
        <f t="shared" si="4"/>
        <v>133</v>
      </c>
      <c r="X23" s="158">
        <f t="shared" si="5"/>
        <v>99</v>
      </c>
      <c r="Y23" s="158">
        <f t="shared" si="6"/>
        <v>133</v>
      </c>
      <c r="Z23" s="158">
        <f t="shared" si="7"/>
        <v>99</v>
      </c>
      <c r="AA23" s="8">
        <f>INT(1/6*AA48)</f>
        <v>1000</v>
      </c>
      <c r="AB23" s="8">
        <f>INT(1/6*AB48)</f>
        <v>50</v>
      </c>
      <c r="AC23" s="8">
        <f>INT(1/6*AC48)</f>
        <v>50</v>
      </c>
      <c r="AD23" s="8"/>
      <c r="AE23" s="8"/>
      <c r="AF23" s="8"/>
      <c r="AG23" s="8">
        <f t="shared" si="9"/>
        <v>24</v>
      </c>
      <c r="AH23" s="8">
        <f t="shared" si="8"/>
        <v>96000</v>
      </c>
    </row>
    <row r="24" spans="1:34" ht="16.5" x14ac:dyDescent="0.3">
      <c r="A24" s="35" t="s">
        <v>40</v>
      </c>
      <c r="B24" s="35" t="s">
        <v>3367</v>
      </c>
      <c r="C24" s="41" t="s">
        <v>3373</v>
      </c>
      <c r="D24" s="35">
        <v>21</v>
      </c>
      <c r="E24" s="36" t="str">
        <f t="shared" si="0"/>
        <v>3#3#37|3#4#37|3#5#37|3#6#37|3#7#37|3#8#37</v>
      </c>
      <c r="F24" s="190" t="str">
        <f t="shared" si="10"/>
        <v>上品注灵石15/元宝108000</v>
      </c>
      <c r="G24" s="35">
        <v>25</v>
      </c>
      <c r="H24" s="112"/>
      <c r="O24" s="8">
        <v>21</v>
      </c>
      <c r="P24" s="8">
        <f>(P$28-P$23)*1/5+P$23</f>
        <v>2.74</v>
      </c>
      <c r="Q24" s="158"/>
      <c r="R24" s="158"/>
      <c r="S24" s="158"/>
      <c r="T24" s="97">
        <v>0.8</v>
      </c>
      <c r="U24" s="158">
        <f t="shared" si="2"/>
        <v>4200</v>
      </c>
      <c r="V24" s="158">
        <f t="shared" si="3"/>
        <v>3360</v>
      </c>
      <c r="W24" s="158">
        <f t="shared" si="4"/>
        <v>140</v>
      </c>
      <c r="X24" s="158">
        <f t="shared" si="5"/>
        <v>112</v>
      </c>
      <c r="Y24" s="158">
        <f t="shared" si="6"/>
        <v>140</v>
      </c>
      <c r="Z24" s="158">
        <f t="shared" si="7"/>
        <v>112</v>
      </c>
      <c r="AA24" s="8"/>
      <c r="AB24" s="8"/>
      <c r="AC24" s="8"/>
      <c r="AD24" s="8"/>
      <c r="AE24" s="8"/>
      <c r="AF24" s="8"/>
      <c r="AG24" s="8">
        <f t="shared" si="9"/>
        <v>27</v>
      </c>
      <c r="AH24" s="8">
        <f t="shared" si="8"/>
        <v>108000</v>
      </c>
    </row>
    <row r="25" spans="1:34" ht="16.5" x14ac:dyDescent="0.3">
      <c r="A25" s="35" t="s">
        <v>40</v>
      </c>
      <c r="B25" s="35" t="s">
        <v>3367</v>
      </c>
      <c r="C25" s="41" t="s">
        <v>3374</v>
      </c>
      <c r="D25" s="35">
        <v>22</v>
      </c>
      <c r="E25" s="36" t="str">
        <f t="shared" si="0"/>
        <v>3#3#38|3#4#38|3#5#38|3#6#38|3#7#38|3#8#38</v>
      </c>
      <c r="F25" s="190" t="str">
        <f t="shared" si="10"/>
        <v>上品注灵石16/元宝116000</v>
      </c>
      <c r="G25" s="35">
        <v>25</v>
      </c>
      <c r="H25" s="112"/>
      <c r="O25" s="8">
        <v>22</v>
      </c>
      <c r="P25" s="8">
        <f>(P$28-P$23)*2/5+P$23</f>
        <v>2.98</v>
      </c>
      <c r="Q25" s="158"/>
      <c r="R25" s="158"/>
      <c r="S25" s="158"/>
      <c r="T25" s="97">
        <v>0.8</v>
      </c>
      <c r="U25" s="158">
        <f t="shared" si="2"/>
        <v>4400</v>
      </c>
      <c r="V25" s="158">
        <f t="shared" si="3"/>
        <v>3520</v>
      </c>
      <c r="W25" s="158">
        <f t="shared" si="4"/>
        <v>146</v>
      </c>
      <c r="X25" s="158">
        <f t="shared" si="5"/>
        <v>116</v>
      </c>
      <c r="Y25" s="158">
        <f t="shared" si="6"/>
        <v>146</v>
      </c>
      <c r="Z25" s="158">
        <f t="shared" si="7"/>
        <v>116</v>
      </c>
      <c r="AA25" s="8"/>
      <c r="AB25" s="8"/>
      <c r="AC25" s="8"/>
      <c r="AD25" s="8"/>
      <c r="AE25" s="8"/>
      <c r="AF25" s="8"/>
      <c r="AG25" s="8">
        <f t="shared" si="9"/>
        <v>29</v>
      </c>
      <c r="AH25" s="8">
        <f t="shared" si="8"/>
        <v>116000</v>
      </c>
    </row>
    <row r="26" spans="1:34" ht="16.5" x14ac:dyDescent="0.3">
      <c r="A26" s="35" t="s">
        <v>40</v>
      </c>
      <c r="B26" s="35" t="s">
        <v>3367</v>
      </c>
      <c r="C26" s="41" t="s">
        <v>3375</v>
      </c>
      <c r="D26" s="35">
        <v>23</v>
      </c>
      <c r="E26" s="36" t="str">
        <f t="shared" si="0"/>
        <v>3#3#40|3#4#40|3#5#40|3#6#40|3#7#40|3#8#40</v>
      </c>
      <c r="F26" s="190" t="str">
        <f t="shared" si="10"/>
        <v>上品注灵石17/元宝124000</v>
      </c>
      <c r="G26" s="35">
        <v>25</v>
      </c>
      <c r="H26" s="112"/>
      <c r="O26" s="8">
        <v>23</v>
      </c>
      <c r="P26" s="8">
        <f>(P$28-P$23)*3/5+P$23</f>
        <v>3.22</v>
      </c>
      <c r="Q26" s="158"/>
      <c r="R26" s="158"/>
      <c r="S26" s="158"/>
      <c r="T26" s="97">
        <v>0.8</v>
      </c>
      <c r="U26" s="158">
        <f t="shared" si="2"/>
        <v>4600</v>
      </c>
      <c r="V26" s="158">
        <f t="shared" si="3"/>
        <v>3680</v>
      </c>
      <c r="W26" s="158">
        <f t="shared" si="4"/>
        <v>153</v>
      </c>
      <c r="X26" s="158">
        <f t="shared" si="5"/>
        <v>122</v>
      </c>
      <c r="Y26" s="158">
        <f t="shared" si="6"/>
        <v>153</v>
      </c>
      <c r="Z26" s="158">
        <f t="shared" si="7"/>
        <v>122</v>
      </c>
      <c r="AA26" s="8"/>
      <c r="AB26" s="8"/>
      <c r="AC26" s="8"/>
      <c r="AD26" s="8"/>
      <c r="AE26" s="8"/>
      <c r="AF26" s="8"/>
      <c r="AG26" s="8">
        <f t="shared" si="9"/>
        <v>31</v>
      </c>
      <c r="AH26" s="8">
        <f t="shared" si="8"/>
        <v>124000</v>
      </c>
    </row>
    <row r="27" spans="1:34" ht="16.5" x14ac:dyDescent="0.3">
      <c r="A27" s="35" t="s">
        <v>40</v>
      </c>
      <c r="B27" s="35" t="s">
        <v>3367</v>
      </c>
      <c r="C27" s="41" t="s">
        <v>3376</v>
      </c>
      <c r="D27" s="35">
        <v>24</v>
      </c>
      <c r="E27" s="36" t="str">
        <f t="shared" si="0"/>
        <v>3#3#42|3#4#42|3#5#42|3#6#42|3#7#42|3#8#42</v>
      </c>
      <c r="F27" s="190" t="str">
        <f t="shared" si="10"/>
        <v>上品注灵石18/元宝136000</v>
      </c>
      <c r="G27" s="35">
        <v>25</v>
      </c>
      <c r="H27" s="112"/>
      <c r="O27" s="8">
        <v>24</v>
      </c>
      <c r="P27" s="8">
        <f>(P$28-P$23)*4/5+P$23</f>
        <v>3.46</v>
      </c>
      <c r="Q27" s="158"/>
      <c r="R27" s="158"/>
      <c r="S27" s="158"/>
      <c r="T27" s="97">
        <v>0.8</v>
      </c>
      <c r="U27" s="158">
        <f t="shared" si="2"/>
        <v>4800</v>
      </c>
      <c r="V27" s="158">
        <f t="shared" si="3"/>
        <v>3840</v>
      </c>
      <c r="W27" s="158">
        <f t="shared" si="4"/>
        <v>160</v>
      </c>
      <c r="X27" s="158">
        <f t="shared" si="5"/>
        <v>128</v>
      </c>
      <c r="Y27" s="158">
        <f t="shared" si="6"/>
        <v>160</v>
      </c>
      <c r="Z27" s="158">
        <f t="shared" si="7"/>
        <v>128</v>
      </c>
      <c r="AA27" s="8"/>
      <c r="AB27" s="8"/>
      <c r="AC27" s="8"/>
      <c r="AD27" s="8"/>
      <c r="AE27" s="8"/>
      <c r="AF27" s="8"/>
      <c r="AG27" s="8">
        <f t="shared" si="9"/>
        <v>34</v>
      </c>
      <c r="AH27" s="8">
        <f t="shared" si="8"/>
        <v>136000</v>
      </c>
    </row>
    <row r="28" spans="1:34" ht="16.5" x14ac:dyDescent="0.3">
      <c r="A28" s="35" t="s">
        <v>40</v>
      </c>
      <c r="B28" s="35" t="s">
        <v>3367</v>
      </c>
      <c r="C28" s="41" t="s">
        <v>3377</v>
      </c>
      <c r="D28" s="35">
        <v>25</v>
      </c>
      <c r="E28" s="36" t="str">
        <f t="shared" si="0"/>
        <v>3#3#44|3#4#44|3#5#44|3#6#44|3#7#44|3#8#44</v>
      </c>
      <c r="F28" s="190" t="str">
        <f t="shared" si="10"/>
        <v>上品注灵石19/元宝144000</v>
      </c>
      <c r="G28" s="35">
        <v>20</v>
      </c>
      <c r="H28" s="112"/>
      <c r="O28" s="8">
        <v>25</v>
      </c>
      <c r="P28" s="8">
        <f>材料产出!C19</f>
        <v>3.7</v>
      </c>
      <c r="Q28" s="158"/>
      <c r="R28" s="158"/>
      <c r="S28" s="158"/>
      <c r="T28" s="97">
        <v>0.8</v>
      </c>
      <c r="U28" s="158">
        <f t="shared" si="2"/>
        <v>5000</v>
      </c>
      <c r="V28" s="158">
        <f t="shared" si="3"/>
        <v>4000</v>
      </c>
      <c r="W28" s="158">
        <f t="shared" si="4"/>
        <v>166</v>
      </c>
      <c r="X28" s="158">
        <f t="shared" si="5"/>
        <v>132</v>
      </c>
      <c r="Y28" s="158">
        <f t="shared" si="6"/>
        <v>166</v>
      </c>
      <c r="Z28" s="158">
        <f t="shared" si="7"/>
        <v>132</v>
      </c>
      <c r="AA28" s="8">
        <f>INT(1/4*AA48)</f>
        <v>1500</v>
      </c>
      <c r="AB28" s="8">
        <f>INT(1/4*AB48)</f>
        <v>75</v>
      </c>
      <c r="AC28" s="8">
        <f>INT(1/4*AC48)</f>
        <v>75</v>
      </c>
      <c r="AD28" s="8"/>
      <c r="AE28" s="8"/>
      <c r="AF28" s="8"/>
      <c r="AG28" s="8">
        <f t="shared" si="9"/>
        <v>36</v>
      </c>
      <c r="AH28" s="8">
        <f t="shared" si="8"/>
        <v>144000</v>
      </c>
    </row>
    <row r="29" spans="1:34" ht="16.5" x14ac:dyDescent="0.3">
      <c r="A29" s="35" t="s">
        <v>40</v>
      </c>
      <c r="B29" s="35" t="s">
        <v>3367</v>
      </c>
      <c r="C29" s="41" t="s">
        <v>3378</v>
      </c>
      <c r="D29" s="35">
        <v>26</v>
      </c>
      <c r="E29" s="36" t="str">
        <f t="shared" si="0"/>
        <v>3#3#49|3#4#49|3#5#49|3#6#49|3#7#49|3#8#49</v>
      </c>
      <c r="F29" s="190" t="str">
        <f t="shared" si="10"/>
        <v>上品注灵石20/元宝152000</v>
      </c>
      <c r="G29" s="35">
        <v>20</v>
      </c>
      <c r="H29" s="112"/>
      <c r="O29" s="8">
        <v>26</v>
      </c>
      <c r="P29" s="8">
        <f>(P$33-P$28)*1/5+P$28</f>
        <v>3.88</v>
      </c>
      <c r="Q29" s="158"/>
      <c r="R29" s="158"/>
      <c r="S29" s="158"/>
      <c r="T29" s="97">
        <v>0.85</v>
      </c>
      <c r="U29" s="158">
        <f t="shared" si="2"/>
        <v>5200</v>
      </c>
      <c r="V29" s="158">
        <f t="shared" si="3"/>
        <v>4420</v>
      </c>
      <c r="W29" s="158">
        <f t="shared" si="4"/>
        <v>173</v>
      </c>
      <c r="X29" s="158">
        <f t="shared" si="5"/>
        <v>147</v>
      </c>
      <c r="Y29" s="158">
        <f t="shared" si="6"/>
        <v>173</v>
      </c>
      <c r="Z29" s="158">
        <f t="shared" si="7"/>
        <v>147</v>
      </c>
      <c r="AA29" s="8"/>
      <c r="AB29" s="8"/>
      <c r="AC29" s="8"/>
      <c r="AD29" s="8"/>
      <c r="AE29" s="8"/>
      <c r="AF29" s="8"/>
      <c r="AG29" s="8">
        <f t="shared" si="9"/>
        <v>38</v>
      </c>
      <c r="AH29" s="8">
        <f t="shared" si="8"/>
        <v>152000</v>
      </c>
    </row>
    <row r="30" spans="1:34" ht="16.5" x14ac:dyDescent="0.3">
      <c r="A30" s="35" t="s">
        <v>40</v>
      </c>
      <c r="B30" s="35" t="s">
        <v>3367</v>
      </c>
      <c r="C30" s="41" t="s">
        <v>3379</v>
      </c>
      <c r="D30" s="35">
        <v>27</v>
      </c>
      <c r="E30" s="36" t="str">
        <f t="shared" si="0"/>
        <v>3#3#51|3#4#51|3#5#51|3#6#51|3#7#51|3#8#51</v>
      </c>
      <c r="F30" s="190" t="str">
        <f t="shared" si="10"/>
        <v>上品注灵石21/元宝156000</v>
      </c>
      <c r="G30" s="35">
        <v>20</v>
      </c>
      <c r="H30" s="112"/>
      <c r="O30" s="8">
        <v>27</v>
      </c>
      <c r="P30" s="8">
        <f>(P$33-P$28)*2/5+P$28</f>
        <v>4.0599999999999996</v>
      </c>
      <c r="Q30" s="158"/>
      <c r="R30" s="158"/>
      <c r="S30" s="158"/>
      <c r="T30" s="97">
        <v>0.85</v>
      </c>
      <c r="U30" s="158">
        <f t="shared" si="2"/>
        <v>5400</v>
      </c>
      <c r="V30" s="158">
        <f t="shared" si="3"/>
        <v>4590</v>
      </c>
      <c r="W30" s="158">
        <f t="shared" si="4"/>
        <v>180</v>
      </c>
      <c r="X30" s="158">
        <f t="shared" si="5"/>
        <v>153</v>
      </c>
      <c r="Y30" s="158">
        <f t="shared" si="6"/>
        <v>180</v>
      </c>
      <c r="Z30" s="158">
        <f t="shared" si="7"/>
        <v>153</v>
      </c>
      <c r="AA30" s="8"/>
      <c r="AB30" s="8"/>
      <c r="AC30" s="8"/>
      <c r="AD30" s="8"/>
      <c r="AE30" s="8"/>
      <c r="AF30" s="8"/>
      <c r="AG30" s="8">
        <f t="shared" si="9"/>
        <v>39</v>
      </c>
      <c r="AH30" s="8">
        <f t="shared" si="8"/>
        <v>156000</v>
      </c>
    </row>
    <row r="31" spans="1:34" ht="16.5" x14ac:dyDescent="0.3">
      <c r="A31" s="35" t="s">
        <v>40</v>
      </c>
      <c r="B31" s="35" t="s">
        <v>3367</v>
      </c>
      <c r="C31" s="41" t="s">
        <v>3380</v>
      </c>
      <c r="D31" s="35">
        <v>28</v>
      </c>
      <c r="E31" s="36" t="str">
        <f t="shared" si="0"/>
        <v>3#3#52|3#4#52|3#5#52|3#6#52|3#7#52|3#8#52</v>
      </c>
      <c r="F31" s="190" t="str">
        <f t="shared" si="10"/>
        <v>上品注灵石22/元宝164000</v>
      </c>
      <c r="G31" s="35">
        <v>20</v>
      </c>
      <c r="H31" s="112"/>
      <c r="O31" s="8">
        <v>28</v>
      </c>
      <c r="P31" s="8">
        <f>(P$33-P$28)*3/5+P$28</f>
        <v>4.24</v>
      </c>
      <c r="Q31" s="158"/>
      <c r="R31" s="158"/>
      <c r="S31" s="158"/>
      <c r="T31" s="97">
        <v>0.85</v>
      </c>
      <c r="U31" s="158">
        <f t="shared" si="2"/>
        <v>5600</v>
      </c>
      <c r="V31" s="158">
        <f t="shared" si="3"/>
        <v>4760</v>
      </c>
      <c r="W31" s="158">
        <f t="shared" si="4"/>
        <v>186</v>
      </c>
      <c r="X31" s="158">
        <f t="shared" si="5"/>
        <v>158</v>
      </c>
      <c r="Y31" s="158">
        <f t="shared" si="6"/>
        <v>186</v>
      </c>
      <c r="Z31" s="158">
        <f t="shared" si="7"/>
        <v>158</v>
      </c>
      <c r="AA31" s="8"/>
      <c r="AB31" s="8"/>
      <c r="AC31" s="8"/>
      <c r="AD31" s="8"/>
      <c r="AE31" s="8"/>
      <c r="AF31" s="8"/>
      <c r="AG31" s="8">
        <f t="shared" si="9"/>
        <v>41</v>
      </c>
      <c r="AH31" s="8">
        <f t="shared" si="8"/>
        <v>164000</v>
      </c>
    </row>
    <row r="32" spans="1:34" ht="16.5" x14ac:dyDescent="0.3">
      <c r="A32" s="35" t="s">
        <v>40</v>
      </c>
      <c r="B32" s="35" t="s">
        <v>3367</v>
      </c>
      <c r="C32" s="41" t="s">
        <v>3381</v>
      </c>
      <c r="D32" s="35">
        <v>29</v>
      </c>
      <c r="E32" s="36" t="str">
        <f t="shared" si="0"/>
        <v>3#3#54|3#4#54|3#5#54|3#6#54|3#7#54|3#8#54</v>
      </c>
      <c r="F32" s="190" t="str">
        <f t="shared" si="10"/>
        <v>上品注灵石23/元宝172000</v>
      </c>
      <c r="G32" s="35">
        <v>20</v>
      </c>
      <c r="H32" s="112"/>
      <c r="O32" s="8">
        <v>29</v>
      </c>
      <c r="P32" s="8">
        <f>(P$33-P$28)*4/5+P$28</f>
        <v>4.42</v>
      </c>
      <c r="Q32" s="158"/>
      <c r="R32" s="158"/>
      <c r="S32" s="158"/>
      <c r="T32" s="97">
        <v>0.85</v>
      </c>
      <c r="U32" s="158">
        <f t="shared" si="2"/>
        <v>5800</v>
      </c>
      <c r="V32" s="158">
        <f t="shared" si="3"/>
        <v>4930</v>
      </c>
      <c r="W32" s="158">
        <f t="shared" si="4"/>
        <v>193</v>
      </c>
      <c r="X32" s="158">
        <f t="shared" si="5"/>
        <v>164</v>
      </c>
      <c r="Y32" s="158">
        <f t="shared" si="6"/>
        <v>193</v>
      </c>
      <c r="Z32" s="158">
        <f t="shared" si="7"/>
        <v>164</v>
      </c>
      <c r="AA32" s="8"/>
      <c r="AB32" s="8"/>
      <c r="AC32" s="8"/>
      <c r="AD32" s="8"/>
      <c r="AE32" s="8"/>
      <c r="AF32" s="8"/>
      <c r="AG32" s="8">
        <f t="shared" si="9"/>
        <v>43</v>
      </c>
      <c r="AH32" s="8">
        <f t="shared" si="8"/>
        <v>172000</v>
      </c>
    </row>
    <row r="33" spans="1:34" ht="16.5" x14ac:dyDescent="0.3">
      <c r="A33" s="35" t="s">
        <v>40</v>
      </c>
      <c r="B33" s="35" t="s">
        <v>3367</v>
      </c>
      <c r="C33" s="41" t="s">
        <v>3382</v>
      </c>
      <c r="D33" s="35">
        <v>30</v>
      </c>
      <c r="E33" s="36" t="str">
        <f t="shared" si="0"/>
        <v>3#3#56|3#4#56|3#5#56|3#6#56|3#7#56|3#8#56</v>
      </c>
      <c r="F33" s="190" t="str">
        <f>"极品注灵石"&amp;ROUND(AG34/10,0)&amp;"/元宝"&amp;AH32</f>
        <v>极品注灵石5/元宝172000</v>
      </c>
      <c r="G33" s="35">
        <v>30</v>
      </c>
      <c r="H33" s="112"/>
      <c r="O33" s="8">
        <v>30</v>
      </c>
      <c r="P33" s="8">
        <f>材料产出!C22</f>
        <v>4.5999999999999996</v>
      </c>
      <c r="Q33" s="158"/>
      <c r="R33" s="158"/>
      <c r="S33" s="158"/>
      <c r="T33" s="97">
        <v>0.85</v>
      </c>
      <c r="U33" s="158">
        <f t="shared" si="2"/>
        <v>6000</v>
      </c>
      <c r="V33" s="158">
        <f t="shared" si="3"/>
        <v>5100</v>
      </c>
      <c r="W33" s="158">
        <f t="shared" si="4"/>
        <v>200</v>
      </c>
      <c r="X33" s="158">
        <f t="shared" si="5"/>
        <v>170</v>
      </c>
      <c r="Y33" s="158">
        <f t="shared" si="6"/>
        <v>200</v>
      </c>
      <c r="Z33" s="158">
        <f t="shared" si="7"/>
        <v>170</v>
      </c>
      <c r="AA33" s="8">
        <f>INT(23/60*AA48)</f>
        <v>2300</v>
      </c>
      <c r="AB33" s="8">
        <f>INT(23/60*AB48)</f>
        <v>115</v>
      </c>
      <c r="AC33" s="8">
        <f>INT(23/60*AC48)</f>
        <v>115</v>
      </c>
      <c r="AD33" s="8"/>
      <c r="AE33" s="8"/>
      <c r="AF33" s="8"/>
      <c r="AG33" s="8">
        <f t="shared" si="9"/>
        <v>45</v>
      </c>
      <c r="AH33" s="8">
        <f t="shared" si="8"/>
        <v>180000</v>
      </c>
    </row>
    <row r="34" spans="1:34" ht="16.5" x14ac:dyDescent="0.3">
      <c r="A34" s="35" t="s">
        <v>40</v>
      </c>
      <c r="B34" s="35" t="s">
        <v>3367</v>
      </c>
      <c r="C34" s="41" t="s">
        <v>3383</v>
      </c>
      <c r="D34" s="35">
        <v>31</v>
      </c>
      <c r="E34" s="36" t="str">
        <f t="shared" si="0"/>
        <v>3#3#61|3#4#61|3#5#61|3#6#61|3#7#61|3#8#61</v>
      </c>
      <c r="F34" s="190" t="str">
        <f t="shared" ref="F34:F47" si="11">"极品注灵石"&amp;ROUND(AG35/10,0)&amp;"/元宝"&amp;AH33</f>
        <v>极品注灵石5/元宝180000</v>
      </c>
      <c r="G34" s="35">
        <v>30</v>
      </c>
      <c r="H34" s="112"/>
      <c r="O34" s="8">
        <v>31</v>
      </c>
      <c r="P34" s="8">
        <f>(P$38-P$33)*1/5+P$33</f>
        <v>4.7799999999999994</v>
      </c>
      <c r="Q34" s="158"/>
      <c r="R34" s="158"/>
      <c r="S34" s="158"/>
      <c r="T34" s="97">
        <v>0.9</v>
      </c>
      <c r="U34" s="158">
        <f t="shared" si="2"/>
        <v>6200</v>
      </c>
      <c r="V34" s="158">
        <f t="shared" si="3"/>
        <v>5580</v>
      </c>
      <c r="W34" s="158">
        <f t="shared" si="4"/>
        <v>206</v>
      </c>
      <c r="X34" s="158">
        <f t="shared" si="5"/>
        <v>185</v>
      </c>
      <c r="Y34" s="158">
        <f t="shared" si="6"/>
        <v>206</v>
      </c>
      <c r="Z34" s="158">
        <f t="shared" si="7"/>
        <v>185</v>
      </c>
      <c r="AA34" s="8"/>
      <c r="AB34" s="8"/>
      <c r="AC34" s="8"/>
      <c r="AD34" s="8"/>
      <c r="AE34" s="8"/>
      <c r="AF34" s="8"/>
      <c r="AG34" s="8">
        <f t="shared" si="9"/>
        <v>46</v>
      </c>
      <c r="AH34" s="8">
        <f t="shared" si="8"/>
        <v>184000</v>
      </c>
    </row>
    <row r="35" spans="1:34" ht="16.5" x14ac:dyDescent="0.3">
      <c r="A35" s="35" t="s">
        <v>40</v>
      </c>
      <c r="B35" s="35" t="s">
        <v>3367</v>
      </c>
      <c r="C35" s="41" t="s">
        <v>3384</v>
      </c>
      <c r="D35" s="35">
        <v>32</v>
      </c>
      <c r="E35" s="36" t="str">
        <f t="shared" si="0"/>
        <v>3#3#63|3#4#63|3#5#63|3#6#63|3#7#63|3#8#63</v>
      </c>
      <c r="F35" s="190" t="str">
        <f t="shared" si="11"/>
        <v>极品注灵石5/元宝184000</v>
      </c>
      <c r="G35" s="35">
        <v>30</v>
      </c>
      <c r="H35" s="112"/>
      <c r="O35" s="8">
        <v>32</v>
      </c>
      <c r="P35" s="8">
        <f>(P$38-P$33)*2/5+P$33</f>
        <v>4.96</v>
      </c>
      <c r="Q35" s="158"/>
      <c r="R35" s="158"/>
      <c r="S35" s="158"/>
      <c r="T35" s="97">
        <v>0.9</v>
      </c>
      <c r="U35" s="158">
        <f t="shared" si="2"/>
        <v>6400</v>
      </c>
      <c r="V35" s="158">
        <f t="shared" si="3"/>
        <v>5760</v>
      </c>
      <c r="W35" s="158">
        <f t="shared" si="4"/>
        <v>213</v>
      </c>
      <c r="X35" s="158">
        <f t="shared" si="5"/>
        <v>191</v>
      </c>
      <c r="Y35" s="158">
        <f t="shared" si="6"/>
        <v>213</v>
      </c>
      <c r="Z35" s="158">
        <f t="shared" si="7"/>
        <v>191</v>
      </c>
      <c r="AA35" s="8"/>
      <c r="AB35" s="8"/>
      <c r="AC35" s="8"/>
      <c r="AD35" s="8"/>
      <c r="AE35" s="8"/>
      <c r="AF35" s="8"/>
      <c r="AG35" s="8">
        <f t="shared" si="9"/>
        <v>48</v>
      </c>
      <c r="AH35" s="8">
        <f t="shared" si="8"/>
        <v>192000</v>
      </c>
    </row>
    <row r="36" spans="1:34" ht="16.5" x14ac:dyDescent="0.3">
      <c r="A36" s="35" t="s">
        <v>40</v>
      </c>
      <c r="B36" s="35" t="s">
        <v>3367</v>
      </c>
      <c r="C36" s="41" t="s">
        <v>3385</v>
      </c>
      <c r="D36" s="35">
        <v>33</v>
      </c>
      <c r="E36" s="36" t="str">
        <f t="shared" si="0"/>
        <v>3#3#66|3#4#66|3#5#66|3#6#66|3#7#66|3#8#66</v>
      </c>
      <c r="F36" s="190" t="str">
        <f t="shared" si="11"/>
        <v>极品注灵石5/元宝192000</v>
      </c>
      <c r="G36" s="35">
        <v>30</v>
      </c>
      <c r="H36" s="112"/>
      <c r="O36" s="8">
        <v>33</v>
      </c>
      <c r="P36" s="8">
        <f>(P$38-P$33)*3/5+P$33</f>
        <v>5.14</v>
      </c>
      <c r="Q36" s="158"/>
      <c r="R36" s="158"/>
      <c r="S36" s="158"/>
      <c r="T36" s="97">
        <v>0.9</v>
      </c>
      <c r="U36" s="158">
        <f t="shared" si="2"/>
        <v>6600</v>
      </c>
      <c r="V36" s="158">
        <f t="shared" si="3"/>
        <v>5940</v>
      </c>
      <c r="W36" s="158">
        <f t="shared" si="4"/>
        <v>220</v>
      </c>
      <c r="X36" s="158">
        <f t="shared" si="5"/>
        <v>198</v>
      </c>
      <c r="Y36" s="158">
        <f t="shared" si="6"/>
        <v>220</v>
      </c>
      <c r="Z36" s="158">
        <f t="shared" si="7"/>
        <v>198</v>
      </c>
      <c r="AA36" s="8"/>
      <c r="AB36" s="8"/>
      <c r="AC36" s="8"/>
      <c r="AD36" s="8"/>
      <c r="AE36" s="8"/>
      <c r="AF36" s="8"/>
      <c r="AG36" s="8">
        <f t="shared" si="9"/>
        <v>50</v>
      </c>
      <c r="AH36" s="8">
        <f t="shared" si="8"/>
        <v>200000</v>
      </c>
    </row>
    <row r="37" spans="1:34" ht="16.5" x14ac:dyDescent="0.3">
      <c r="A37" s="35" t="s">
        <v>40</v>
      </c>
      <c r="B37" s="35" t="s">
        <v>3367</v>
      </c>
      <c r="C37" s="41" t="s">
        <v>3386</v>
      </c>
      <c r="D37" s="35">
        <v>34</v>
      </c>
      <c r="E37" s="36" t="str">
        <f t="shared" si="0"/>
        <v>3#3#67|3#4#67|3#5#67|3#6#67|3#7#67|3#8#67</v>
      </c>
      <c r="F37" s="190" t="str">
        <f t="shared" si="11"/>
        <v>极品注灵石5/元宝200000</v>
      </c>
      <c r="G37" s="35">
        <v>30</v>
      </c>
      <c r="H37" s="112"/>
      <c r="O37" s="8">
        <v>34</v>
      </c>
      <c r="P37" s="8">
        <f>(P$38-P$33)*4/5+P$33</f>
        <v>5.32</v>
      </c>
      <c r="Q37" s="158"/>
      <c r="R37" s="158"/>
      <c r="S37" s="158"/>
      <c r="T37" s="97">
        <v>0.9</v>
      </c>
      <c r="U37" s="158">
        <f t="shared" si="2"/>
        <v>6800</v>
      </c>
      <c r="V37" s="158">
        <f t="shared" si="3"/>
        <v>6120</v>
      </c>
      <c r="W37" s="158">
        <f t="shared" si="4"/>
        <v>226</v>
      </c>
      <c r="X37" s="158">
        <f t="shared" si="5"/>
        <v>203</v>
      </c>
      <c r="Y37" s="158">
        <f t="shared" si="6"/>
        <v>226</v>
      </c>
      <c r="Z37" s="158">
        <f t="shared" si="7"/>
        <v>203</v>
      </c>
      <c r="AA37" s="8"/>
      <c r="AB37" s="8"/>
      <c r="AC37" s="8"/>
      <c r="AD37" s="8"/>
      <c r="AE37" s="8"/>
      <c r="AF37" s="8"/>
      <c r="AG37" s="8">
        <f t="shared" si="9"/>
        <v>52</v>
      </c>
      <c r="AH37" s="8">
        <f t="shared" si="8"/>
        <v>208000</v>
      </c>
    </row>
    <row r="38" spans="1:34" ht="16.5" x14ac:dyDescent="0.3">
      <c r="A38" s="35" t="s">
        <v>40</v>
      </c>
      <c r="B38" s="35" t="s">
        <v>3367</v>
      </c>
      <c r="C38" s="41" t="s">
        <v>3387</v>
      </c>
      <c r="D38" s="35">
        <v>35</v>
      </c>
      <c r="E38" s="36" t="str">
        <f t="shared" si="0"/>
        <v>3#3#69|3#4#69|3#5#69|3#6#69|3#7#69|3#8#69</v>
      </c>
      <c r="F38" s="190" t="str">
        <f t="shared" si="11"/>
        <v>极品注灵石6/元宝208000</v>
      </c>
      <c r="G38" s="35">
        <v>25</v>
      </c>
      <c r="H38" s="112"/>
      <c r="O38" s="8">
        <v>35</v>
      </c>
      <c r="P38" s="8">
        <f>材料产出!C25</f>
        <v>5.5</v>
      </c>
      <c r="Q38" s="158"/>
      <c r="R38" s="158"/>
      <c r="S38" s="158"/>
      <c r="T38" s="97">
        <v>0.9</v>
      </c>
      <c r="U38" s="158">
        <f t="shared" si="2"/>
        <v>7000</v>
      </c>
      <c r="V38" s="158">
        <f t="shared" si="3"/>
        <v>6300</v>
      </c>
      <c r="W38" s="158">
        <f t="shared" si="4"/>
        <v>233</v>
      </c>
      <c r="X38" s="158">
        <f t="shared" si="5"/>
        <v>209</v>
      </c>
      <c r="Y38" s="158">
        <f t="shared" si="6"/>
        <v>233</v>
      </c>
      <c r="Z38" s="158">
        <f t="shared" si="7"/>
        <v>209</v>
      </c>
      <c r="AA38" s="8">
        <f>INT(33/60*AA48)</f>
        <v>3300</v>
      </c>
      <c r="AB38" s="8">
        <f>INT(33/60*AB48)</f>
        <v>165</v>
      </c>
      <c r="AC38" s="8">
        <f>INT(33/60*AC48)</f>
        <v>165</v>
      </c>
      <c r="AD38" s="8"/>
      <c r="AE38" s="8"/>
      <c r="AF38" s="8"/>
      <c r="AG38" s="8">
        <f t="shared" si="9"/>
        <v>53</v>
      </c>
      <c r="AH38" s="8">
        <f t="shared" si="8"/>
        <v>212000</v>
      </c>
    </row>
    <row r="39" spans="1:34" ht="16.5" x14ac:dyDescent="0.3">
      <c r="A39" s="35" t="s">
        <v>40</v>
      </c>
      <c r="B39" s="35" t="s">
        <v>3367</v>
      </c>
      <c r="C39" s="41" t="s">
        <v>3388</v>
      </c>
      <c r="D39" s="35">
        <v>36</v>
      </c>
      <c r="E39" s="36" t="str">
        <f t="shared" si="0"/>
        <v>3#3#76|3#4#76|3#5#76|3#6#76|3#7#76|3#8#76</v>
      </c>
      <c r="F39" s="190" t="str">
        <f t="shared" si="11"/>
        <v>极品注灵石6/元宝212000</v>
      </c>
      <c r="G39" s="35">
        <v>25</v>
      </c>
      <c r="H39" s="112"/>
      <c r="O39" s="8">
        <v>36</v>
      </c>
      <c r="P39" s="8">
        <f>(P$43-P$38)*1/5+P$38</f>
        <v>5.68</v>
      </c>
      <c r="Q39" s="158"/>
      <c r="R39" s="158"/>
      <c r="S39" s="158"/>
      <c r="T39" s="97">
        <v>0.95</v>
      </c>
      <c r="U39" s="158">
        <f t="shared" si="2"/>
        <v>7200</v>
      </c>
      <c r="V39" s="158">
        <f t="shared" si="3"/>
        <v>6840</v>
      </c>
      <c r="W39" s="158">
        <f t="shared" si="4"/>
        <v>240</v>
      </c>
      <c r="X39" s="158">
        <f t="shared" si="5"/>
        <v>228</v>
      </c>
      <c r="Y39" s="158">
        <f t="shared" si="6"/>
        <v>240</v>
      </c>
      <c r="Z39" s="158">
        <f t="shared" si="7"/>
        <v>228</v>
      </c>
      <c r="AA39" s="8"/>
      <c r="AB39" s="8"/>
      <c r="AC39" s="8"/>
      <c r="AD39" s="8"/>
      <c r="AE39" s="8"/>
      <c r="AF39" s="8"/>
      <c r="AG39" s="8">
        <f t="shared" si="9"/>
        <v>55</v>
      </c>
      <c r="AH39" s="8">
        <f t="shared" si="8"/>
        <v>220000</v>
      </c>
    </row>
    <row r="40" spans="1:34" ht="16.5" x14ac:dyDescent="0.3">
      <c r="A40" s="35" t="s">
        <v>40</v>
      </c>
      <c r="B40" s="35" t="s">
        <v>3367</v>
      </c>
      <c r="C40" s="41" t="s">
        <v>3389</v>
      </c>
      <c r="D40" s="35">
        <v>37</v>
      </c>
      <c r="E40" s="36" t="str">
        <f t="shared" si="0"/>
        <v>3#3#77|3#4#77|3#5#77|3#6#77|3#7#77|3#8#77</v>
      </c>
      <c r="F40" s="190" t="str">
        <f t="shared" si="11"/>
        <v>极品注灵石6/元宝220000</v>
      </c>
      <c r="G40" s="35">
        <v>25</v>
      </c>
      <c r="H40" s="112"/>
      <c r="O40" s="8">
        <v>37</v>
      </c>
      <c r="P40" s="8">
        <f>(P$43-P$38)*2/5+P$38</f>
        <v>5.86</v>
      </c>
      <c r="Q40" s="158"/>
      <c r="R40" s="158"/>
      <c r="S40" s="158"/>
      <c r="T40" s="97">
        <v>0.95</v>
      </c>
      <c r="U40" s="158">
        <f t="shared" si="2"/>
        <v>7400</v>
      </c>
      <c r="V40" s="158">
        <f t="shared" si="3"/>
        <v>7030</v>
      </c>
      <c r="W40" s="158">
        <f t="shared" si="4"/>
        <v>246</v>
      </c>
      <c r="X40" s="158">
        <f t="shared" si="5"/>
        <v>233</v>
      </c>
      <c r="Y40" s="158">
        <f t="shared" si="6"/>
        <v>246</v>
      </c>
      <c r="Z40" s="158">
        <f t="shared" si="7"/>
        <v>233</v>
      </c>
      <c r="AA40" s="8"/>
      <c r="AB40" s="8"/>
      <c r="AC40" s="8"/>
      <c r="AD40" s="8"/>
      <c r="AE40" s="8"/>
      <c r="AF40" s="8"/>
      <c r="AG40" s="8">
        <f t="shared" si="9"/>
        <v>57</v>
      </c>
      <c r="AH40" s="8">
        <f t="shared" si="8"/>
        <v>228000</v>
      </c>
    </row>
    <row r="41" spans="1:34" ht="16.5" x14ac:dyDescent="0.3">
      <c r="A41" s="35" t="s">
        <v>40</v>
      </c>
      <c r="B41" s="35" t="s">
        <v>3367</v>
      </c>
      <c r="C41" s="41" t="s">
        <v>3390</v>
      </c>
      <c r="D41" s="35">
        <v>38</v>
      </c>
      <c r="E41" s="36" t="str">
        <f t="shared" si="0"/>
        <v>3#3#80|3#4#80|3#5#80|3#6#80|3#7#80|3#8#80</v>
      </c>
      <c r="F41" s="190" t="str">
        <f t="shared" si="11"/>
        <v>极品注灵石6/元宝228000</v>
      </c>
      <c r="G41" s="35">
        <v>25</v>
      </c>
      <c r="H41" s="112"/>
      <c r="O41" s="8">
        <v>38</v>
      </c>
      <c r="P41" s="8">
        <f>(P$43-P$38)*3/5+P$38</f>
        <v>6.04</v>
      </c>
      <c r="Q41" s="158"/>
      <c r="R41" s="158"/>
      <c r="S41" s="158"/>
      <c r="T41" s="97">
        <v>0.95</v>
      </c>
      <c r="U41" s="158">
        <f t="shared" si="2"/>
        <v>7600</v>
      </c>
      <c r="V41" s="158">
        <f t="shared" si="3"/>
        <v>7220</v>
      </c>
      <c r="W41" s="158">
        <f t="shared" si="4"/>
        <v>253</v>
      </c>
      <c r="X41" s="158">
        <f t="shared" si="5"/>
        <v>240</v>
      </c>
      <c r="Y41" s="158">
        <f t="shared" si="6"/>
        <v>253</v>
      </c>
      <c r="Z41" s="158">
        <f t="shared" si="7"/>
        <v>240</v>
      </c>
      <c r="AA41" s="8"/>
      <c r="AB41" s="8"/>
      <c r="AC41" s="8"/>
      <c r="AD41" s="8"/>
      <c r="AE41" s="8"/>
      <c r="AF41" s="8"/>
      <c r="AG41" s="8">
        <f t="shared" si="9"/>
        <v>59</v>
      </c>
      <c r="AH41" s="8">
        <f t="shared" si="8"/>
        <v>236000</v>
      </c>
    </row>
    <row r="42" spans="1:34" ht="16.5" x14ac:dyDescent="0.3">
      <c r="A42" s="35" t="s">
        <v>40</v>
      </c>
      <c r="B42" s="35" t="s">
        <v>3367</v>
      </c>
      <c r="C42" s="41" t="s">
        <v>3391</v>
      </c>
      <c r="D42" s="35">
        <v>39</v>
      </c>
      <c r="E42" s="36" t="str">
        <f t="shared" si="0"/>
        <v>3#3#82|3#4#82|3#5#82|3#6#82|3#7#82|3#8#82</v>
      </c>
      <c r="F42" s="190" t="str">
        <f t="shared" si="11"/>
        <v>极品注灵石6/元宝236000</v>
      </c>
      <c r="G42" s="35">
        <v>25</v>
      </c>
      <c r="H42" s="112"/>
      <c r="O42" s="8">
        <v>39</v>
      </c>
      <c r="P42" s="8">
        <f>(P$43-P$38)*4/5+P$38</f>
        <v>6.2200000000000006</v>
      </c>
      <c r="Q42" s="158"/>
      <c r="R42" s="158"/>
      <c r="S42" s="158"/>
      <c r="T42" s="97">
        <v>0.95</v>
      </c>
      <c r="U42" s="158">
        <f t="shared" si="2"/>
        <v>7800</v>
      </c>
      <c r="V42" s="158">
        <f t="shared" si="3"/>
        <v>7410</v>
      </c>
      <c r="W42" s="158">
        <f t="shared" si="4"/>
        <v>260</v>
      </c>
      <c r="X42" s="158">
        <f t="shared" si="5"/>
        <v>247</v>
      </c>
      <c r="Y42" s="158">
        <f t="shared" si="6"/>
        <v>260</v>
      </c>
      <c r="Z42" s="158">
        <f t="shared" si="7"/>
        <v>247</v>
      </c>
      <c r="AA42" s="8"/>
      <c r="AB42" s="8"/>
      <c r="AC42" s="8"/>
      <c r="AD42" s="8"/>
      <c r="AE42" s="8"/>
      <c r="AF42" s="8"/>
      <c r="AG42" s="8">
        <f t="shared" si="9"/>
        <v>60</v>
      </c>
      <c r="AH42" s="8">
        <f t="shared" si="8"/>
        <v>240000</v>
      </c>
    </row>
    <row r="43" spans="1:34" ht="16.5" x14ac:dyDescent="0.3">
      <c r="A43" s="35" t="s">
        <v>40</v>
      </c>
      <c r="B43" s="35" t="s">
        <v>3367</v>
      </c>
      <c r="C43" s="41" t="s">
        <v>3392</v>
      </c>
      <c r="D43" s="35">
        <v>40</v>
      </c>
      <c r="E43" s="36" t="str">
        <f t="shared" si="0"/>
        <v>3#3#84|3#4#84|3#5#84|3#6#84|3#7#84|3#8#84</v>
      </c>
      <c r="F43" s="190" t="str">
        <f t="shared" si="11"/>
        <v>极品注灵石6/元宝240000</v>
      </c>
      <c r="G43" s="35">
        <v>20</v>
      </c>
      <c r="H43" s="112"/>
      <c r="O43" s="8">
        <v>40</v>
      </c>
      <c r="P43" s="8">
        <f>材料产出!C28</f>
        <v>6.4</v>
      </c>
      <c r="Q43" s="158"/>
      <c r="R43" s="158"/>
      <c r="S43" s="158"/>
      <c r="T43" s="97">
        <v>0.95</v>
      </c>
      <c r="U43" s="158">
        <f t="shared" si="2"/>
        <v>8000</v>
      </c>
      <c r="V43" s="158">
        <f t="shared" si="3"/>
        <v>7600</v>
      </c>
      <c r="W43" s="158">
        <f t="shared" si="4"/>
        <v>266</v>
      </c>
      <c r="X43" s="158">
        <f t="shared" si="5"/>
        <v>252</v>
      </c>
      <c r="Y43" s="158">
        <f t="shared" si="6"/>
        <v>266</v>
      </c>
      <c r="Z43" s="158">
        <f t="shared" si="7"/>
        <v>252</v>
      </c>
      <c r="AA43" s="8">
        <f>INT(3/4*AA48)</f>
        <v>4500</v>
      </c>
      <c r="AB43" s="8">
        <f>INT(3/4*AB48)</f>
        <v>225</v>
      </c>
      <c r="AC43" s="8">
        <f>INT(3/4*AC48)</f>
        <v>225</v>
      </c>
      <c r="AD43" s="8"/>
      <c r="AE43" s="8"/>
      <c r="AF43" s="8"/>
      <c r="AG43" s="8">
        <f t="shared" si="9"/>
        <v>62</v>
      </c>
      <c r="AH43" s="8">
        <f t="shared" si="8"/>
        <v>248000</v>
      </c>
    </row>
    <row r="44" spans="1:34" ht="16.5" x14ac:dyDescent="0.3">
      <c r="A44" s="35" t="s">
        <v>40</v>
      </c>
      <c r="B44" s="35" t="s">
        <v>3367</v>
      </c>
      <c r="C44" s="41" t="s">
        <v>3393</v>
      </c>
      <c r="D44" s="35">
        <v>41</v>
      </c>
      <c r="E44" s="36" t="str">
        <f t="shared" si="0"/>
        <v>3#3#91|3#4#91|3#5#91|3#6#91|3#7#91|3#8#91</v>
      </c>
      <c r="F44" s="190" t="str">
        <f t="shared" si="11"/>
        <v>极品注灵石6/元宝248000</v>
      </c>
      <c r="G44" s="35">
        <v>20</v>
      </c>
      <c r="H44" s="112"/>
      <c r="O44" s="8">
        <v>41</v>
      </c>
      <c r="P44" s="8">
        <f>(P$48-P$43)*1/5+P$43</f>
        <v>6.5200000000000005</v>
      </c>
      <c r="Q44" s="158"/>
      <c r="R44" s="158"/>
      <c r="S44" s="158"/>
      <c r="T44" s="97">
        <v>1</v>
      </c>
      <c r="U44" s="158">
        <f t="shared" si="2"/>
        <v>8200</v>
      </c>
      <c r="V44" s="158">
        <f t="shared" si="3"/>
        <v>8200</v>
      </c>
      <c r="W44" s="158">
        <f t="shared" si="4"/>
        <v>273</v>
      </c>
      <c r="X44" s="158">
        <f t="shared" si="5"/>
        <v>273</v>
      </c>
      <c r="Y44" s="158">
        <f t="shared" si="6"/>
        <v>273</v>
      </c>
      <c r="Z44" s="158">
        <f t="shared" si="7"/>
        <v>273</v>
      </c>
      <c r="AA44" s="8"/>
      <c r="AB44" s="8"/>
      <c r="AC44" s="8"/>
      <c r="AD44" s="8"/>
      <c r="AE44" s="8"/>
      <c r="AF44" s="8"/>
      <c r="AG44" s="8">
        <f t="shared" si="9"/>
        <v>63</v>
      </c>
      <c r="AH44" s="8">
        <f t="shared" si="8"/>
        <v>252000</v>
      </c>
    </row>
    <row r="45" spans="1:34" ht="16.5" x14ac:dyDescent="0.3">
      <c r="A45" s="35" t="s">
        <v>40</v>
      </c>
      <c r="B45" s="35" t="s">
        <v>3367</v>
      </c>
      <c r="C45" s="41" t="s">
        <v>3394</v>
      </c>
      <c r="D45" s="35">
        <v>42</v>
      </c>
      <c r="E45" s="36" t="str">
        <f t="shared" si="0"/>
        <v>3#3#93|3#4#93|3#5#93|3#6#93|3#7#93|3#8#93</v>
      </c>
      <c r="F45" s="190" t="str">
        <f t="shared" si="11"/>
        <v>极品注灵石7/元宝252000</v>
      </c>
      <c r="G45" s="35">
        <v>20</v>
      </c>
      <c r="H45" s="112"/>
      <c r="O45" s="8">
        <v>42</v>
      </c>
      <c r="P45" s="8">
        <f>(P$48-P$43)*2/5+P$43</f>
        <v>6.6400000000000006</v>
      </c>
      <c r="Q45" s="158"/>
      <c r="R45" s="158"/>
      <c r="S45" s="158"/>
      <c r="T45" s="97">
        <v>1</v>
      </c>
      <c r="U45" s="158">
        <f t="shared" si="2"/>
        <v>8400</v>
      </c>
      <c r="V45" s="158">
        <f t="shared" si="3"/>
        <v>8400</v>
      </c>
      <c r="W45" s="158">
        <f t="shared" si="4"/>
        <v>280</v>
      </c>
      <c r="X45" s="158">
        <f t="shared" si="5"/>
        <v>280</v>
      </c>
      <c r="Y45" s="158">
        <f t="shared" si="6"/>
        <v>280</v>
      </c>
      <c r="Z45" s="158">
        <f t="shared" si="7"/>
        <v>280</v>
      </c>
      <c r="AA45" s="8"/>
      <c r="AB45" s="8"/>
      <c r="AC45" s="8"/>
      <c r="AD45" s="8"/>
      <c r="AE45" s="8"/>
      <c r="AF45" s="8"/>
      <c r="AG45" s="8">
        <f t="shared" si="9"/>
        <v>64</v>
      </c>
      <c r="AH45" s="8">
        <f t="shared" si="8"/>
        <v>256000</v>
      </c>
    </row>
    <row r="46" spans="1:34" ht="16.5" x14ac:dyDescent="0.3">
      <c r="A46" s="35" t="s">
        <v>40</v>
      </c>
      <c r="B46" s="35" t="s">
        <v>3367</v>
      </c>
      <c r="C46" s="41" t="s">
        <v>3395</v>
      </c>
      <c r="D46" s="35">
        <v>43</v>
      </c>
      <c r="E46" s="36" t="str">
        <f t="shared" si="0"/>
        <v>3#3#95|3#4#95|3#5#95|3#6#95|3#7#95|3#8#95</v>
      </c>
      <c r="F46" s="190" t="str">
        <f t="shared" si="11"/>
        <v>极品注灵石7/元宝256000</v>
      </c>
      <c r="G46" s="35">
        <v>20</v>
      </c>
      <c r="H46" s="112"/>
      <c r="O46" s="8">
        <v>43</v>
      </c>
      <c r="P46" s="8">
        <f>(P$48-P$43)*3/5+P$43</f>
        <v>6.76</v>
      </c>
      <c r="Q46" s="158"/>
      <c r="R46" s="158"/>
      <c r="S46" s="158"/>
      <c r="T46" s="97">
        <v>1</v>
      </c>
      <c r="U46" s="158">
        <f t="shared" si="2"/>
        <v>8600</v>
      </c>
      <c r="V46" s="158">
        <f t="shared" si="3"/>
        <v>8600</v>
      </c>
      <c r="W46" s="158">
        <f>INT(O46/O$48*W$48)</f>
        <v>286</v>
      </c>
      <c r="X46" s="158">
        <f t="shared" si="5"/>
        <v>286</v>
      </c>
      <c r="Y46" s="158">
        <f t="shared" si="6"/>
        <v>286</v>
      </c>
      <c r="Z46" s="158">
        <f t="shared" si="7"/>
        <v>286</v>
      </c>
      <c r="AA46" s="8"/>
      <c r="AB46" s="8"/>
      <c r="AC46" s="8"/>
      <c r="AD46" s="8"/>
      <c r="AE46" s="8"/>
      <c r="AF46" s="8"/>
      <c r="AG46" s="8">
        <f t="shared" si="9"/>
        <v>66</v>
      </c>
      <c r="AH46" s="8">
        <f t="shared" si="8"/>
        <v>264000</v>
      </c>
    </row>
    <row r="47" spans="1:34" ht="16.5" x14ac:dyDescent="0.3">
      <c r="A47" s="35" t="s">
        <v>40</v>
      </c>
      <c r="B47" s="35" t="s">
        <v>3367</v>
      </c>
      <c r="C47" s="41" t="s">
        <v>3396</v>
      </c>
      <c r="D47" s="35">
        <v>44</v>
      </c>
      <c r="E47" s="36" t="str">
        <f t="shared" si="0"/>
        <v>3#3#97|3#4#97|3#5#97|3#6#97|3#7#97|3#8#97</v>
      </c>
      <c r="F47" s="190" t="str">
        <f t="shared" si="11"/>
        <v>极品注灵石7/元宝264000</v>
      </c>
      <c r="G47" s="35">
        <v>20</v>
      </c>
      <c r="H47" s="112"/>
      <c r="O47" s="8">
        <v>44</v>
      </c>
      <c r="P47" s="8">
        <f>(P$48-P$43)*4/5+P$43</f>
        <v>6.88</v>
      </c>
      <c r="Q47" s="158"/>
      <c r="R47" s="158"/>
      <c r="S47" s="158"/>
      <c r="T47" s="97">
        <v>1</v>
      </c>
      <c r="U47" s="158">
        <f>INT(O47/O$48*U$48)</f>
        <v>8800</v>
      </c>
      <c r="V47" s="158">
        <f t="shared" si="3"/>
        <v>8800</v>
      </c>
      <c r="W47" s="158">
        <f>INT(O47/O$48*W$48)</f>
        <v>293</v>
      </c>
      <c r="X47" s="158">
        <f t="shared" si="5"/>
        <v>293</v>
      </c>
      <c r="Y47" s="158">
        <f>INT(O47/O$48*Y$48)</f>
        <v>293</v>
      </c>
      <c r="Z47" s="158">
        <f t="shared" si="7"/>
        <v>293</v>
      </c>
      <c r="AA47" s="8"/>
      <c r="AB47" s="8"/>
      <c r="AC47" s="8"/>
      <c r="AD47" s="8"/>
      <c r="AE47" s="8"/>
      <c r="AF47" s="8"/>
      <c r="AG47" s="8">
        <f>ROUND(AE$48*1/45*P47/11,0)</f>
        <v>67</v>
      </c>
      <c r="AH47" s="8">
        <f>AG47*4000</f>
        <v>268000</v>
      </c>
    </row>
    <row r="48" spans="1:34" ht="16.5" x14ac:dyDescent="0.3">
      <c r="A48" s="35" t="s">
        <v>40</v>
      </c>
      <c r="B48" s="35" t="s">
        <v>3367</v>
      </c>
      <c r="C48" s="41" t="s">
        <v>3397</v>
      </c>
      <c r="D48" s="35">
        <v>45</v>
      </c>
      <c r="E48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8" s="190"/>
      <c r="G48" s="35"/>
      <c r="H48" s="112"/>
      <c r="O48" s="8">
        <v>45</v>
      </c>
      <c r="P48" s="8">
        <f>材料产出!C30</f>
        <v>7</v>
      </c>
      <c r="Q48" s="158">
        <f>养成属性分配!AL31</f>
        <v>15000</v>
      </c>
      <c r="R48" s="158">
        <f>养成属性分配!AM31</f>
        <v>600</v>
      </c>
      <c r="S48" s="158">
        <f>养成属性分配!AN31</f>
        <v>600</v>
      </c>
      <c r="T48" s="97">
        <v>1</v>
      </c>
      <c r="U48" s="158">
        <f>9/15*Q48</f>
        <v>9000</v>
      </c>
      <c r="V48" s="158">
        <f>U48*T48</f>
        <v>9000</v>
      </c>
      <c r="W48" s="158">
        <f>1/2*R48</f>
        <v>300</v>
      </c>
      <c r="X48" s="158">
        <f>INT(W48*T48)</f>
        <v>300</v>
      </c>
      <c r="Y48" s="158">
        <f>1/2*S48</f>
        <v>300</v>
      </c>
      <c r="Z48" s="158">
        <f>INT(Y48*T48)</f>
        <v>300</v>
      </c>
      <c r="AA48" s="8">
        <f>6/15*Q48</f>
        <v>6000</v>
      </c>
      <c r="AB48" s="8">
        <f>1/2*R48</f>
        <v>300</v>
      </c>
      <c r="AC48" s="8">
        <f>1/2*S48</f>
        <v>300</v>
      </c>
      <c r="AD48" s="8">
        <f>Q48*属性价值参考!C5+装备注灵!R48*(属性价值参考!C7+属性价值参考!C8)+装备注灵!S48*(属性价值参考!C9+属性价值参考!C10+属性价值参考!C11+属性价值参考!C12)</f>
        <v>163080</v>
      </c>
      <c r="AE48" s="8">
        <f>AD48/34*1</f>
        <v>4796.4705882352937</v>
      </c>
      <c r="AF48" s="8">
        <f>AD48/34*4000</f>
        <v>19185882.352941174</v>
      </c>
      <c r="AG48" s="8">
        <f>ROUND(AE$48*1/45*P48/11,0)</f>
        <v>68</v>
      </c>
      <c r="AH48" s="8">
        <f>AG48*4000</f>
        <v>272000</v>
      </c>
    </row>
    <row r="49" spans="1:8" ht="15.75" x14ac:dyDescent="0.3">
      <c r="A49" s="44" t="s">
        <v>40</v>
      </c>
      <c r="B49" s="44" t="s">
        <v>3398</v>
      </c>
      <c r="C49" s="45" t="s">
        <v>78</v>
      </c>
      <c r="D49" s="44">
        <v>0</v>
      </c>
      <c r="E49" s="115"/>
      <c r="F49" s="211" t="str">
        <f>"中品注灵石"&amp;AG4&amp;"/元宝"&amp;AH4</f>
        <v>中品注灵石5/元宝20000</v>
      </c>
      <c r="G49" s="44">
        <v>100</v>
      </c>
      <c r="H49" s="112"/>
    </row>
    <row r="50" spans="1:8" ht="15.75" x14ac:dyDescent="0.3">
      <c r="A50" s="44" t="s">
        <v>40</v>
      </c>
      <c r="B50" s="44" t="s">
        <v>3398</v>
      </c>
      <c r="C50" s="45" t="s">
        <v>3344</v>
      </c>
      <c r="D50" s="44">
        <v>1</v>
      </c>
      <c r="E50" s="115" t="str">
        <f t="shared" ref="E50:E93" si="12">"3#9#"&amp;INT(1/3*Z4)&amp;"|"&amp;"3#10#"&amp;INT(1/3*Z4)</f>
        <v>3#9#1|3#10#1</v>
      </c>
      <c r="F50" s="211" t="str">
        <f t="shared" ref="F50:F63" si="13">"中品注灵石"&amp;AG5&amp;"/元宝"&amp;AH5</f>
        <v>中品注灵石6/元宝24000</v>
      </c>
      <c r="G50" s="44">
        <v>100</v>
      </c>
      <c r="H50" s="112"/>
    </row>
    <row r="51" spans="1:8" ht="15.75" x14ac:dyDescent="0.3">
      <c r="A51" s="44" t="s">
        <v>40</v>
      </c>
      <c r="B51" s="44" t="s">
        <v>3398</v>
      </c>
      <c r="C51" s="45" t="s">
        <v>3346</v>
      </c>
      <c r="D51" s="44">
        <v>2</v>
      </c>
      <c r="E51" s="115" t="str">
        <f t="shared" si="12"/>
        <v>3#9#2|3#10#2</v>
      </c>
      <c r="F51" s="211" t="str">
        <f t="shared" si="13"/>
        <v>中品注灵石6/元宝24000</v>
      </c>
      <c r="G51" s="44">
        <v>100</v>
      </c>
      <c r="H51" s="112"/>
    </row>
    <row r="52" spans="1:8" ht="15.75" x14ac:dyDescent="0.3">
      <c r="A52" s="44" t="s">
        <v>40</v>
      </c>
      <c r="B52" s="44" t="s">
        <v>3398</v>
      </c>
      <c r="C52" s="45" t="s">
        <v>3348</v>
      </c>
      <c r="D52" s="44">
        <v>3</v>
      </c>
      <c r="E52" s="115" t="str">
        <f t="shared" si="12"/>
        <v>3#9#4|3#10#4</v>
      </c>
      <c r="F52" s="211" t="str">
        <f t="shared" si="13"/>
        <v>中品注灵石7/元宝28000</v>
      </c>
      <c r="G52" s="44">
        <v>100</v>
      </c>
      <c r="H52" s="112"/>
    </row>
    <row r="53" spans="1:8" ht="15.75" x14ac:dyDescent="0.3">
      <c r="A53" s="44" t="s">
        <v>40</v>
      </c>
      <c r="B53" s="44" t="s">
        <v>3398</v>
      </c>
      <c r="C53" s="45" t="s">
        <v>3350</v>
      </c>
      <c r="D53" s="44">
        <v>4</v>
      </c>
      <c r="E53" s="115" t="str">
        <f t="shared" si="12"/>
        <v>3#9#5|3#10#5</v>
      </c>
      <c r="F53" s="211" t="str">
        <f t="shared" si="13"/>
        <v>中品注灵石8/元宝32000</v>
      </c>
      <c r="G53" s="44">
        <v>100</v>
      </c>
      <c r="H53" s="112"/>
    </row>
    <row r="54" spans="1:8" ht="15.75" x14ac:dyDescent="0.3">
      <c r="A54" s="44" t="s">
        <v>40</v>
      </c>
      <c r="B54" s="44" t="s">
        <v>3398</v>
      </c>
      <c r="C54" s="45" t="s">
        <v>3352</v>
      </c>
      <c r="D54" s="44">
        <v>5</v>
      </c>
      <c r="E54" s="115" t="str">
        <f t="shared" si="12"/>
        <v>3#9#6|3#10#6</v>
      </c>
      <c r="F54" s="211" t="str">
        <f t="shared" si="13"/>
        <v>中品注灵石8/元宝32000</v>
      </c>
      <c r="G54" s="44">
        <v>100</v>
      </c>
      <c r="H54" s="112"/>
    </row>
    <row r="55" spans="1:8" ht="15.75" x14ac:dyDescent="0.3">
      <c r="A55" s="44" t="s">
        <v>40</v>
      </c>
      <c r="B55" s="44" t="s">
        <v>3398</v>
      </c>
      <c r="C55" s="45" t="s">
        <v>3354</v>
      </c>
      <c r="D55" s="44">
        <v>6</v>
      </c>
      <c r="E55" s="115" t="str">
        <f t="shared" si="12"/>
        <v>3#9#8|3#10#8</v>
      </c>
      <c r="F55" s="211" t="str">
        <f t="shared" si="13"/>
        <v>中品注灵石9/元宝36000</v>
      </c>
      <c r="G55" s="44">
        <v>100</v>
      </c>
      <c r="H55" s="112"/>
    </row>
    <row r="56" spans="1:8" ht="15.75" x14ac:dyDescent="0.3">
      <c r="A56" s="44" t="s">
        <v>40</v>
      </c>
      <c r="B56" s="44" t="s">
        <v>3398</v>
      </c>
      <c r="C56" s="45" t="s">
        <v>3356</v>
      </c>
      <c r="D56" s="44">
        <v>7</v>
      </c>
      <c r="E56" s="115" t="str">
        <f t="shared" si="12"/>
        <v>3#9#9|3#10#9</v>
      </c>
      <c r="F56" s="211" t="str">
        <f t="shared" si="13"/>
        <v>中品注灵石9/元宝36000</v>
      </c>
      <c r="G56" s="44">
        <v>100</v>
      </c>
      <c r="H56" s="112"/>
    </row>
    <row r="57" spans="1:8" ht="15.75" x14ac:dyDescent="0.3">
      <c r="A57" s="44" t="s">
        <v>40</v>
      </c>
      <c r="B57" s="44" t="s">
        <v>3398</v>
      </c>
      <c r="C57" s="45" t="s">
        <v>3358</v>
      </c>
      <c r="D57" s="44">
        <v>8</v>
      </c>
      <c r="E57" s="115" t="str">
        <f t="shared" si="12"/>
        <v>3#9#11|3#10#11</v>
      </c>
      <c r="F57" s="211" t="str">
        <f t="shared" si="13"/>
        <v>中品注灵石10/元宝40000</v>
      </c>
      <c r="G57" s="44">
        <v>100</v>
      </c>
      <c r="H57" s="112"/>
    </row>
    <row r="58" spans="1:8" ht="15.75" x14ac:dyDescent="0.3">
      <c r="A58" s="44" t="s">
        <v>40</v>
      </c>
      <c r="B58" s="44" t="s">
        <v>3398</v>
      </c>
      <c r="C58" s="45" t="s">
        <v>3360</v>
      </c>
      <c r="D58" s="44">
        <v>9</v>
      </c>
      <c r="E58" s="115" t="str">
        <f t="shared" si="12"/>
        <v>3#9#13|3#10#13</v>
      </c>
      <c r="F58" s="211" t="str">
        <f t="shared" si="13"/>
        <v>中品注灵石11/元宝44000</v>
      </c>
      <c r="G58" s="44">
        <v>100</v>
      </c>
      <c r="H58" s="112"/>
    </row>
    <row r="59" spans="1:8" ht="15.75" x14ac:dyDescent="0.3">
      <c r="A59" s="44" t="s">
        <v>40</v>
      </c>
      <c r="B59" s="44" t="s">
        <v>3398</v>
      </c>
      <c r="C59" s="45" t="s">
        <v>3361</v>
      </c>
      <c r="D59" s="44">
        <v>10</v>
      </c>
      <c r="E59" s="115" t="str">
        <f t="shared" si="12"/>
        <v>3#9#14|3#10#14</v>
      </c>
      <c r="F59" s="211" t="str">
        <f t="shared" si="13"/>
        <v>中品注灵石11/元宝44000</v>
      </c>
      <c r="G59" s="44">
        <v>100</v>
      </c>
      <c r="H59" s="112"/>
    </row>
    <row r="60" spans="1:8" ht="15.75" x14ac:dyDescent="0.3">
      <c r="A60" s="44" t="s">
        <v>40</v>
      </c>
      <c r="B60" s="44" t="s">
        <v>3398</v>
      </c>
      <c r="C60" s="45" t="s">
        <v>3362</v>
      </c>
      <c r="D60" s="44">
        <v>11</v>
      </c>
      <c r="E60" s="115" t="str">
        <f t="shared" si="12"/>
        <v>3#9#17|3#10#17</v>
      </c>
      <c r="F60" s="211" t="str">
        <f t="shared" si="13"/>
        <v>中品注灵石12/元宝48000</v>
      </c>
      <c r="G60" s="44">
        <v>100</v>
      </c>
      <c r="H60" s="112"/>
    </row>
    <row r="61" spans="1:8" ht="15.75" x14ac:dyDescent="0.3">
      <c r="A61" s="44" t="s">
        <v>40</v>
      </c>
      <c r="B61" s="44" t="s">
        <v>3398</v>
      </c>
      <c r="C61" s="45" t="s">
        <v>3363</v>
      </c>
      <c r="D61" s="44">
        <v>12</v>
      </c>
      <c r="E61" s="115" t="str">
        <f t="shared" si="12"/>
        <v>3#9#18|3#10#18</v>
      </c>
      <c r="F61" s="211" t="str">
        <f t="shared" si="13"/>
        <v>中品注灵石13/元宝52000</v>
      </c>
      <c r="G61" s="44">
        <v>100</v>
      </c>
      <c r="H61" s="112"/>
    </row>
    <row r="62" spans="1:8" ht="15.75" x14ac:dyDescent="0.3">
      <c r="A62" s="44" t="s">
        <v>40</v>
      </c>
      <c r="B62" s="44" t="s">
        <v>3398</v>
      </c>
      <c r="C62" s="45" t="s">
        <v>3364</v>
      </c>
      <c r="D62" s="44">
        <v>13</v>
      </c>
      <c r="E62" s="115" t="str">
        <f t="shared" si="12"/>
        <v>3#9#20|3#10#20</v>
      </c>
      <c r="F62" s="211" t="str">
        <f t="shared" si="13"/>
        <v>中品注灵石14/元宝56000</v>
      </c>
      <c r="G62" s="44">
        <v>100</v>
      </c>
      <c r="H62" s="112"/>
    </row>
    <row r="63" spans="1:8" ht="15.75" x14ac:dyDescent="0.3">
      <c r="A63" s="44" t="s">
        <v>40</v>
      </c>
      <c r="B63" s="44" t="s">
        <v>3398</v>
      </c>
      <c r="C63" s="45" t="s">
        <v>3365</v>
      </c>
      <c r="D63" s="44">
        <v>14</v>
      </c>
      <c r="E63" s="115" t="str">
        <f t="shared" si="12"/>
        <v>3#9#21|3#10#21</v>
      </c>
      <c r="F63" s="211" t="str">
        <f t="shared" si="13"/>
        <v>中品注灵石15/元宝60000</v>
      </c>
      <c r="G63" s="44">
        <v>100</v>
      </c>
      <c r="H63" s="112"/>
    </row>
    <row r="64" spans="1:8" ht="15.75" x14ac:dyDescent="0.3">
      <c r="A64" s="44" t="s">
        <v>40</v>
      </c>
      <c r="B64" s="44" t="s">
        <v>3398</v>
      </c>
      <c r="C64" s="45" t="s">
        <v>3366</v>
      </c>
      <c r="D64" s="44">
        <v>15</v>
      </c>
      <c r="E64" s="115" t="str">
        <f t="shared" si="12"/>
        <v>3#9#23|3#10#23</v>
      </c>
      <c r="F64" s="211" t="str">
        <f>"上品注灵石"&amp;ROUND(AG19/2,0)&amp;"/元宝"&amp;AH18</f>
        <v>上品注灵石8/元宝60000</v>
      </c>
      <c r="G64" s="44">
        <v>30</v>
      </c>
      <c r="H64" s="112"/>
    </row>
    <row r="65" spans="1:8" ht="15.75" x14ac:dyDescent="0.3">
      <c r="A65" s="44" t="s">
        <v>40</v>
      </c>
      <c r="B65" s="44" t="s">
        <v>3414</v>
      </c>
      <c r="C65" s="45" t="s">
        <v>3368</v>
      </c>
      <c r="D65" s="44">
        <v>16</v>
      </c>
      <c r="E65" s="115" t="str">
        <f t="shared" si="12"/>
        <v>3#9#26|3#10#26</v>
      </c>
      <c r="F65" s="211" t="str">
        <f t="shared" ref="F65:F78" si="14">"上品注灵石"&amp;ROUND(AG20/2,0)&amp;"/元宝"&amp;AH19</f>
        <v>上品注灵石9/元宝64000</v>
      </c>
      <c r="G65" s="44">
        <v>30</v>
      </c>
      <c r="H65" s="112"/>
    </row>
    <row r="66" spans="1:8" ht="15.75" x14ac:dyDescent="0.3">
      <c r="A66" s="44" t="s">
        <v>40</v>
      </c>
      <c r="B66" s="44" t="s">
        <v>3414</v>
      </c>
      <c r="C66" s="45" t="s">
        <v>3369</v>
      </c>
      <c r="D66" s="44">
        <v>17</v>
      </c>
      <c r="E66" s="115" t="str">
        <f t="shared" si="12"/>
        <v>3#9#28|3#10#28</v>
      </c>
      <c r="F66" s="211" t="str">
        <f t="shared" si="14"/>
        <v>上品注灵石10/元宝72000</v>
      </c>
      <c r="G66" s="44">
        <v>30</v>
      </c>
      <c r="H66" s="112"/>
    </row>
    <row r="67" spans="1:8" ht="15.75" x14ac:dyDescent="0.3">
      <c r="A67" s="44" t="s">
        <v>40</v>
      </c>
      <c r="B67" s="44" t="s">
        <v>3414</v>
      </c>
      <c r="C67" s="45" t="s">
        <v>3370</v>
      </c>
      <c r="D67" s="44">
        <v>18</v>
      </c>
      <c r="E67" s="115" t="str">
        <f t="shared" si="12"/>
        <v>3#9#30|3#10#30</v>
      </c>
      <c r="F67" s="211" t="str">
        <f t="shared" si="14"/>
        <v>上品注灵石11/元宝80000</v>
      </c>
      <c r="G67" s="44">
        <v>30</v>
      </c>
      <c r="H67" s="112"/>
    </row>
    <row r="68" spans="1:8" ht="15.75" x14ac:dyDescent="0.3">
      <c r="A68" s="44" t="s">
        <v>40</v>
      </c>
      <c r="B68" s="44" t="s">
        <v>3414</v>
      </c>
      <c r="C68" s="45" t="s">
        <v>3371</v>
      </c>
      <c r="D68" s="44">
        <v>19</v>
      </c>
      <c r="E68" s="115" t="str">
        <f t="shared" si="12"/>
        <v>3#9#31|3#10#31</v>
      </c>
      <c r="F68" s="211" t="str">
        <f t="shared" si="14"/>
        <v>上品注灵石12/元宝88000</v>
      </c>
      <c r="G68" s="44">
        <v>30</v>
      </c>
      <c r="H68" s="112"/>
    </row>
    <row r="69" spans="1:8" ht="15.75" x14ac:dyDescent="0.3">
      <c r="A69" s="44" t="s">
        <v>40</v>
      </c>
      <c r="B69" s="44" t="s">
        <v>3414</v>
      </c>
      <c r="C69" s="45" t="s">
        <v>3372</v>
      </c>
      <c r="D69" s="44">
        <v>20</v>
      </c>
      <c r="E69" s="115" t="str">
        <f t="shared" si="12"/>
        <v>3#9#33|3#10#33</v>
      </c>
      <c r="F69" s="211" t="str">
        <f t="shared" si="14"/>
        <v>上品注灵石14/元宝96000</v>
      </c>
      <c r="G69" s="44">
        <v>25</v>
      </c>
      <c r="H69" s="112"/>
    </row>
    <row r="70" spans="1:8" ht="15.75" x14ac:dyDescent="0.3">
      <c r="A70" s="44" t="s">
        <v>40</v>
      </c>
      <c r="B70" s="44" t="s">
        <v>3414</v>
      </c>
      <c r="C70" s="45" t="s">
        <v>3373</v>
      </c>
      <c r="D70" s="44">
        <v>21</v>
      </c>
      <c r="E70" s="115" t="str">
        <f t="shared" si="12"/>
        <v>3#9#37|3#10#37</v>
      </c>
      <c r="F70" s="211" t="str">
        <f t="shared" si="14"/>
        <v>上品注灵石15/元宝108000</v>
      </c>
      <c r="G70" s="44">
        <v>25</v>
      </c>
      <c r="H70" s="112"/>
    </row>
    <row r="71" spans="1:8" ht="15.75" x14ac:dyDescent="0.3">
      <c r="A71" s="44" t="s">
        <v>40</v>
      </c>
      <c r="B71" s="44" t="s">
        <v>3414</v>
      </c>
      <c r="C71" s="45" t="s">
        <v>3374</v>
      </c>
      <c r="D71" s="44">
        <v>22</v>
      </c>
      <c r="E71" s="115" t="str">
        <f t="shared" si="12"/>
        <v>3#9#38|3#10#38</v>
      </c>
      <c r="F71" s="211" t="str">
        <f t="shared" si="14"/>
        <v>上品注灵石16/元宝116000</v>
      </c>
      <c r="G71" s="44">
        <v>25</v>
      </c>
      <c r="H71" s="112"/>
    </row>
    <row r="72" spans="1:8" ht="15.75" x14ac:dyDescent="0.3">
      <c r="A72" s="44" t="s">
        <v>40</v>
      </c>
      <c r="B72" s="44" t="s">
        <v>3414</v>
      </c>
      <c r="C72" s="45" t="s">
        <v>3375</v>
      </c>
      <c r="D72" s="44">
        <v>23</v>
      </c>
      <c r="E72" s="115" t="str">
        <f t="shared" si="12"/>
        <v>3#9#40|3#10#40</v>
      </c>
      <c r="F72" s="211" t="str">
        <f t="shared" si="14"/>
        <v>上品注灵石17/元宝124000</v>
      </c>
      <c r="G72" s="44">
        <v>25</v>
      </c>
      <c r="H72" s="112"/>
    </row>
    <row r="73" spans="1:8" ht="15.75" x14ac:dyDescent="0.3">
      <c r="A73" s="44" t="s">
        <v>40</v>
      </c>
      <c r="B73" s="44" t="s">
        <v>3414</v>
      </c>
      <c r="C73" s="45" t="s">
        <v>3376</v>
      </c>
      <c r="D73" s="44">
        <v>24</v>
      </c>
      <c r="E73" s="115" t="str">
        <f t="shared" si="12"/>
        <v>3#9#42|3#10#42</v>
      </c>
      <c r="F73" s="211" t="str">
        <f t="shared" si="14"/>
        <v>上品注灵石18/元宝136000</v>
      </c>
      <c r="G73" s="44">
        <v>25</v>
      </c>
      <c r="H73" s="112"/>
    </row>
    <row r="74" spans="1:8" ht="15.75" x14ac:dyDescent="0.3">
      <c r="A74" s="44" t="s">
        <v>40</v>
      </c>
      <c r="B74" s="44" t="s">
        <v>3414</v>
      </c>
      <c r="C74" s="45" t="s">
        <v>3377</v>
      </c>
      <c r="D74" s="44">
        <v>25</v>
      </c>
      <c r="E74" s="115" t="str">
        <f t="shared" si="12"/>
        <v>3#9#44|3#10#44</v>
      </c>
      <c r="F74" s="211" t="str">
        <f t="shared" si="14"/>
        <v>上品注灵石19/元宝144000</v>
      </c>
      <c r="G74" s="44">
        <v>25</v>
      </c>
      <c r="H74" s="112"/>
    </row>
    <row r="75" spans="1:8" ht="15.75" x14ac:dyDescent="0.3">
      <c r="A75" s="44" t="s">
        <v>40</v>
      </c>
      <c r="B75" s="44" t="s">
        <v>3414</v>
      </c>
      <c r="C75" s="45" t="s">
        <v>3378</v>
      </c>
      <c r="D75" s="44">
        <v>26</v>
      </c>
      <c r="E75" s="115" t="str">
        <f t="shared" si="12"/>
        <v>3#9#49|3#10#49</v>
      </c>
      <c r="F75" s="211" t="str">
        <f t="shared" si="14"/>
        <v>上品注灵石20/元宝152000</v>
      </c>
      <c r="G75" s="44">
        <v>25</v>
      </c>
      <c r="H75" s="112"/>
    </row>
    <row r="76" spans="1:8" ht="15.75" x14ac:dyDescent="0.3">
      <c r="A76" s="44" t="s">
        <v>40</v>
      </c>
      <c r="B76" s="44" t="s">
        <v>3414</v>
      </c>
      <c r="C76" s="45" t="s">
        <v>3379</v>
      </c>
      <c r="D76" s="44">
        <v>27</v>
      </c>
      <c r="E76" s="115" t="str">
        <f t="shared" si="12"/>
        <v>3#9#51|3#10#51</v>
      </c>
      <c r="F76" s="211" t="str">
        <f t="shared" si="14"/>
        <v>上品注灵石21/元宝156000</v>
      </c>
      <c r="G76" s="44">
        <v>25</v>
      </c>
      <c r="H76" s="112"/>
    </row>
    <row r="77" spans="1:8" ht="15.75" x14ac:dyDescent="0.3">
      <c r="A77" s="44" t="s">
        <v>40</v>
      </c>
      <c r="B77" s="44" t="s">
        <v>3414</v>
      </c>
      <c r="C77" s="45" t="s">
        <v>3380</v>
      </c>
      <c r="D77" s="44">
        <v>28</v>
      </c>
      <c r="E77" s="115" t="str">
        <f t="shared" si="12"/>
        <v>3#9#52|3#10#52</v>
      </c>
      <c r="F77" s="211" t="str">
        <f t="shared" si="14"/>
        <v>上品注灵石22/元宝164000</v>
      </c>
      <c r="G77" s="44">
        <v>25</v>
      </c>
      <c r="H77" s="112"/>
    </row>
    <row r="78" spans="1:8" ht="15.75" x14ac:dyDescent="0.3">
      <c r="A78" s="44" t="s">
        <v>40</v>
      </c>
      <c r="B78" s="44" t="s">
        <v>3414</v>
      </c>
      <c r="C78" s="45" t="s">
        <v>3381</v>
      </c>
      <c r="D78" s="44">
        <v>29</v>
      </c>
      <c r="E78" s="115" t="str">
        <f t="shared" si="12"/>
        <v>3#9#54|3#10#54</v>
      </c>
      <c r="F78" s="211" t="str">
        <f t="shared" si="14"/>
        <v>上品注灵石23/元宝172000</v>
      </c>
      <c r="G78" s="44">
        <v>25</v>
      </c>
      <c r="H78" s="112"/>
    </row>
    <row r="79" spans="1:8" ht="15.75" x14ac:dyDescent="0.3">
      <c r="A79" s="44" t="s">
        <v>40</v>
      </c>
      <c r="B79" s="44" t="s">
        <v>3414</v>
      </c>
      <c r="C79" s="45" t="s">
        <v>3382</v>
      </c>
      <c r="D79" s="44">
        <v>30</v>
      </c>
      <c r="E79" s="115" t="str">
        <f t="shared" si="12"/>
        <v>3#9#56|3#10#56</v>
      </c>
      <c r="F79" s="211" t="str">
        <f>"极品注灵石"&amp;ROUND(AG34/10,0)&amp;"/元宝"&amp;AH32</f>
        <v>极品注灵石5/元宝172000</v>
      </c>
      <c r="G79" s="44">
        <v>30</v>
      </c>
      <c r="H79" s="112"/>
    </row>
    <row r="80" spans="1:8" ht="15.75" x14ac:dyDescent="0.3">
      <c r="A80" s="44" t="s">
        <v>40</v>
      </c>
      <c r="B80" s="44" t="s">
        <v>3414</v>
      </c>
      <c r="C80" s="45" t="s">
        <v>3383</v>
      </c>
      <c r="D80" s="44">
        <v>31</v>
      </c>
      <c r="E80" s="115" t="str">
        <f t="shared" si="12"/>
        <v>3#9#61|3#10#61</v>
      </c>
      <c r="F80" s="211" t="str">
        <f t="shared" ref="F80:F93" si="15">"极品注灵石"&amp;ROUND(AG35/10,0)&amp;"/元宝"&amp;AH33</f>
        <v>极品注灵石5/元宝180000</v>
      </c>
      <c r="G80" s="44">
        <v>30</v>
      </c>
      <c r="H80" s="112"/>
    </row>
    <row r="81" spans="1:8" ht="15.75" x14ac:dyDescent="0.3">
      <c r="A81" s="44" t="s">
        <v>40</v>
      </c>
      <c r="B81" s="44" t="s">
        <v>3414</v>
      </c>
      <c r="C81" s="45" t="s">
        <v>3384</v>
      </c>
      <c r="D81" s="44">
        <v>32</v>
      </c>
      <c r="E81" s="115" t="str">
        <f t="shared" si="12"/>
        <v>3#9#63|3#10#63</v>
      </c>
      <c r="F81" s="211" t="str">
        <f t="shared" si="15"/>
        <v>极品注灵石5/元宝184000</v>
      </c>
      <c r="G81" s="44">
        <v>30</v>
      </c>
      <c r="H81" s="112"/>
    </row>
    <row r="82" spans="1:8" ht="15.75" x14ac:dyDescent="0.3">
      <c r="A82" s="44" t="s">
        <v>40</v>
      </c>
      <c r="B82" s="44" t="s">
        <v>3414</v>
      </c>
      <c r="C82" s="45" t="s">
        <v>3385</v>
      </c>
      <c r="D82" s="44">
        <v>33</v>
      </c>
      <c r="E82" s="115" t="str">
        <f t="shared" si="12"/>
        <v>3#9#66|3#10#66</v>
      </c>
      <c r="F82" s="211" t="str">
        <f t="shared" si="15"/>
        <v>极品注灵石5/元宝192000</v>
      </c>
      <c r="G82" s="44">
        <v>30</v>
      </c>
      <c r="H82" s="112"/>
    </row>
    <row r="83" spans="1:8" ht="15.75" x14ac:dyDescent="0.3">
      <c r="A83" s="44" t="s">
        <v>40</v>
      </c>
      <c r="B83" s="44" t="s">
        <v>3414</v>
      </c>
      <c r="C83" s="45" t="s">
        <v>3386</v>
      </c>
      <c r="D83" s="44">
        <v>34</v>
      </c>
      <c r="E83" s="115" t="str">
        <f t="shared" si="12"/>
        <v>3#9#67|3#10#67</v>
      </c>
      <c r="F83" s="211" t="str">
        <f t="shared" si="15"/>
        <v>极品注灵石5/元宝200000</v>
      </c>
      <c r="G83" s="44">
        <v>30</v>
      </c>
      <c r="H83" s="112"/>
    </row>
    <row r="84" spans="1:8" ht="15.75" x14ac:dyDescent="0.3">
      <c r="A84" s="44" t="s">
        <v>40</v>
      </c>
      <c r="B84" s="44" t="s">
        <v>3414</v>
      </c>
      <c r="C84" s="45" t="s">
        <v>3387</v>
      </c>
      <c r="D84" s="44">
        <v>35</v>
      </c>
      <c r="E84" s="115" t="str">
        <f t="shared" si="12"/>
        <v>3#9#69|3#10#69</v>
      </c>
      <c r="F84" s="211" t="str">
        <f t="shared" si="15"/>
        <v>极品注灵石6/元宝208000</v>
      </c>
      <c r="G84" s="44">
        <v>25</v>
      </c>
      <c r="H84" s="112"/>
    </row>
    <row r="85" spans="1:8" ht="15.75" x14ac:dyDescent="0.3">
      <c r="A85" s="44" t="s">
        <v>40</v>
      </c>
      <c r="B85" s="44" t="s">
        <v>3414</v>
      </c>
      <c r="C85" s="45" t="s">
        <v>3388</v>
      </c>
      <c r="D85" s="44">
        <v>36</v>
      </c>
      <c r="E85" s="115" t="str">
        <f t="shared" si="12"/>
        <v>3#9#76|3#10#76</v>
      </c>
      <c r="F85" s="211" t="str">
        <f t="shared" si="15"/>
        <v>极品注灵石6/元宝212000</v>
      </c>
      <c r="G85" s="44">
        <v>25</v>
      </c>
      <c r="H85" s="112"/>
    </row>
    <row r="86" spans="1:8" ht="15.75" x14ac:dyDescent="0.3">
      <c r="A86" s="44" t="s">
        <v>40</v>
      </c>
      <c r="B86" s="44" t="s">
        <v>3414</v>
      </c>
      <c r="C86" s="45" t="s">
        <v>3389</v>
      </c>
      <c r="D86" s="44">
        <v>37</v>
      </c>
      <c r="E86" s="115" t="str">
        <f t="shared" si="12"/>
        <v>3#9#77|3#10#77</v>
      </c>
      <c r="F86" s="211" t="str">
        <f t="shared" si="15"/>
        <v>极品注灵石6/元宝220000</v>
      </c>
      <c r="G86" s="44">
        <v>25</v>
      </c>
      <c r="H86" s="112"/>
    </row>
    <row r="87" spans="1:8" ht="15.75" x14ac:dyDescent="0.3">
      <c r="A87" s="44" t="s">
        <v>40</v>
      </c>
      <c r="B87" s="44" t="s">
        <v>3414</v>
      </c>
      <c r="C87" s="45" t="s">
        <v>3390</v>
      </c>
      <c r="D87" s="44">
        <v>38</v>
      </c>
      <c r="E87" s="115" t="str">
        <f t="shared" si="12"/>
        <v>3#9#80|3#10#80</v>
      </c>
      <c r="F87" s="211" t="str">
        <f t="shared" si="15"/>
        <v>极品注灵石6/元宝228000</v>
      </c>
      <c r="G87" s="44">
        <v>25</v>
      </c>
      <c r="H87" s="112"/>
    </row>
    <row r="88" spans="1:8" ht="15.75" x14ac:dyDescent="0.3">
      <c r="A88" s="44" t="s">
        <v>40</v>
      </c>
      <c r="B88" s="44" t="s">
        <v>3414</v>
      </c>
      <c r="C88" s="45" t="s">
        <v>3391</v>
      </c>
      <c r="D88" s="44">
        <v>39</v>
      </c>
      <c r="E88" s="115" t="str">
        <f t="shared" si="12"/>
        <v>3#9#82|3#10#82</v>
      </c>
      <c r="F88" s="211" t="str">
        <f t="shared" si="15"/>
        <v>极品注灵石6/元宝236000</v>
      </c>
      <c r="G88" s="44">
        <v>25</v>
      </c>
      <c r="H88" s="112"/>
    </row>
    <row r="89" spans="1:8" ht="15.75" x14ac:dyDescent="0.3">
      <c r="A89" s="44" t="s">
        <v>40</v>
      </c>
      <c r="B89" s="44" t="s">
        <v>3414</v>
      </c>
      <c r="C89" s="45" t="s">
        <v>3392</v>
      </c>
      <c r="D89" s="44">
        <v>40</v>
      </c>
      <c r="E89" s="115" t="str">
        <f t="shared" si="12"/>
        <v>3#9#84|3#10#84</v>
      </c>
      <c r="F89" s="211" t="str">
        <f t="shared" si="15"/>
        <v>极品注灵石6/元宝240000</v>
      </c>
      <c r="G89" s="44">
        <v>20</v>
      </c>
      <c r="H89" s="112"/>
    </row>
    <row r="90" spans="1:8" ht="15.75" x14ac:dyDescent="0.3">
      <c r="A90" s="44" t="s">
        <v>40</v>
      </c>
      <c r="B90" s="44" t="s">
        <v>3414</v>
      </c>
      <c r="C90" s="45" t="s">
        <v>3393</v>
      </c>
      <c r="D90" s="44">
        <v>41</v>
      </c>
      <c r="E90" s="115" t="str">
        <f t="shared" si="12"/>
        <v>3#9#91|3#10#91</v>
      </c>
      <c r="F90" s="211" t="str">
        <f t="shared" si="15"/>
        <v>极品注灵石6/元宝248000</v>
      </c>
      <c r="G90" s="44">
        <v>20</v>
      </c>
      <c r="H90" s="112"/>
    </row>
    <row r="91" spans="1:8" ht="15.75" x14ac:dyDescent="0.3">
      <c r="A91" s="44" t="s">
        <v>40</v>
      </c>
      <c r="B91" s="44" t="s">
        <v>3414</v>
      </c>
      <c r="C91" s="45" t="s">
        <v>3394</v>
      </c>
      <c r="D91" s="44">
        <v>42</v>
      </c>
      <c r="E91" s="115" t="str">
        <f t="shared" si="12"/>
        <v>3#9#93|3#10#93</v>
      </c>
      <c r="F91" s="211" t="str">
        <f t="shared" si="15"/>
        <v>极品注灵石7/元宝252000</v>
      </c>
      <c r="G91" s="44">
        <v>20</v>
      </c>
      <c r="H91" s="112"/>
    </row>
    <row r="92" spans="1:8" ht="15.75" x14ac:dyDescent="0.3">
      <c r="A92" s="44" t="s">
        <v>40</v>
      </c>
      <c r="B92" s="44" t="s">
        <v>3414</v>
      </c>
      <c r="C92" s="45" t="s">
        <v>3395</v>
      </c>
      <c r="D92" s="44">
        <v>43</v>
      </c>
      <c r="E92" s="115" t="str">
        <f t="shared" si="12"/>
        <v>3#9#95|3#10#95</v>
      </c>
      <c r="F92" s="211" t="str">
        <f t="shared" si="15"/>
        <v>极品注灵石7/元宝256000</v>
      </c>
      <c r="G92" s="44">
        <v>20</v>
      </c>
      <c r="H92" s="112"/>
    </row>
    <row r="93" spans="1:8" ht="15.75" x14ac:dyDescent="0.3">
      <c r="A93" s="44" t="s">
        <v>40</v>
      </c>
      <c r="B93" s="44" t="s">
        <v>3414</v>
      </c>
      <c r="C93" s="45" t="s">
        <v>3396</v>
      </c>
      <c r="D93" s="44">
        <v>44</v>
      </c>
      <c r="E93" s="115" t="str">
        <f t="shared" si="12"/>
        <v>3#9#97|3#10#97</v>
      </c>
      <c r="F93" s="211" t="str">
        <f t="shared" si="15"/>
        <v>极品注灵石7/元宝264000</v>
      </c>
      <c r="G93" s="44">
        <v>20</v>
      </c>
      <c r="H93" s="112"/>
    </row>
    <row r="94" spans="1:8" ht="15.75" x14ac:dyDescent="0.3">
      <c r="A94" s="44" t="s">
        <v>40</v>
      </c>
      <c r="B94" s="44" t="s">
        <v>3414</v>
      </c>
      <c r="C94" s="45" t="s">
        <v>3397</v>
      </c>
      <c r="D94" s="44">
        <v>45</v>
      </c>
      <c r="E94" s="115" t="str">
        <f>"3#9#"&amp;INT(1/3*Z48)&amp;"|"&amp;"3#10#"&amp;INT(1/3*Z48)</f>
        <v>3#9#100|3#10#100</v>
      </c>
      <c r="F94" s="211"/>
      <c r="G94" s="44"/>
      <c r="H94" s="112"/>
    </row>
    <row r="95" spans="1:8" ht="15.75" x14ac:dyDescent="0.3">
      <c r="A95" s="47" t="s">
        <v>40</v>
      </c>
      <c r="B95" s="47" t="s">
        <v>3415</v>
      </c>
      <c r="C95" s="48" t="s">
        <v>78</v>
      </c>
      <c r="D95" s="47">
        <v>0</v>
      </c>
      <c r="E95" s="119"/>
      <c r="F95" s="212" t="str">
        <f>"中品注灵石"&amp;AG4&amp;"/元宝"&amp;AH4</f>
        <v>中品注灵石5/元宝20000</v>
      </c>
      <c r="G95" s="47">
        <v>100</v>
      </c>
      <c r="H95" s="112"/>
    </row>
    <row r="96" spans="1:8" ht="15.75" x14ac:dyDescent="0.3">
      <c r="A96" s="47" t="s">
        <v>40</v>
      </c>
      <c r="B96" s="47" t="s">
        <v>3415</v>
      </c>
      <c r="C96" s="48" t="s">
        <v>3344</v>
      </c>
      <c r="D96" s="47">
        <v>1</v>
      </c>
      <c r="E96" s="119" t="str">
        <f t="shared" ref="E96:E139" si="16">"3#11#"&amp;INT(1/3*Z4)&amp;"|"&amp;"3#12#"&amp;INT(1/3*Z4)</f>
        <v>3#11#1|3#12#1</v>
      </c>
      <c r="F96" s="212" t="str">
        <f t="shared" ref="F96:F109" si="17">"中品注灵石"&amp;AG5&amp;"/元宝"&amp;AH5</f>
        <v>中品注灵石6/元宝24000</v>
      </c>
      <c r="G96" s="47">
        <v>100</v>
      </c>
      <c r="H96" s="112"/>
    </row>
    <row r="97" spans="1:8" ht="15.75" x14ac:dyDescent="0.3">
      <c r="A97" s="47" t="s">
        <v>40</v>
      </c>
      <c r="B97" s="47" t="s">
        <v>3415</v>
      </c>
      <c r="C97" s="48" t="s">
        <v>3346</v>
      </c>
      <c r="D97" s="47">
        <v>2</v>
      </c>
      <c r="E97" s="119" t="str">
        <f t="shared" si="16"/>
        <v>3#11#2|3#12#2</v>
      </c>
      <c r="F97" s="212" t="str">
        <f t="shared" si="17"/>
        <v>中品注灵石6/元宝24000</v>
      </c>
      <c r="G97" s="47">
        <v>100</v>
      </c>
      <c r="H97" s="112"/>
    </row>
    <row r="98" spans="1:8" ht="15.75" x14ac:dyDescent="0.3">
      <c r="A98" s="47" t="s">
        <v>40</v>
      </c>
      <c r="B98" s="47" t="s">
        <v>3415</v>
      </c>
      <c r="C98" s="48" t="s">
        <v>3348</v>
      </c>
      <c r="D98" s="47">
        <v>3</v>
      </c>
      <c r="E98" s="119" t="str">
        <f t="shared" si="16"/>
        <v>3#11#4|3#12#4</v>
      </c>
      <c r="F98" s="212" t="str">
        <f t="shared" si="17"/>
        <v>中品注灵石7/元宝28000</v>
      </c>
      <c r="G98" s="47">
        <v>100</v>
      </c>
      <c r="H98" s="112"/>
    </row>
    <row r="99" spans="1:8" ht="15.75" x14ac:dyDescent="0.3">
      <c r="A99" s="47" t="s">
        <v>40</v>
      </c>
      <c r="B99" s="47" t="s">
        <v>3415</v>
      </c>
      <c r="C99" s="48" t="s">
        <v>3350</v>
      </c>
      <c r="D99" s="47">
        <v>4</v>
      </c>
      <c r="E99" s="119" t="str">
        <f t="shared" si="16"/>
        <v>3#11#5|3#12#5</v>
      </c>
      <c r="F99" s="212" t="str">
        <f t="shared" si="17"/>
        <v>中品注灵石8/元宝32000</v>
      </c>
      <c r="G99" s="47">
        <v>100</v>
      </c>
      <c r="H99" s="112"/>
    </row>
    <row r="100" spans="1:8" ht="15.75" x14ac:dyDescent="0.3">
      <c r="A100" s="47" t="s">
        <v>40</v>
      </c>
      <c r="B100" s="47" t="s">
        <v>3415</v>
      </c>
      <c r="C100" s="48" t="s">
        <v>3352</v>
      </c>
      <c r="D100" s="47">
        <v>5</v>
      </c>
      <c r="E100" s="119" t="str">
        <f t="shared" si="16"/>
        <v>3#11#6|3#12#6</v>
      </c>
      <c r="F100" s="212" t="str">
        <f t="shared" si="17"/>
        <v>中品注灵石8/元宝32000</v>
      </c>
      <c r="G100" s="47">
        <v>100</v>
      </c>
      <c r="H100" s="112"/>
    </row>
    <row r="101" spans="1:8" ht="15.75" x14ac:dyDescent="0.3">
      <c r="A101" s="47" t="s">
        <v>40</v>
      </c>
      <c r="B101" s="47" t="s">
        <v>3415</v>
      </c>
      <c r="C101" s="48" t="s">
        <v>3354</v>
      </c>
      <c r="D101" s="47">
        <v>6</v>
      </c>
      <c r="E101" s="119" t="str">
        <f t="shared" si="16"/>
        <v>3#11#8|3#12#8</v>
      </c>
      <c r="F101" s="212" t="str">
        <f t="shared" si="17"/>
        <v>中品注灵石9/元宝36000</v>
      </c>
      <c r="G101" s="47">
        <v>100</v>
      </c>
      <c r="H101" s="112"/>
    </row>
    <row r="102" spans="1:8" ht="15.75" x14ac:dyDescent="0.3">
      <c r="A102" s="47" t="s">
        <v>40</v>
      </c>
      <c r="B102" s="47" t="s">
        <v>3415</v>
      </c>
      <c r="C102" s="48" t="s">
        <v>3356</v>
      </c>
      <c r="D102" s="47">
        <v>7</v>
      </c>
      <c r="E102" s="119" t="str">
        <f t="shared" si="16"/>
        <v>3#11#9|3#12#9</v>
      </c>
      <c r="F102" s="212" t="str">
        <f t="shared" si="17"/>
        <v>中品注灵石9/元宝36000</v>
      </c>
      <c r="G102" s="47">
        <v>100</v>
      </c>
      <c r="H102" s="112"/>
    </row>
    <row r="103" spans="1:8" ht="15.75" x14ac:dyDescent="0.3">
      <c r="A103" s="47" t="s">
        <v>40</v>
      </c>
      <c r="B103" s="47" t="s">
        <v>3415</v>
      </c>
      <c r="C103" s="48" t="s">
        <v>3358</v>
      </c>
      <c r="D103" s="47">
        <v>8</v>
      </c>
      <c r="E103" s="119" t="str">
        <f t="shared" si="16"/>
        <v>3#11#11|3#12#11</v>
      </c>
      <c r="F103" s="212" t="str">
        <f t="shared" si="17"/>
        <v>中品注灵石10/元宝40000</v>
      </c>
      <c r="G103" s="47">
        <v>100</v>
      </c>
      <c r="H103" s="112"/>
    </row>
    <row r="104" spans="1:8" ht="15.75" x14ac:dyDescent="0.3">
      <c r="A104" s="47" t="s">
        <v>40</v>
      </c>
      <c r="B104" s="47" t="s">
        <v>3415</v>
      </c>
      <c r="C104" s="48" t="s">
        <v>3360</v>
      </c>
      <c r="D104" s="47">
        <v>9</v>
      </c>
      <c r="E104" s="119" t="str">
        <f t="shared" si="16"/>
        <v>3#11#13|3#12#13</v>
      </c>
      <c r="F104" s="212" t="str">
        <f t="shared" si="17"/>
        <v>中品注灵石11/元宝44000</v>
      </c>
      <c r="G104" s="47">
        <v>100</v>
      </c>
      <c r="H104" s="112"/>
    </row>
    <row r="105" spans="1:8" ht="15.75" x14ac:dyDescent="0.3">
      <c r="A105" s="47" t="s">
        <v>40</v>
      </c>
      <c r="B105" s="47" t="s">
        <v>3415</v>
      </c>
      <c r="C105" s="48" t="s">
        <v>3361</v>
      </c>
      <c r="D105" s="47">
        <v>10</v>
      </c>
      <c r="E105" s="119" t="str">
        <f t="shared" si="16"/>
        <v>3#11#14|3#12#14</v>
      </c>
      <c r="F105" s="212" t="str">
        <f t="shared" si="17"/>
        <v>中品注灵石11/元宝44000</v>
      </c>
      <c r="G105" s="47">
        <v>100</v>
      </c>
      <c r="H105" s="112"/>
    </row>
    <row r="106" spans="1:8" ht="15.75" x14ac:dyDescent="0.3">
      <c r="A106" s="47" t="s">
        <v>40</v>
      </c>
      <c r="B106" s="47" t="s">
        <v>3415</v>
      </c>
      <c r="C106" s="48" t="s">
        <v>3362</v>
      </c>
      <c r="D106" s="47">
        <v>11</v>
      </c>
      <c r="E106" s="119" t="str">
        <f t="shared" si="16"/>
        <v>3#11#17|3#12#17</v>
      </c>
      <c r="F106" s="212" t="str">
        <f t="shared" si="17"/>
        <v>中品注灵石12/元宝48000</v>
      </c>
      <c r="G106" s="47">
        <v>100</v>
      </c>
      <c r="H106" s="112"/>
    </row>
    <row r="107" spans="1:8" ht="15.75" x14ac:dyDescent="0.3">
      <c r="A107" s="47" t="s">
        <v>40</v>
      </c>
      <c r="B107" s="47" t="s">
        <v>3415</v>
      </c>
      <c r="C107" s="48" t="s">
        <v>3363</v>
      </c>
      <c r="D107" s="47">
        <v>12</v>
      </c>
      <c r="E107" s="119" t="str">
        <f t="shared" si="16"/>
        <v>3#11#18|3#12#18</v>
      </c>
      <c r="F107" s="212" t="str">
        <f t="shared" si="17"/>
        <v>中品注灵石13/元宝52000</v>
      </c>
      <c r="G107" s="47">
        <v>100</v>
      </c>
      <c r="H107" s="112"/>
    </row>
    <row r="108" spans="1:8" ht="15.75" x14ac:dyDescent="0.3">
      <c r="A108" s="47" t="s">
        <v>40</v>
      </c>
      <c r="B108" s="47" t="s">
        <v>3415</v>
      </c>
      <c r="C108" s="48" t="s">
        <v>3364</v>
      </c>
      <c r="D108" s="47">
        <v>13</v>
      </c>
      <c r="E108" s="119" t="str">
        <f t="shared" si="16"/>
        <v>3#11#20|3#12#20</v>
      </c>
      <c r="F108" s="212" t="str">
        <f t="shared" si="17"/>
        <v>中品注灵石14/元宝56000</v>
      </c>
      <c r="G108" s="47">
        <v>100</v>
      </c>
      <c r="H108" s="112"/>
    </row>
    <row r="109" spans="1:8" ht="15.75" x14ac:dyDescent="0.3">
      <c r="A109" s="47" t="s">
        <v>40</v>
      </c>
      <c r="B109" s="47" t="s">
        <v>3415</v>
      </c>
      <c r="C109" s="48" t="s">
        <v>3365</v>
      </c>
      <c r="D109" s="47">
        <v>14</v>
      </c>
      <c r="E109" s="119" t="str">
        <f t="shared" si="16"/>
        <v>3#11#21|3#12#21</v>
      </c>
      <c r="F109" s="212" t="str">
        <f t="shared" si="17"/>
        <v>中品注灵石15/元宝60000</v>
      </c>
      <c r="G109" s="47">
        <v>100</v>
      </c>
      <c r="H109" s="112"/>
    </row>
    <row r="110" spans="1:8" ht="15.75" x14ac:dyDescent="0.3">
      <c r="A110" s="47" t="s">
        <v>40</v>
      </c>
      <c r="B110" s="47" t="s">
        <v>3415</v>
      </c>
      <c r="C110" s="48" t="s">
        <v>3366</v>
      </c>
      <c r="D110" s="47">
        <v>15</v>
      </c>
      <c r="E110" s="119" t="str">
        <f t="shared" si="16"/>
        <v>3#11#23|3#12#23</v>
      </c>
      <c r="F110" s="212" t="str">
        <f>"上品注灵石"&amp;ROUND(AG19/2,0)&amp;"/元宝"&amp;AH18</f>
        <v>上品注灵石8/元宝60000</v>
      </c>
      <c r="G110" s="47">
        <v>30</v>
      </c>
      <c r="H110" s="112"/>
    </row>
    <row r="111" spans="1:8" ht="15.75" x14ac:dyDescent="0.3">
      <c r="A111" s="47" t="s">
        <v>40</v>
      </c>
      <c r="B111" s="47" t="s">
        <v>3416</v>
      </c>
      <c r="C111" s="48" t="s">
        <v>3368</v>
      </c>
      <c r="D111" s="47">
        <v>16</v>
      </c>
      <c r="E111" s="119" t="str">
        <f t="shared" si="16"/>
        <v>3#11#26|3#12#26</v>
      </c>
      <c r="F111" s="212" t="str">
        <f t="shared" ref="F111:F124" si="18">"上品注灵石"&amp;ROUND(AG20/2,0)&amp;"/元宝"&amp;AH19</f>
        <v>上品注灵石9/元宝64000</v>
      </c>
      <c r="G111" s="47">
        <v>30</v>
      </c>
      <c r="H111" s="112"/>
    </row>
    <row r="112" spans="1:8" ht="15.75" x14ac:dyDescent="0.3">
      <c r="A112" s="47" t="s">
        <v>40</v>
      </c>
      <c r="B112" s="47" t="s">
        <v>3416</v>
      </c>
      <c r="C112" s="48" t="s">
        <v>3369</v>
      </c>
      <c r="D112" s="47">
        <v>17</v>
      </c>
      <c r="E112" s="119" t="str">
        <f t="shared" si="16"/>
        <v>3#11#28|3#12#28</v>
      </c>
      <c r="F112" s="212" t="str">
        <f t="shared" si="18"/>
        <v>上品注灵石10/元宝72000</v>
      </c>
      <c r="G112" s="47">
        <v>30</v>
      </c>
      <c r="H112" s="112"/>
    </row>
    <row r="113" spans="1:8" ht="15.75" x14ac:dyDescent="0.3">
      <c r="A113" s="47" t="s">
        <v>40</v>
      </c>
      <c r="B113" s="47" t="s">
        <v>3416</v>
      </c>
      <c r="C113" s="48" t="s">
        <v>3370</v>
      </c>
      <c r="D113" s="47">
        <v>18</v>
      </c>
      <c r="E113" s="119" t="str">
        <f t="shared" si="16"/>
        <v>3#11#30|3#12#30</v>
      </c>
      <c r="F113" s="212" t="str">
        <f t="shared" si="18"/>
        <v>上品注灵石11/元宝80000</v>
      </c>
      <c r="G113" s="47">
        <v>30</v>
      </c>
      <c r="H113" s="112"/>
    </row>
    <row r="114" spans="1:8" ht="15.75" x14ac:dyDescent="0.3">
      <c r="A114" s="47" t="s">
        <v>40</v>
      </c>
      <c r="B114" s="47" t="s">
        <v>3416</v>
      </c>
      <c r="C114" s="48" t="s">
        <v>3371</v>
      </c>
      <c r="D114" s="47">
        <v>19</v>
      </c>
      <c r="E114" s="119" t="str">
        <f t="shared" si="16"/>
        <v>3#11#31|3#12#31</v>
      </c>
      <c r="F114" s="212" t="str">
        <f t="shared" si="18"/>
        <v>上品注灵石12/元宝88000</v>
      </c>
      <c r="G114" s="47">
        <v>30</v>
      </c>
      <c r="H114" s="112"/>
    </row>
    <row r="115" spans="1:8" ht="15.75" x14ac:dyDescent="0.3">
      <c r="A115" s="47" t="s">
        <v>40</v>
      </c>
      <c r="B115" s="47" t="s">
        <v>3416</v>
      </c>
      <c r="C115" s="48" t="s">
        <v>3372</v>
      </c>
      <c r="D115" s="47">
        <v>20</v>
      </c>
      <c r="E115" s="119" t="str">
        <f t="shared" si="16"/>
        <v>3#11#33|3#12#33</v>
      </c>
      <c r="F115" s="212" t="str">
        <f t="shared" si="18"/>
        <v>上品注灵石14/元宝96000</v>
      </c>
      <c r="G115" s="47">
        <v>25</v>
      </c>
      <c r="H115" s="112"/>
    </row>
    <row r="116" spans="1:8" ht="15.75" x14ac:dyDescent="0.3">
      <c r="A116" s="47" t="s">
        <v>40</v>
      </c>
      <c r="B116" s="47" t="s">
        <v>3416</v>
      </c>
      <c r="C116" s="48" t="s">
        <v>3373</v>
      </c>
      <c r="D116" s="47">
        <v>21</v>
      </c>
      <c r="E116" s="119" t="str">
        <f t="shared" si="16"/>
        <v>3#11#37|3#12#37</v>
      </c>
      <c r="F116" s="212" t="str">
        <f t="shared" si="18"/>
        <v>上品注灵石15/元宝108000</v>
      </c>
      <c r="G116" s="47">
        <v>25</v>
      </c>
      <c r="H116" s="112"/>
    </row>
    <row r="117" spans="1:8" ht="15.75" x14ac:dyDescent="0.3">
      <c r="A117" s="47" t="s">
        <v>40</v>
      </c>
      <c r="B117" s="47" t="s">
        <v>3416</v>
      </c>
      <c r="C117" s="48" t="s">
        <v>3374</v>
      </c>
      <c r="D117" s="47">
        <v>22</v>
      </c>
      <c r="E117" s="119" t="str">
        <f t="shared" si="16"/>
        <v>3#11#38|3#12#38</v>
      </c>
      <c r="F117" s="212" t="str">
        <f t="shared" si="18"/>
        <v>上品注灵石16/元宝116000</v>
      </c>
      <c r="G117" s="47">
        <v>25</v>
      </c>
      <c r="H117" s="112"/>
    </row>
    <row r="118" spans="1:8" ht="15.75" x14ac:dyDescent="0.3">
      <c r="A118" s="47" t="s">
        <v>40</v>
      </c>
      <c r="B118" s="47" t="s">
        <v>3416</v>
      </c>
      <c r="C118" s="48" t="s">
        <v>3375</v>
      </c>
      <c r="D118" s="47">
        <v>23</v>
      </c>
      <c r="E118" s="119" t="str">
        <f t="shared" si="16"/>
        <v>3#11#40|3#12#40</v>
      </c>
      <c r="F118" s="212" t="str">
        <f t="shared" si="18"/>
        <v>上品注灵石17/元宝124000</v>
      </c>
      <c r="G118" s="47">
        <v>25</v>
      </c>
      <c r="H118" s="112"/>
    </row>
    <row r="119" spans="1:8" ht="15.75" x14ac:dyDescent="0.3">
      <c r="A119" s="47" t="s">
        <v>40</v>
      </c>
      <c r="B119" s="47" t="s">
        <v>3416</v>
      </c>
      <c r="C119" s="48" t="s">
        <v>3376</v>
      </c>
      <c r="D119" s="47">
        <v>24</v>
      </c>
      <c r="E119" s="119" t="str">
        <f t="shared" si="16"/>
        <v>3#11#42|3#12#42</v>
      </c>
      <c r="F119" s="212" t="str">
        <f t="shared" si="18"/>
        <v>上品注灵石18/元宝136000</v>
      </c>
      <c r="G119" s="47">
        <v>25</v>
      </c>
      <c r="H119" s="112"/>
    </row>
    <row r="120" spans="1:8" ht="15.75" x14ac:dyDescent="0.3">
      <c r="A120" s="47" t="s">
        <v>40</v>
      </c>
      <c r="B120" s="47" t="s">
        <v>3416</v>
      </c>
      <c r="C120" s="48" t="s">
        <v>3377</v>
      </c>
      <c r="D120" s="47">
        <v>25</v>
      </c>
      <c r="E120" s="119" t="str">
        <f t="shared" si="16"/>
        <v>3#11#44|3#12#44</v>
      </c>
      <c r="F120" s="212" t="str">
        <f t="shared" si="18"/>
        <v>上品注灵石19/元宝144000</v>
      </c>
      <c r="G120" s="47">
        <v>25</v>
      </c>
      <c r="H120" s="112"/>
    </row>
    <row r="121" spans="1:8" ht="15.75" x14ac:dyDescent="0.3">
      <c r="A121" s="47" t="s">
        <v>40</v>
      </c>
      <c r="B121" s="47" t="s">
        <v>3416</v>
      </c>
      <c r="C121" s="48" t="s">
        <v>3378</v>
      </c>
      <c r="D121" s="47">
        <v>26</v>
      </c>
      <c r="E121" s="119" t="str">
        <f t="shared" si="16"/>
        <v>3#11#49|3#12#49</v>
      </c>
      <c r="F121" s="212" t="str">
        <f t="shared" si="18"/>
        <v>上品注灵石20/元宝152000</v>
      </c>
      <c r="G121" s="47">
        <v>25</v>
      </c>
      <c r="H121" s="112"/>
    </row>
    <row r="122" spans="1:8" ht="15.75" x14ac:dyDescent="0.3">
      <c r="A122" s="47" t="s">
        <v>40</v>
      </c>
      <c r="B122" s="47" t="s">
        <v>3416</v>
      </c>
      <c r="C122" s="48" t="s">
        <v>3379</v>
      </c>
      <c r="D122" s="47">
        <v>27</v>
      </c>
      <c r="E122" s="119" t="str">
        <f t="shared" si="16"/>
        <v>3#11#51|3#12#51</v>
      </c>
      <c r="F122" s="212" t="str">
        <f t="shared" si="18"/>
        <v>上品注灵石21/元宝156000</v>
      </c>
      <c r="G122" s="47">
        <v>25</v>
      </c>
      <c r="H122" s="112"/>
    </row>
    <row r="123" spans="1:8" ht="15.75" x14ac:dyDescent="0.3">
      <c r="A123" s="47" t="s">
        <v>40</v>
      </c>
      <c r="B123" s="47" t="s">
        <v>3416</v>
      </c>
      <c r="C123" s="48" t="s">
        <v>3380</v>
      </c>
      <c r="D123" s="47">
        <v>28</v>
      </c>
      <c r="E123" s="119" t="str">
        <f t="shared" si="16"/>
        <v>3#11#52|3#12#52</v>
      </c>
      <c r="F123" s="212" t="str">
        <f t="shared" si="18"/>
        <v>上品注灵石22/元宝164000</v>
      </c>
      <c r="G123" s="47">
        <v>25</v>
      </c>
      <c r="H123" s="112"/>
    </row>
    <row r="124" spans="1:8" ht="15.75" x14ac:dyDescent="0.3">
      <c r="A124" s="47" t="s">
        <v>40</v>
      </c>
      <c r="B124" s="47" t="s">
        <v>3416</v>
      </c>
      <c r="C124" s="48" t="s">
        <v>3381</v>
      </c>
      <c r="D124" s="47">
        <v>29</v>
      </c>
      <c r="E124" s="119" t="str">
        <f t="shared" si="16"/>
        <v>3#11#54|3#12#54</v>
      </c>
      <c r="F124" s="212" t="str">
        <f t="shared" si="18"/>
        <v>上品注灵石23/元宝172000</v>
      </c>
      <c r="G124" s="47">
        <v>25</v>
      </c>
      <c r="H124" s="112"/>
    </row>
    <row r="125" spans="1:8" ht="15.75" x14ac:dyDescent="0.3">
      <c r="A125" s="47" t="s">
        <v>40</v>
      </c>
      <c r="B125" s="47" t="s">
        <v>3416</v>
      </c>
      <c r="C125" s="48" t="s">
        <v>3382</v>
      </c>
      <c r="D125" s="47">
        <v>30</v>
      </c>
      <c r="E125" s="119" t="str">
        <f t="shared" si="16"/>
        <v>3#11#56|3#12#56</v>
      </c>
      <c r="F125" s="212" t="str">
        <f>"极品注灵石"&amp;ROUND(AG34/10,0)&amp;"/元宝"&amp;AH32</f>
        <v>极品注灵石5/元宝172000</v>
      </c>
      <c r="G125" s="47">
        <v>30</v>
      </c>
      <c r="H125" s="112"/>
    </row>
    <row r="126" spans="1:8" ht="15.75" x14ac:dyDescent="0.3">
      <c r="A126" s="47" t="s">
        <v>40</v>
      </c>
      <c r="B126" s="47" t="s">
        <v>3416</v>
      </c>
      <c r="C126" s="48" t="s">
        <v>3383</v>
      </c>
      <c r="D126" s="47">
        <v>31</v>
      </c>
      <c r="E126" s="119" t="str">
        <f t="shared" si="16"/>
        <v>3#11#61|3#12#61</v>
      </c>
      <c r="F126" s="212" t="str">
        <f t="shared" ref="F126:F139" si="19">"极品注灵石"&amp;ROUND(AG35/10,0)&amp;"/元宝"&amp;AH33</f>
        <v>极品注灵石5/元宝180000</v>
      </c>
      <c r="G126" s="47">
        <v>30</v>
      </c>
      <c r="H126" s="112"/>
    </row>
    <row r="127" spans="1:8" ht="15.75" x14ac:dyDescent="0.3">
      <c r="A127" s="47" t="s">
        <v>40</v>
      </c>
      <c r="B127" s="47" t="s">
        <v>3416</v>
      </c>
      <c r="C127" s="48" t="s">
        <v>3384</v>
      </c>
      <c r="D127" s="47">
        <v>32</v>
      </c>
      <c r="E127" s="119" t="str">
        <f t="shared" si="16"/>
        <v>3#11#63|3#12#63</v>
      </c>
      <c r="F127" s="212" t="str">
        <f t="shared" si="19"/>
        <v>极品注灵石5/元宝184000</v>
      </c>
      <c r="G127" s="47">
        <v>30</v>
      </c>
      <c r="H127" s="112"/>
    </row>
    <row r="128" spans="1:8" ht="15.75" x14ac:dyDescent="0.3">
      <c r="A128" s="47" t="s">
        <v>40</v>
      </c>
      <c r="B128" s="47" t="s">
        <v>3416</v>
      </c>
      <c r="C128" s="48" t="s">
        <v>3385</v>
      </c>
      <c r="D128" s="47">
        <v>33</v>
      </c>
      <c r="E128" s="119" t="str">
        <f t="shared" si="16"/>
        <v>3#11#66|3#12#66</v>
      </c>
      <c r="F128" s="212" t="str">
        <f t="shared" si="19"/>
        <v>极品注灵石5/元宝192000</v>
      </c>
      <c r="G128" s="47">
        <v>30</v>
      </c>
      <c r="H128" s="112"/>
    </row>
    <row r="129" spans="1:8" ht="15.75" x14ac:dyDescent="0.3">
      <c r="A129" s="47" t="s">
        <v>40</v>
      </c>
      <c r="B129" s="47" t="s">
        <v>3416</v>
      </c>
      <c r="C129" s="48" t="s">
        <v>3386</v>
      </c>
      <c r="D129" s="47">
        <v>34</v>
      </c>
      <c r="E129" s="119" t="str">
        <f t="shared" si="16"/>
        <v>3#11#67|3#12#67</v>
      </c>
      <c r="F129" s="212" t="str">
        <f t="shared" si="19"/>
        <v>极品注灵石5/元宝200000</v>
      </c>
      <c r="G129" s="47">
        <v>30</v>
      </c>
      <c r="H129" s="112"/>
    </row>
    <row r="130" spans="1:8" ht="15.75" x14ac:dyDescent="0.3">
      <c r="A130" s="47" t="s">
        <v>40</v>
      </c>
      <c r="B130" s="47" t="s">
        <v>3416</v>
      </c>
      <c r="C130" s="48" t="s">
        <v>3387</v>
      </c>
      <c r="D130" s="47">
        <v>35</v>
      </c>
      <c r="E130" s="119" t="str">
        <f t="shared" si="16"/>
        <v>3#11#69|3#12#69</v>
      </c>
      <c r="F130" s="212" t="str">
        <f t="shared" si="19"/>
        <v>极品注灵石6/元宝208000</v>
      </c>
      <c r="G130" s="47">
        <v>25</v>
      </c>
      <c r="H130" s="112"/>
    </row>
    <row r="131" spans="1:8" ht="15.75" x14ac:dyDescent="0.3">
      <c r="A131" s="47" t="s">
        <v>40</v>
      </c>
      <c r="B131" s="47" t="s">
        <v>3416</v>
      </c>
      <c r="C131" s="48" t="s">
        <v>3388</v>
      </c>
      <c r="D131" s="47">
        <v>36</v>
      </c>
      <c r="E131" s="119" t="str">
        <f t="shared" si="16"/>
        <v>3#11#76|3#12#76</v>
      </c>
      <c r="F131" s="212" t="str">
        <f t="shared" si="19"/>
        <v>极品注灵石6/元宝212000</v>
      </c>
      <c r="G131" s="47">
        <v>25</v>
      </c>
      <c r="H131" s="112"/>
    </row>
    <row r="132" spans="1:8" ht="15.75" x14ac:dyDescent="0.3">
      <c r="A132" s="47" t="s">
        <v>40</v>
      </c>
      <c r="B132" s="47" t="s">
        <v>3416</v>
      </c>
      <c r="C132" s="48" t="s">
        <v>3389</v>
      </c>
      <c r="D132" s="47">
        <v>37</v>
      </c>
      <c r="E132" s="119" t="str">
        <f t="shared" si="16"/>
        <v>3#11#77|3#12#77</v>
      </c>
      <c r="F132" s="212" t="str">
        <f t="shared" si="19"/>
        <v>极品注灵石6/元宝220000</v>
      </c>
      <c r="G132" s="47">
        <v>25</v>
      </c>
      <c r="H132" s="112"/>
    </row>
    <row r="133" spans="1:8" ht="15.75" x14ac:dyDescent="0.3">
      <c r="A133" s="47" t="s">
        <v>40</v>
      </c>
      <c r="B133" s="47" t="s">
        <v>3416</v>
      </c>
      <c r="C133" s="48" t="s">
        <v>3390</v>
      </c>
      <c r="D133" s="47">
        <v>38</v>
      </c>
      <c r="E133" s="119" t="str">
        <f t="shared" si="16"/>
        <v>3#11#80|3#12#80</v>
      </c>
      <c r="F133" s="212" t="str">
        <f t="shared" si="19"/>
        <v>极品注灵石6/元宝228000</v>
      </c>
      <c r="G133" s="47">
        <v>25</v>
      </c>
      <c r="H133" s="112"/>
    </row>
    <row r="134" spans="1:8" ht="15.75" x14ac:dyDescent="0.3">
      <c r="A134" s="47" t="s">
        <v>40</v>
      </c>
      <c r="B134" s="47" t="s">
        <v>3416</v>
      </c>
      <c r="C134" s="48" t="s">
        <v>3391</v>
      </c>
      <c r="D134" s="47">
        <v>39</v>
      </c>
      <c r="E134" s="119" t="str">
        <f t="shared" si="16"/>
        <v>3#11#82|3#12#82</v>
      </c>
      <c r="F134" s="212" t="str">
        <f t="shared" si="19"/>
        <v>极品注灵石6/元宝236000</v>
      </c>
      <c r="G134" s="47">
        <v>25</v>
      </c>
      <c r="H134" s="112"/>
    </row>
    <row r="135" spans="1:8" ht="15.75" x14ac:dyDescent="0.3">
      <c r="A135" s="47" t="s">
        <v>40</v>
      </c>
      <c r="B135" s="47" t="s">
        <v>3416</v>
      </c>
      <c r="C135" s="48" t="s">
        <v>3392</v>
      </c>
      <c r="D135" s="47">
        <v>40</v>
      </c>
      <c r="E135" s="119" t="str">
        <f t="shared" si="16"/>
        <v>3#11#84|3#12#84</v>
      </c>
      <c r="F135" s="212" t="str">
        <f t="shared" si="19"/>
        <v>极品注灵石6/元宝240000</v>
      </c>
      <c r="G135" s="47">
        <v>20</v>
      </c>
      <c r="H135" s="112"/>
    </row>
    <row r="136" spans="1:8" ht="15.75" x14ac:dyDescent="0.3">
      <c r="A136" s="47" t="s">
        <v>40</v>
      </c>
      <c r="B136" s="47" t="s">
        <v>3416</v>
      </c>
      <c r="C136" s="48" t="s">
        <v>3393</v>
      </c>
      <c r="D136" s="47">
        <v>41</v>
      </c>
      <c r="E136" s="119" t="str">
        <f t="shared" si="16"/>
        <v>3#11#91|3#12#91</v>
      </c>
      <c r="F136" s="212" t="str">
        <f t="shared" si="19"/>
        <v>极品注灵石6/元宝248000</v>
      </c>
      <c r="G136" s="47">
        <v>20</v>
      </c>
      <c r="H136" s="112"/>
    </row>
    <row r="137" spans="1:8" ht="15.75" x14ac:dyDescent="0.3">
      <c r="A137" s="47" t="s">
        <v>40</v>
      </c>
      <c r="B137" s="47" t="s">
        <v>3416</v>
      </c>
      <c r="C137" s="48" t="s">
        <v>3394</v>
      </c>
      <c r="D137" s="47">
        <v>42</v>
      </c>
      <c r="E137" s="119" t="str">
        <f t="shared" si="16"/>
        <v>3#11#93|3#12#93</v>
      </c>
      <c r="F137" s="212" t="str">
        <f t="shared" si="19"/>
        <v>极品注灵石7/元宝252000</v>
      </c>
      <c r="G137" s="47">
        <v>20</v>
      </c>
      <c r="H137" s="112"/>
    </row>
    <row r="138" spans="1:8" ht="15.75" x14ac:dyDescent="0.3">
      <c r="A138" s="47" t="s">
        <v>40</v>
      </c>
      <c r="B138" s="47" t="s">
        <v>3416</v>
      </c>
      <c r="C138" s="48" t="s">
        <v>3395</v>
      </c>
      <c r="D138" s="47">
        <v>43</v>
      </c>
      <c r="E138" s="119" t="str">
        <f t="shared" si="16"/>
        <v>3#11#95|3#12#95</v>
      </c>
      <c r="F138" s="212" t="str">
        <f t="shared" si="19"/>
        <v>极品注灵石7/元宝256000</v>
      </c>
      <c r="G138" s="47">
        <v>20</v>
      </c>
      <c r="H138" s="112"/>
    </row>
    <row r="139" spans="1:8" ht="15.75" x14ac:dyDescent="0.3">
      <c r="A139" s="47" t="s">
        <v>40</v>
      </c>
      <c r="B139" s="47" t="s">
        <v>3416</v>
      </c>
      <c r="C139" s="48" t="s">
        <v>3396</v>
      </c>
      <c r="D139" s="47">
        <v>44</v>
      </c>
      <c r="E139" s="119" t="str">
        <f t="shared" si="16"/>
        <v>3#11#97|3#12#97</v>
      </c>
      <c r="F139" s="212" t="str">
        <f t="shared" si="19"/>
        <v>极品注灵石7/元宝264000</v>
      </c>
      <c r="G139" s="47">
        <v>20</v>
      </c>
      <c r="H139" s="112"/>
    </row>
    <row r="140" spans="1:8" ht="15.75" x14ac:dyDescent="0.3">
      <c r="A140" s="47" t="s">
        <v>40</v>
      </c>
      <c r="B140" s="47" t="s">
        <v>3416</v>
      </c>
      <c r="C140" s="48" t="s">
        <v>3397</v>
      </c>
      <c r="D140" s="47">
        <v>45</v>
      </c>
      <c r="E140" s="119" t="str">
        <f>"3#11#"&amp;INT(1/3*Z48)&amp;"|"&amp;"3#12#"&amp;INT(1/3*Z48)</f>
        <v>3#11#100|3#12#100</v>
      </c>
      <c r="F140" s="212"/>
      <c r="G140" s="47"/>
      <c r="H140" s="112"/>
    </row>
    <row r="141" spans="1:8" ht="15.75" x14ac:dyDescent="0.3">
      <c r="A141" s="122" t="s">
        <v>40</v>
      </c>
      <c r="B141" s="122" t="s">
        <v>3417</v>
      </c>
      <c r="C141" s="123" t="s">
        <v>78</v>
      </c>
      <c r="D141" s="122">
        <v>0</v>
      </c>
      <c r="E141" s="125"/>
      <c r="F141" s="213" t="str">
        <f>"中品注灵石"&amp;AG4&amp;"/元宝"&amp;AH4</f>
        <v>中品注灵石5/元宝20000</v>
      </c>
      <c r="G141" s="122">
        <v>100</v>
      </c>
      <c r="H141" s="112"/>
    </row>
    <row r="142" spans="1:8" ht="15.75" x14ac:dyDescent="0.3">
      <c r="A142" s="122" t="s">
        <v>40</v>
      </c>
      <c r="B142" s="122" t="s">
        <v>3417</v>
      </c>
      <c r="C142" s="123" t="s">
        <v>3344</v>
      </c>
      <c r="D142" s="122">
        <v>1</v>
      </c>
      <c r="E142" s="125" t="str">
        <f t="shared" ref="E142:E185" si="20">"3#11#"&amp;INT(1/3*Z4)&amp;"|"&amp;"3#12#"&amp;INT(1/3*Z4)</f>
        <v>3#11#1|3#12#1</v>
      </c>
      <c r="F142" s="213" t="str">
        <f t="shared" ref="F142:F155" si="21">"中品注灵石"&amp;AG5&amp;"/元宝"&amp;AH5</f>
        <v>中品注灵石6/元宝24000</v>
      </c>
      <c r="G142" s="122">
        <v>100</v>
      </c>
      <c r="H142" s="112"/>
    </row>
    <row r="143" spans="1:8" ht="15.75" x14ac:dyDescent="0.3">
      <c r="A143" s="122" t="s">
        <v>40</v>
      </c>
      <c r="B143" s="122" t="s">
        <v>3417</v>
      </c>
      <c r="C143" s="123" t="s">
        <v>3346</v>
      </c>
      <c r="D143" s="122">
        <v>2</v>
      </c>
      <c r="E143" s="125" t="str">
        <f t="shared" si="20"/>
        <v>3#11#2|3#12#2</v>
      </c>
      <c r="F143" s="213" t="str">
        <f t="shared" si="21"/>
        <v>中品注灵石6/元宝24000</v>
      </c>
      <c r="G143" s="122">
        <v>100</v>
      </c>
      <c r="H143" s="112"/>
    </row>
    <row r="144" spans="1:8" ht="15.75" x14ac:dyDescent="0.3">
      <c r="A144" s="122" t="s">
        <v>40</v>
      </c>
      <c r="B144" s="122" t="s">
        <v>3417</v>
      </c>
      <c r="C144" s="123" t="s">
        <v>3348</v>
      </c>
      <c r="D144" s="122">
        <v>3</v>
      </c>
      <c r="E144" s="125" t="str">
        <f t="shared" si="20"/>
        <v>3#11#4|3#12#4</v>
      </c>
      <c r="F144" s="213" t="str">
        <f t="shared" si="21"/>
        <v>中品注灵石7/元宝28000</v>
      </c>
      <c r="G144" s="122">
        <v>100</v>
      </c>
      <c r="H144" s="112"/>
    </row>
    <row r="145" spans="1:8" ht="15.75" x14ac:dyDescent="0.3">
      <c r="A145" s="122" t="s">
        <v>40</v>
      </c>
      <c r="B145" s="122" t="s">
        <v>3417</v>
      </c>
      <c r="C145" s="123" t="s">
        <v>3350</v>
      </c>
      <c r="D145" s="122">
        <v>4</v>
      </c>
      <c r="E145" s="125" t="str">
        <f t="shared" si="20"/>
        <v>3#11#5|3#12#5</v>
      </c>
      <c r="F145" s="213" t="str">
        <f t="shared" si="21"/>
        <v>中品注灵石8/元宝32000</v>
      </c>
      <c r="G145" s="122">
        <v>100</v>
      </c>
      <c r="H145" s="112"/>
    </row>
    <row r="146" spans="1:8" ht="15.75" x14ac:dyDescent="0.3">
      <c r="A146" s="122" t="s">
        <v>40</v>
      </c>
      <c r="B146" s="122" t="s">
        <v>3417</v>
      </c>
      <c r="C146" s="123" t="s">
        <v>3352</v>
      </c>
      <c r="D146" s="122">
        <v>5</v>
      </c>
      <c r="E146" s="125" t="str">
        <f t="shared" si="20"/>
        <v>3#11#6|3#12#6</v>
      </c>
      <c r="F146" s="213" t="str">
        <f t="shared" si="21"/>
        <v>中品注灵石8/元宝32000</v>
      </c>
      <c r="G146" s="122">
        <v>100</v>
      </c>
      <c r="H146" s="112"/>
    </row>
    <row r="147" spans="1:8" ht="15.75" x14ac:dyDescent="0.3">
      <c r="A147" s="122" t="s">
        <v>40</v>
      </c>
      <c r="B147" s="122" t="s">
        <v>3417</v>
      </c>
      <c r="C147" s="123" t="s">
        <v>3354</v>
      </c>
      <c r="D147" s="122">
        <v>6</v>
      </c>
      <c r="E147" s="125" t="str">
        <f t="shared" si="20"/>
        <v>3#11#8|3#12#8</v>
      </c>
      <c r="F147" s="213" t="str">
        <f t="shared" si="21"/>
        <v>中品注灵石9/元宝36000</v>
      </c>
      <c r="G147" s="122">
        <v>100</v>
      </c>
      <c r="H147" s="112"/>
    </row>
    <row r="148" spans="1:8" ht="15.75" x14ac:dyDescent="0.3">
      <c r="A148" s="122" t="s">
        <v>40</v>
      </c>
      <c r="B148" s="122" t="s">
        <v>3417</v>
      </c>
      <c r="C148" s="123" t="s">
        <v>3356</v>
      </c>
      <c r="D148" s="122">
        <v>7</v>
      </c>
      <c r="E148" s="125" t="str">
        <f t="shared" si="20"/>
        <v>3#11#9|3#12#9</v>
      </c>
      <c r="F148" s="213" t="str">
        <f t="shared" si="21"/>
        <v>中品注灵石9/元宝36000</v>
      </c>
      <c r="G148" s="122">
        <v>100</v>
      </c>
      <c r="H148" s="112"/>
    </row>
    <row r="149" spans="1:8" ht="15.75" x14ac:dyDescent="0.3">
      <c r="A149" s="122" t="s">
        <v>40</v>
      </c>
      <c r="B149" s="122" t="s">
        <v>3417</v>
      </c>
      <c r="C149" s="123" t="s">
        <v>3358</v>
      </c>
      <c r="D149" s="122">
        <v>8</v>
      </c>
      <c r="E149" s="125" t="str">
        <f t="shared" si="20"/>
        <v>3#11#11|3#12#11</v>
      </c>
      <c r="F149" s="213" t="str">
        <f t="shared" si="21"/>
        <v>中品注灵石10/元宝40000</v>
      </c>
      <c r="G149" s="122">
        <v>100</v>
      </c>
      <c r="H149" s="112"/>
    </row>
    <row r="150" spans="1:8" ht="15.75" x14ac:dyDescent="0.3">
      <c r="A150" s="122" t="s">
        <v>40</v>
      </c>
      <c r="B150" s="122" t="s">
        <v>3417</v>
      </c>
      <c r="C150" s="123" t="s">
        <v>3360</v>
      </c>
      <c r="D150" s="122">
        <v>9</v>
      </c>
      <c r="E150" s="125" t="str">
        <f t="shared" si="20"/>
        <v>3#11#13|3#12#13</v>
      </c>
      <c r="F150" s="213" t="str">
        <f t="shared" si="21"/>
        <v>中品注灵石11/元宝44000</v>
      </c>
      <c r="G150" s="122">
        <v>100</v>
      </c>
      <c r="H150" s="112"/>
    </row>
    <row r="151" spans="1:8" ht="15.75" x14ac:dyDescent="0.3">
      <c r="A151" s="122" t="s">
        <v>40</v>
      </c>
      <c r="B151" s="122" t="s">
        <v>3417</v>
      </c>
      <c r="C151" s="123" t="s">
        <v>3361</v>
      </c>
      <c r="D151" s="122">
        <v>10</v>
      </c>
      <c r="E151" s="125" t="str">
        <f t="shared" si="20"/>
        <v>3#11#14|3#12#14</v>
      </c>
      <c r="F151" s="213" t="str">
        <f t="shared" si="21"/>
        <v>中品注灵石11/元宝44000</v>
      </c>
      <c r="G151" s="122">
        <v>100</v>
      </c>
      <c r="H151" s="112"/>
    </row>
    <row r="152" spans="1:8" ht="15.75" x14ac:dyDescent="0.3">
      <c r="A152" s="122" t="s">
        <v>40</v>
      </c>
      <c r="B152" s="122" t="s">
        <v>3417</v>
      </c>
      <c r="C152" s="123" t="s">
        <v>3362</v>
      </c>
      <c r="D152" s="122">
        <v>11</v>
      </c>
      <c r="E152" s="125" t="str">
        <f t="shared" si="20"/>
        <v>3#11#17|3#12#17</v>
      </c>
      <c r="F152" s="213" t="str">
        <f t="shared" si="21"/>
        <v>中品注灵石12/元宝48000</v>
      </c>
      <c r="G152" s="122">
        <v>100</v>
      </c>
      <c r="H152" s="112"/>
    </row>
    <row r="153" spans="1:8" ht="15.75" x14ac:dyDescent="0.3">
      <c r="A153" s="122" t="s">
        <v>40</v>
      </c>
      <c r="B153" s="122" t="s">
        <v>3417</v>
      </c>
      <c r="C153" s="123" t="s">
        <v>3363</v>
      </c>
      <c r="D153" s="122">
        <v>12</v>
      </c>
      <c r="E153" s="125" t="str">
        <f t="shared" si="20"/>
        <v>3#11#18|3#12#18</v>
      </c>
      <c r="F153" s="213" t="str">
        <f t="shared" si="21"/>
        <v>中品注灵石13/元宝52000</v>
      </c>
      <c r="G153" s="122">
        <v>100</v>
      </c>
      <c r="H153" s="112"/>
    </row>
    <row r="154" spans="1:8" ht="15.75" x14ac:dyDescent="0.3">
      <c r="A154" s="122" t="s">
        <v>40</v>
      </c>
      <c r="B154" s="122" t="s">
        <v>3417</v>
      </c>
      <c r="C154" s="123" t="s">
        <v>3364</v>
      </c>
      <c r="D154" s="122">
        <v>13</v>
      </c>
      <c r="E154" s="125" t="str">
        <f t="shared" si="20"/>
        <v>3#11#20|3#12#20</v>
      </c>
      <c r="F154" s="213" t="str">
        <f t="shared" si="21"/>
        <v>中品注灵石14/元宝56000</v>
      </c>
      <c r="G154" s="122">
        <v>100</v>
      </c>
      <c r="H154" s="112"/>
    </row>
    <row r="155" spans="1:8" ht="15.75" x14ac:dyDescent="0.3">
      <c r="A155" s="122" t="s">
        <v>40</v>
      </c>
      <c r="B155" s="122" t="s">
        <v>3417</v>
      </c>
      <c r="C155" s="123" t="s">
        <v>3365</v>
      </c>
      <c r="D155" s="122">
        <v>14</v>
      </c>
      <c r="E155" s="125" t="str">
        <f t="shared" si="20"/>
        <v>3#11#21|3#12#21</v>
      </c>
      <c r="F155" s="213" t="str">
        <f t="shared" si="21"/>
        <v>中品注灵石15/元宝60000</v>
      </c>
      <c r="G155" s="122">
        <v>100</v>
      </c>
      <c r="H155" s="112"/>
    </row>
    <row r="156" spans="1:8" ht="15.75" x14ac:dyDescent="0.3">
      <c r="A156" s="122" t="s">
        <v>40</v>
      </c>
      <c r="B156" s="122" t="s">
        <v>3417</v>
      </c>
      <c r="C156" s="123" t="s">
        <v>3366</v>
      </c>
      <c r="D156" s="122">
        <v>15</v>
      </c>
      <c r="E156" s="125" t="str">
        <f t="shared" si="20"/>
        <v>3#11#23|3#12#23</v>
      </c>
      <c r="F156" s="213" t="str">
        <f>"上品注灵石"&amp;ROUND(AG19/2,0)&amp;"/元宝"&amp;AH18</f>
        <v>上品注灵石8/元宝60000</v>
      </c>
      <c r="G156" s="122">
        <v>30</v>
      </c>
      <c r="H156" s="112"/>
    </row>
    <row r="157" spans="1:8" ht="15.75" x14ac:dyDescent="0.3">
      <c r="A157" s="122" t="s">
        <v>40</v>
      </c>
      <c r="B157" s="122" t="s">
        <v>3418</v>
      </c>
      <c r="C157" s="123" t="s">
        <v>3368</v>
      </c>
      <c r="D157" s="122">
        <v>16</v>
      </c>
      <c r="E157" s="125" t="str">
        <f t="shared" si="20"/>
        <v>3#11#26|3#12#26</v>
      </c>
      <c r="F157" s="213" t="str">
        <f t="shared" ref="F157:F170" si="22">"上品注灵石"&amp;ROUND(AG20/2,0)&amp;"/元宝"&amp;AH19</f>
        <v>上品注灵石9/元宝64000</v>
      </c>
      <c r="G157" s="122">
        <v>30</v>
      </c>
      <c r="H157" s="112"/>
    </row>
    <row r="158" spans="1:8" ht="15.75" x14ac:dyDescent="0.3">
      <c r="A158" s="122" t="s">
        <v>40</v>
      </c>
      <c r="B158" s="122" t="s">
        <v>3418</v>
      </c>
      <c r="C158" s="123" t="s">
        <v>3369</v>
      </c>
      <c r="D158" s="122">
        <v>17</v>
      </c>
      <c r="E158" s="125" t="str">
        <f t="shared" si="20"/>
        <v>3#11#28|3#12#28</v>
      </c>
      <c r="F158" s="213" t="str">
        <f t="shared" si="22"/>
        <v>上品注灵石10/元宝72000</v>
      </c>
      <c r="G158" s="122">
        <v>30</v>
      </c>
      <c r="H158" s="112"/>
    </row>
    <row r="159" spans="1:8" ht="15.75" x14ac:dyDescent="0.3">
      <c r="A159" s="122" t="s">
        <v>40</v>
      </c>
      <c r="B159" s="122" t="s">
        <v>3418</v>
      </c>
      <c r="C159" s="123" t="s">
        <v>3370</v>
      </c>
      <c r="D159" s="122">
        <v>18</v>
      </c>
      <c r="E159" s="125" t="str">
        <f t="shared" si="20"/>
        <v>3#11#30|3#12#30</v>
      </c>
      <c r="F159" s="213" t="str">
        <f t="shared" si="22"/>
        <v>上品注灵石11/元宝80000</v>
      </c>
      <c r="G159" s="122">
        <v>30</v>
      </c>
      <c r="H159" s="112"/>
    </row>
    <row r="160" spans="1:8" ht="15.75" x14ac:dyDescent="0.3">
      <c r="A160" s="122" t="s">
        <v>40</v>
      </c>
      <c r="B160" s="122" t="s">
        <v>3418</v>
      </c>
      <c r="C160" s="123" t="s">
        <v>3371</v>
      </c>
      <c r="D160" s="122">
        <v>19</v>
      </c>
      <c r="E160" s="125" t="str">
        <f t="shared" si="20"/>
        <v>3#11#31|3#12#31</v>
      </c>
      <c r="F160" s="213" t="str">
        <f t="shared" si="22"/>
        <v>上品注灵石12/元宝88000</v>
      </c>
      <c r="G160" s="122">
        <v>30</v>
      </c>
      <c r="H160" s="112"/>
    </row>
    <row r="161" spans="1:8" ht="15.75" x14ac:dyDescent="0.3">
      <c r="A161" s="122" t="s">
        <v>40</v>
      </c>
      <c r="B161" s="122" t="s">
        <v>3418</v>
      </c>
      <c r="C161" s="123" t="s">
        <v>3372</v>
      </c>
      <c r="D161" s="122">
        <v>20</v>
      </c>
      <c r="E161" s="125" t="str">
        <f t="shared" si="20"/>
        <v>3#11#33|3#12#33</v>
      </c>
      <c r="F161" s="213" t="str">
        <f t="shared" si="22"/>
        <v>上品注灵石14/元宝96000</v>
      </c>
      <c r="G161" s="122">
        <v>25</v>
      </c>
      <c r="H161" s="112"/>
    </row>
    <row r="162" spans="1:8" ht="15.75" x14ac:dyDescent="0.3">
      <c r="A162" s="122" t="s">
        <v>40</v>
      </c>
      <c r="B162" s="122" t="s">
        <v>3418</v>
      </c>
      <c r="C162" s="123" t="s">
        <v>3373</v>
      </c>
      <c r="D162" s="122">
        <v>21</v>
      </c>
      <c r="E162" s="125" t="str">
        <f t="shared" si="20"/>
        <v>3#11#37|3#12#37</v>
      </c>
      <c r="F162" s="213" t="str">
        <f t="shared" si="22"/>
        <v>上品注灵石15/元宝108000</v>
      </c>
      <c r="G162" s="122">
        <v>25</v>
      </c>
      <c r="H162" s="112"/>
    </row>
    <row r="163" spans="1:8" ht="15.75" x14ac:dyDescent="0.3">
      <c r="A163" s="122" t="s">
        <v>40</v>
      </c>
      <c r="B163" s="122" t="s">
        <v>3418</v>
      </c>
      <c r="C163" s="123" t="s">
        <v>3374</v>
      </c>
      <c r="D163" s="122">
        <v>22</v>
      </c>
      <c r="E163" s="125" t="str">
        <f t="shared" si="20"/>
        <v>3#11#38|3#12#38</v>
      </c>
      <c r="F163" s="213" t="str">
        <f t="shared" si="22"/>
        <v>上品注灵石16/元宝116000</v>
      </c>
      <c r="G163" s="122">
        <v>25</v>
      </c>
      <c r="H163" s="112"/>
    </row>
    <row r="164" spans="1:8" ht="15.75" x14ac:dyDescent="0.3">
      <c r="A164" s="122" t="s">
        <v>40</v>
      </c>
      <c r="B164" s="122" t="s">
        <v>3418</v>
      </c>
      <c r="C164" s="123" t="s">
        <v>3375</v>
      </c>
      <c r="D164" s="122">
        <v>23</v>
      </c>
      <c r="E164" s="125" t="str">
        <f t="shared" si="20"/>
        <v>3#11#40|3#12#40</v>
      </c>
      <c r="F164" s="213" t="str">
        <f t="shared" si="22"/>
        <v>上品注灵石17/元宝124000</v>
      </c>
      <c r="G164" s="122">
        <v>25</v>
      </c>
      <c r="H164" s="112"/>
    </row>
    <row r="165" spans="1:8" ht="15.75" x14ac:dyDescent="0.3">
      <c r="A165" s="122" t="s">
        <v>40</v>
      </c>
      <c r="B165" s="122" t="s">
        <v>3418</v>
      </c>
      <c r="C165" s="123" t="s">
        <v>3376</v>
      </c>
      <c r="D165" s="122">
        <v>24</v>
      </c>
      <c r="E165" s="125" t="str">
        <f t="shared" si="20"/>
        <v>3#11#42|3#12#42</v>
      </c>
      <c r="F165" s="213" t="str">
        <f t="shared" si="22"/>
        <v>上品注灵石18/元宝136000</v>
      </c>
      <c r="G165" s="122">
        <v>25</v>
      </c>
      <c r="H165" s="112"/>
    </row>
    <row r="166" spans="1:8" ht="15.75" x14ac:dyDescent="0.3">
      <c r="A166" s="122" t="s">
        <v>40</v>
      </c>
      <c r="B166" s="122" t="s">
        <v>3418</v>
      </c>
      <c r="C166" s="123" t="s">
        <v>3377</v>
      </c>
      <c r="D166" s="122">
        <v>25</v>
      </c>
      <c r="E166" s="125" t="str">
        <f t="shared" si="20"/>
        <v>3#11#44|3#12#44</v>
      </c>
      <c r="F166" s="213" t="str">
        <f t="shared" si="22"/>
        <v>上品注灵石19/元宝144000</v>
      </c>
      <c r="G166" s="122">
        <v>25</v>
      </c>
      <c r="H166" s="112"/>
    </row>
    <row r="167" spans="1:8" ht="15.75" x14ac:dyDescent="0.3">
      <c r="A167" s="122" t="s">
        <v>40</v>
      </c>
      <c r="B167" s="122" t="s">
        <v>3418</v>
      </c>
      <c r="C167" s="123" t="s">
        <v>3378</v>
      </c>
      <c r="D167" s="122">
        <v>26</v>
      </c>
      <c r="E167" s="125" t="str">
        <f t="shared" si="20"/>
        <v>3#11#49|3#12#49</v>
      </c>
      <c r="F167" s="213" t="str">
        <f t="shared" si="22"/>
        <v>上品注灵石20/元宝152000</v>
      </c>
      <c r="G167" s="122">
        <v>25</v>
      </c>
      <c r="H167" s="112"/>
    </row>
    <row r="168" spans="1:8" ht="15.75" x14ac:dyDescent="0.3">
      <c r="A168" s="122" t="s">
        <v>40</v>
      </c>
      <c r="B168" s="122" t="s">
        <v>3418</v>
      </c>
      <c r="C168" s="123" t="s">
        <v>3379</v>
      </c>
      <c r="D168" s="122">
        <v>27</v>
      </c>
      <c r="E168" s="125" t="str">
        <f t="shared" si="20"/>
        <v>3#11#51|3#12#51</v>
      </c>
      <c r="F168" s="213" t="str">
        <f t="shared" si="22"/>
        <v>上品注灵石21/元宝156000</v>
      </c>
      <c r="G168" s="122">
        <v>25</v>
      </c>
      <c r="H168" s="112"/>
    </row>
    <row r="169" spans="1:8" ht="15.75" x14ac:dyDescent="0.3">
      <c r="A169" s="122" t="s">
        <v>40</v>
      </c>
      <c r="B169" s="122" t="s">
        <v>3418</v>
      </c>
      <c r="C169" s="123" t="s">
        <v>3380</v>
      </c>
      <c r="D169" s="122">
        <v>28</v>
      </c>
      <c r="E169" s="125" t="str">
        <f t="shared" si="20"/>
        <v>3#11#52|3#12#52</v>
      </c>
      <c r="F169" s="213" t="str">
        <f t="shared" si="22"/>
        <v>上品注灵石22/元宝164000</v>
      </c>
      <c r="G169" s="122">
        <v>25</v>
      </c>
      <c r="H169" s="112"/>
    </row>
    <row r="170" spans="1:8" ht="15.75" x14ac:dyDescent="0.3">
      <c r="A170" s="122" t="s">
        <v>40</v>
      </c>
      <c r="B170" s="122" t="s">
        <v>3418</v>
      </c>
      <c r="C170" s="123" t="s">
        <v>3381</v>
      </c>
      <c r="D170" s="122">
        <v>29</v>
      </c>
      <c r="E170" s="125" t="str">
        <f t="shared" si="20"/>
        <v>3#11#54|3#12#54</v>
      </c>
      <c r="F170" s="213" t="str">
        <f t="shared" si="22"/>
        <v>上品注灵石23/元宝172000</v>
      </c>
      <c r="G170" s="122">
        <v>25</v>
      </c>
      <c r="H170" s="112"/>
    </row>
    <row r="171" spans="1:8" ht="15.75" x14ac:dyDescent="0.3">
      <c r="A171" s="122" t="s">
        <v>40</v>
      </c>
      <c r="B171" s="122" t="s">
        <v>3418</v>
      </c>
      <c r="C171" s="123" t="s">
        <v>3382</v>
      </c>
      <c r="D171" s="122">
        <v>30</v>
      </c>
      <c r="E171" s="125" t="str">
        <f t="shared" si="20"/>
        <v>3#11#56|3#12#56</v>
      </c>
      <c r="F171" s="213" t="str">
        <f>"极品注灵石"&amp;ROUND(AG34/10,0)&amp;"/元宝"&amp;AH32</f>
        <v>极品注灵石5/元宝172000</v>
      </c>
      <c r="G171" s="122">
        <v>30</v>
      </c>
      <c r="H171" s="112"/>
    </row>
    <row r="172" spans="1:8" ht="15.75" x14ac:dyDescent="0.3">
      <c r="A172" s="122" t="s">
        <v>40</v>
      </c>
      <c r="B172" s="122" t="s">
        <v>3418</v>
      </c>
      <c r="C172" s="123" t="s">
        <v>3383</v>
      </c>
      <c r="D172" s="122">
        <v>31</v>
      </c>
      <c r="E172" s="125" t="str">
        <f t="shared" si="20"/>
        <v>3#11#61|3#12#61</v>
      </c>
      <c r="F172" s="213" t="str">
        <f t="shared" ref="F172:F185" si="23">"极品注灵石"&amp;ROUND(AG35/10,0)&amp;"/元宝"&amp;AH33</f>
        <v>极品注灵石5/元宝180000</v>
      </c>
      <c r="G172" s="122">
        <v>30</v>
      </c>
      <c r="H172" s="112"/>
    </row>
    <row r="173" spans="1:8" ht="15.75" x14ac:dyDescent="0.3">
      <c r="A173" s="122" t="s">
        <v>40</v>
      </c>
      <c r="B173" s="122" t="s">
        <v>3418</v>
      </c>
      <c r="C173" s="123" t="s">
        <v>3384</v>
      </c>
      <c r="D173" s="122">
        <v>32</v>
      </c>
      <c r="E173" s="125" t="str">
        <f t="shared" si="20"/>
        <v>3#11#63|3#12#63</v>
      </c>
      <c r="F173" s="213" t="str">
        <f t="shared" si="23"/>
        <v>极品注灵石5/元宝184000</v>
      </c>
      <c r="G173" s="122">
        <v>30</v>
      </c>
      <c r="H173" s="112"/>
    </row>
    <row r="174" spans="1:8" ht="15.75" x14ac:dyDescent="0.3">
      <c r="A174" s="122" t="s">
        <v>40</v>
      </c>
      <c r="B174" s="122" t="s">
        <v>3418</v>
      </c>
      <c r="C174" s="123" t="s">
        <v>3385</v>
      </c>
      <c r="D174" s="122">
        <v>33</v>
      </c>
      <c r="E174" s="125" t="str">
        <f t="shared" si="20"/>
        <v>3#11#66|3#12#66</v>
      </c>
      <c r="F174" s="213" t="str">
        <f t="shared" si="23"/>
        <v>极品注灵石5/元宝192000</v>
      </c>
      <c r="G174" s="122">
        <v>30</v>
      </c>
      <c r="H174" s="112"/>
    </row>
    <row r="175" spans="1:8" ht="15.75" x14ac:dyDescent="0.3">
      <c r="A175" s="122" t="s">
        <v>40</v>
      </c>
      <c r="B175" s="122" t="s">
        <v>3418</v>
      </c>
      <c r="C175" s="123" t="s">
        <v>3386</v>
      </c>
      <c r="D175" s="122">
        <v>34</v>
      </c>
      <c r="E175" s="125" t="str">
        <f t="shared" si="20"/>
        <v>3#11#67|3#12#67</v>
      </c>
      <c r="F175" s="213" t="str">
        <f t="shared" si="23"/>
        <v>极品注灵石5/元宝200000</v>
      </c>
      <c r="G175" s="122">
        <v>30</v>
      </c>
      <c r="H175" s="112"/>
    </row>
    <row r="176" spans="1:8" ht="15.75" x14ac:dyDescent="0.3">
      <c r="A176" s="122" t="s">
        <v>40</v>
      </c>
      <c r="B176" s="122" t="s">
        <v>3418</v>
      </c>
      <c r="C176" s="123" t="s">
        <v>3387</v>
      </c>
      <c r="D176" s="122">
        <v>35</v>
      </c>
      <c r="E176" s="125" t="str">
        <f t="shared" si="20"/>
        <v>3#11#69|3#12#69</v>
      </c>
      <c r="F176" s="213" t="str">
        <f t="shared" si="23"/>
        <v>极品注灵石6/元宝208000</v>
      </c>
      <c r="G176" s="122">
        <v>25</v>
      </c>
      <c r="H176" s="112"/>
    </row>
    <row r="177" spans="1:8" ht="15.75" x14ac:dyDescent="0.3">
      <c r="A177" s="122" t="s">
        <v>40</v>
      </c>
      <c r="B177" s="122" t="s">
        <v>3418</v>
      </c>
      <c r="C177" s="123" t="s">
        <v>3388</v>
      </c>
      <c r="D177" s="122">
        <v>36</v>
      </c>
      <c r="E177" s="125" t="str">
        <f t="shared" si="20"/>
        <v>3#11#76|3#12#76</v>
      </c>
      <c r="F177" s="213" t="str">
        <f t="shared" si="23"/>
        <v>极品注灵石6/元宝212000</v>
      </c>
      <c r="G177" s="122">
        <v>25</v>
      </c>
      <c r="H177" s="112"/>
    </row>
    <row r="178" spans="1:8" ht="15.75" x14ac:dyDescent="0.3">
      <c r="A178" s="122" t="s">
        <v>40</v>
      </c>
      <c r="B178" s="122" t="s">
        <v>3418</v>
      </c>
      <c r="C178" s="123" t="s">
        <v>3389</v>
      </c>
      <c r="D178" s="122">
        <v>37</v>
      </c>
      <c r="E178" s="125" t="str">
        <f t="shared" si="20"/>
        <v>3#11#77|3#12#77</v>
      </c>
      <c r="F178" s="213" t="str">
        <f t="shared" si="23"/>
        <v>极品注灵石6/元宝220000</v>
      </c>
      <c r="G178" s="122">
        <v>25</v>
      </c>
      <c r="H178" s="112"/>
    </row>
    <row r="179" spans="1:8" ht="15.75" x14ac:dyDescent="0.3">
      <c r="A179" s="122" t="s">
        <v>40</v>
      </c>
      <c r="B179" s="122" t="s">
        <v>3418</v>
      </c>
      <c r="C179" s="123" t="s">
        <v>3390</v>
      </c>
      <c r="D179" s="122">
        <v>38</v>
      </c>
      <c r="E179" s="125" t="str">
        <f t="shared" si="20"/>
        <v>3#11#80|3#12#80</v>
      </c>
      <c r="F179" s="213" t="str">
        <f t="shared" si="23"/>
        <v>极品注灵石6/元宝228000</v>
      </c>
      <c r="G179" s="122">
        <v>25</v>
      </c>
      <c r="H179" s="112"/>
    </row>
    <row r="180" spans="1:8" ht="15.75" x14ac:dyDescent="0.3">
      <c r="A180" s="122" t="s">
        <v>40</v>
      </c>
      <c r="B180" s="122" t="s">
        <v>3418</v>
      </c>
      <c r="C180" s="123" t="s">
        <v>3391</v>
      </c>
      <c r="D180" s="122">
        <v>39</v>
      </c>
      <c r="E180" s="125" t="str">
        <f t="shared" si="20"/>
        <v>3#11#82|3#12#82</v>
      </c>
      <c r="F180" s="213" t="str">
        <f t="shared" si="23"/>
        <v>极品注灵石6/元宝236000</v>
      </c>
      <c r="G180" s="122">
        <v>25</v>
      </c>
      <c r="H180" s="112"/>
    </row>
    <row r="181" spans="1:8" ht="15.75" x14ac:dyDescent="0.3">
      <c r="A181" s="122" t="s">
        <v>40</v>
      </c>
      <c r="B181" s="122" t="s">
        <v>3418</v>
      </c>
      <c r="C181" s="123" t="s">
        <v>3392</v>
      </c>
      <c r="D181" s="122">
        <v>40</v>
      </c>
      <c r="E181" s="125" t="str">
        <f t="shared" si="20"/>
        <v>3#11#84|3#12#84</v>
      </c>
      <c r="F181" s="213" t="str">
        <f t="shared" si="23"/>
        <v>极品注灵石6/元宝240000</v>
      </c>
      <c r="G181" s="122">
        <v>20</v>
      </c>
      <c r="H181" s="112"/>
    </row>
    <row r="182" spans="1:8" ht="15.75" x14ac:dyDescent="0.3">
      <c r="A182" s="122" t="s">
        <v>40</v>
      </c>
      <c r="B182" s="122" t="s">
        <v>3418</v>
      </c>
      <c r="C182" s="123" t="s">
        <v>3393</v>
      </c>
      <c r="D182" s="122">
        <v>41</v>
      </c>
      <c r="E182" s="125" t="str">
        <f t="shared" si="20"/>
        <v>3#11#91|3#12#91</v>
      </c>
      <c r="F182" s="213" t="str">
        <f t="shared" si="23"/>
        <v>极品注灵石6/元宝248000</v>
      </c>
      <c r="G182" s="122">
        <v>20</v>
      </c>
      <c r="H182" s="112"/>
    </row>
    <row r="183" spans="1:8" ht="15.75" x14ac:dyDescent="0.3">
      <c r="A183" s="122" t="s">
        <v>40</v>
      </c>
      <c r="B183" s="122" t="s">
        <v>3418</v>
      </c>
      <c r="C183" s="123" t="s">
        <v>3394</v>
      </c>
      <c r="D183" s="122">
        <v>42</v>
      </c>
      <c r="E183" s="125" t="str">
        <f t="shared" si="20"/>
        <v>3#11#93|3#12#93</v>
      </c>
      <c r="F183" s="213" t="str">
        <f t="shared" si="23"/>
        <v>极品注灵石7/元宝252000</v>
      </c>
      <c r="G183" s="122">
        <v>20</v>
      </c>
      <c r="H183" s="112"/>
    </row>
    <row r="184" spans="1:8" ht="15.75" x14ac:dyDescent="0.3">
      <c r="A184" s="122" t="s">
        <v>40</v>
      </c>
      <c r="B184" s="122" t="s">
        <v>3418</v>
      </c>
      <c r="C184" s="123" t="s">
        <v>3395</v>
      </c>
      <c r="D184" s="122">
        <v>43</v>
      </c>
      <c r="E184" s="125" t="str">
        <f t="shared" si="20"/>
        <v>3#11#95|3#12#95</v>
      </c>
      <c r="F184" s="213" t="str">
        <f t="shared" si="23"/>
        <v>极品注灵石7/元宝256000</v>
      </c>
      <c r="G184" s="122">
        <v>20</v>
      </c>
      <c r="H184" s="112"/>
    </row>
    <row r="185" spans="1:8" ht="15.75" x14ac:dyDescent="0.3">
      <c r="A185" s="122" t="s">
        <v>40</v>
      </c>
      <c r="B185" s="122" t="s">
        <v>3418</v>
      </c>
      <c r="C185" s="123" t="s">
        <v>3396</v>
      </c>
      <c r="D185" s="122">
        <v>44</v>
      </c>
      <c r="E185" s="125" t="str">
        <f t="shared" si="20"/>
        <v>3#11#97|3#12#97</v>
      </c>
      <c r="F185" s="213" t="str">
        <f t="shared" si="23"/>
        <v>极品注灵石7/元宝264000</v>
      </c>
      <c r="G185" s="122">
        <v>20</v>
      </c>
      <c r="H185" s="112"/>
    </row>
    <row r="186" spans="1:8" ht="15.75" x14ac:dyDescent="0.3">
      <c r="A186" s="122" t="s">
        <v>40</v>
      </c>
      <c r="B186" s="122" t="s">
        <v>3418</v>
      </c>
      <c r="C186" s="123" t="s">
        <v>3397</v>
      </c>
      <c r="D186" s="122">
        <v>45</v>
      </c>
      <c r="E186" s="125" t="str">
        <f>"3#11#"&amp;INT(1/3*Z48)&amp;"|"&amp;"3#12#"&amp;INT(1/3*Z48)</f>
        <v>3#11#100|3#12#100</v>
      </c>
      <c r="F186" s="213"/>
      <c r="G186" s="122"/>
      <c r="H186" s="112"/>
    </row>
    <row r="187" spans="1:8" ht="15.75" x14ac:dyDescent="0.3">
      <c r="A187" s="50" t="s">
        <v>40</v>
      </c>
      <c r="B187" s="50" t="s">
        <v>3419</v>
      </c>
      <c r="C187" s="51" t="s">
        <v>78</v>
      </c>
      <c r="D187" s="50">
        <v>0</v>
      </c>
      <c r="E187" s="129"/>
      <c r="F187" s="214" t="str">
        <f>"中品注灵石"&amp;AG4&amp;"/元宝"&amp;AH4</f>
        <v>中品注灵石5/元宝20000</v>
      </c>
      <c r="G187" s="50">
        <v>100</v>
      </c>
      <c r="H187" s="112"/>
    </row>
    <row r="188" spans="1:8" ht="15.75" x14ac:dyDescent="0.3">
      <c r="A188" s="50" t="s">
        <v>40</v>
      </c>
      <c r="B188" s="50" t="s">
        <v>3419</v>
      </c>
      <c r="C188" s="51" t="s">
        <v>3344</v>
      </c>
      <c r="D188" s="50">
        <v>1</v>
      </c>
      <c r="E188" s="129" t="str">
        <f t="shared" ref="E188:E231" si="24">"3#9#"&amp;INT(1/3*Z4)&amp;"|"&amp;"3#10#"&amp;INT(1/3*Z4)</f>
        <v>3#9#1|3#10#1</v>
      </c>
      <c r="F188" s="214" t="str">
        <f t="shared" ref="F188:F201" si="25">"中品注灵石"&amp;AG5&amp;"/元宝"&amp;AH5</f>
        <v>中品注灵石6/元宝24000</v>
      </c>
      <c r="G188" s="50">
        <v>100</v>
      </c>
      <c r="H188" s="112"/>
    </row>
    <row r="189" spans="1:8" ht="15.75" x14ac:dyDescent="0.3">
      <c r="A189" s="50" t="s">
        <v>40</v>
      </c>
      <c r="B189" s="50" t="s">
        <v>3419</v>
      </c>
      <c r="C189" s="51" t="s">
        <v>3346</v>
      </c>
      <c r="D189" s="50">
        <v>2</v>
      </c>
      <c r="E189" s="129" t="str">
        <f t="shared" si="24"/>
        <v>3#9#2|3#10#2</v>
      </c>
      <c r="F189" s="214" t="str">
        <f t="shared" si="25"/>
        <v>中品注灵石6/元宝24000</v>
      </c>
      <c r="G189" s="50">
        <v>100</v>
      </c>
      <c r="H189" s="112"/>
    </row>
    <row r="190" spans="1:8" ht="15.75" x14ac:dyDescent="0.3">
      <c r="A190" s="50" t="s">
        <v>40</v>
      </c>
      <c r="B190" s="50" t="s">
        <v>3419</v>
      </c>
      <c r="C190" s="51" t="s">
        <v>3348</v>
      </c>
      <c r="D190" s="50">
        <v>3</v>
      </c>
      <c r="E190" s="129" t="str">
        <f t="shared" si="24"/>
        <v>3#9#4|3#10#4</v>
      </c>
      <c r="F190" s="214" t="str">
        <f t="shared" si="25"/>
        <v>中品注灵石7/元宝28000</v>
      </c>
      <c r="G190" s="50">
        <v>100</v>
      </c>
      <c r="H190" s="112"/>
    </row>
    <row r="191" spans="1:8" ht="15.75" x14ac:dyDescent="0.3">
      <c r="A191" s="50" t="s">
        <v>40</v>
      </c>
      <c r="B191" s="50" t="s">
        <v>3419</v>
      </c>
      <c r="C191" s="51" t="s">
        <v>3350</v>
      </c>
      <c r="D191" s="50">
        <v>4</v>
      </c>
      <c r="E191" s="129" t="str">
        <f t="shared" si="24"/>
        <v>3#9#5|3#10#5</v>
      </c>
      <c r="F191" s="214" t="str">
        <f t="shared" si="25"/>
        <v>中品注灵石8/元宝32000</v>
      </c>
      <c r="G191" s="50">
        <v>100</v>
      </c>
      <c r="H191" s="112"/>
    </row>
    <row r="192" spans="1:8" ht="15.75" x14ac:dyDescent="0.3">
      <c r="A192" s="50" t="s">
        <v>40</v>
      </c>
      <c r="B192" s="50" t="s">
        <v>3419</v>
      </c>
      <c r="C192" s="51" t="s">
        <v>3352</v>
      </c>
      <c r="D192" s="50">
        <v>5</v>
      </c>
      <c r="E192" s="129" t="str">
        <f t="shared" si="24"/>
        <v>3#9#6|3#10#6</v>
      </c>
      <c r="F192" s="214" t="str">
        <f t="shared" si="25"/>
        <v>中品注灵石8/元宝32000</v>
      </c>
      <c r="G192" s="50">
        <v>100</v>
      </c>
      <c r="H192" s="112"/>
    </row>
    <row r="193" spans="1:8" ht="15.75" x14ac:dyDescent="0.3">
      <c r="A193" s="50" t="s">
        <v>40</v>
      </c>
      <c r="B193" s="50" t="s">
        <v>3419</v>
      </c>
      <c r="C193" s="51" t="s">
        <v>3354</v>
      </c>
      <c r="D193" s="50">
        <v>6</v>
      </c>
      <c r="E193" s="129" t="str">
        <f t="shared" si="24"/>
        <v>3#9#8|3#10#8</v>
      </c>
      <c r="F193" s="214" t="str">
        <f t="shared" si="25"/>
        <v>中品注灵石9/元宝36000</v>
      </c>
      <c r="G193" s="50">
        <v>100</v>
      </c>
      <c r="H193" s="112"/>
    </row>
    <row r="194" spans="1:8" ht="15.75" x14ac:dyDescent="0.3">
      <c r="A194" s="50" t="s">
        <v>40</v>
      </c>
      <c r="B194" s="50" t="s">
        <v>3419</v>
      </c>
      <c r="C194" s="51" t="s">
        <v>3356</v>
      </c>
      <c r="D194" s="50">
        <v>7</v>
      </c>
      <c r="E194" s="129" t="str">
        <f t="shared" si="24"/>
        <v>3#9#9|3#10#9</v>
      </c>
      <c r="F194" s="214" t="str">
        <f t="shared" si="25"/>
        <v>中品注灵石9/元宝36000</v>
      </c>
      <c r="G194" s="50">
        <v>100</v>
      </c>
      <c r="H194" s="112"/>
    </row>
    <row r="195" spans="1:8" ht="15.75" x14ac:dyDescent="0.3">
      <c r="A195" s="50" t="s">
        <v>40</v>
      </c>
      <c r="B195" s="50" t="s">
        <v>3419</v>
      </c>
      <c r="C195" s="51" t="s">
        <v>3358</v>
      </c>
      <c r="D195" s="50">
        <v>8</v>
      </c>
      <c r="E195" s="129" t="str">
        <f t="shared" si="24"/>
        <v>3#9#11|3#10#11</v>
      </c>
      <c r="F195" s="214" t="str">
        <f t="shared" si="25"/>
        <v>中品注灵石10/元宝40000</v>
      </c>
      <c r="G195" s="50">
        <v>100</v>
      </c>
      <c r="H195" s="112"/>
    </row>
    <row r="196" spans="1:8" ht="15.75" x14ac:dyDescent="0.3">
      <c r="A196" s="50" t="s">
        <v>40</v>
      </c>
      <c r="B196" s="50" t="s">
        <v>3419</v>
      </c>
      <c r="C196" s="51" t="s">
        <v>3360</v>
      </c>
      <c r="D196" s="50">
        <v>9</v>
      </c>
      <c r="E196" s="129" t="str">
        <f t="shared" si="24"/>
        <v>3#9#13|3#10#13</v>
      </c>
      <c r="F196" s="214" t="str">
        <f t="shared" si="25"/>
        <v>中品注灵石11/元宝44000</v>
      </c>
      <c r="G196" s="50">
        <v>100</v>
      </c>
      <c r="H196" s="112"/>
    </row>
    <row r="197" spans="1:8" ht="15.75" x14ac:dyDescent="0.3">
      <c r="A197" s="50" t="s">
        <v>40</v>
      </c>
      <c r="B197" s="50" t="s">
        <v>3419</v>
      </c>
      <c r="C197" s="51" t="s">
        <v>3361</v>
      </c>
      <c r="D197" s="50">
        <v>10</v>
      </c>
      <c r="E197" s="129" t="str">
        <f t="shared" si="24"/>
        <v>3#9#14|3#10#14</v>
      </c>
      <c r="F197" s="214" t="str">
        <f t="shared" si="25"/>
        <v>中品注灵石11/元宝44000</v>
      </c>
      <c r="G197" s="50">
        <v>100</v>
      </c>
      <c r="H197" s="112"/>
    </row>
    <row r="198" spans="1:8" ht="15.75" x14ac:dyDescent="0.3">
      <c r="A198" s="50" t="s">
        <v>40</v>
      </c>
      <c r="B198" s="50" t="s">
        <v>3419</v>
      </c>
      <c r="C198" s="51" t="s">
        <v>3362</v>
      </c>
      <c r="D198" s="50">
        <v>11</v>
      </c>
      <c r="E198" s="129" t="str">
        <f t="shared" si="24"/>
        <v>3#9#17|3#10#17</v>
      </c>
      <c r="F198" s="214" t="str">
        <f t="shared" si="25"/>
        <v>中品注灵石12/元宝48000</v>
      </c>
      <c r="G198" s="50">
        <v>100</v>
      </c>
      <c r="H198" s="112"/>
    </row>
    <row r="199" spans="1:8" ht="15.75" x14ac:dyDescent="0.3">
      <c r="A199" s="50" t="s">
        <v>40</v>
      </c>
      <c r="B199" s="50" t="s">
        <v>3419</v>
      </c>
      <c r="C199" s="51" t="s">
        <v>3363</v>
      </c>
      <c r="D199" s="50">
        <v>12</v>
      </c>
      <c r="E199" s="129" t="str">
        <f t="shared" si="24"/>
        <v>3#9#18|3#10#18</v>
      </c>
      <c r="F199" s="214" t="str">
        <f t="shared" si="25"/>
        <v>中品注灵石13/元宝52000</v>
      </c>
      <c r="G199" s="50">
        <v>100</v>
      </c>
      <c r="H199" s="112"/>
    </row>
    <row r="200" spans="1:8" ht="15.75" x14ac:dyDescent="0.3">
      <c r="A200" s="50" t="s">
        <v>40</v>
      </c>
      <c r="B200" s="50" t="s">
        <v>3419</v>
      </c>
      <c r="C200" s="51" t="s">
        <v>3364</v>
      </c>
      <c r="D200" s="50">
        <v>13</v>
      </c>
      <c r="E200" s="129" t="str">
        <f t="shared" si="24"/>
        <v>3#9#20|3#10#20</v>
      </c>
      <c r="F200" s="214" t="str">
        <f t="shared" si="25"/>
        <v>中品注灵石14/元宝56000</v>
      </c>
      <c r="G200" s="50">
        <v>100</v>
      </c>
      <c r="H200" s="112"/>
    </row>
    <row r="201" spans="1:8" ht="15.75" x14ac:dyDescent="0.3">
      <c r="A201" s="50" t="s">
        <v>40</v>
      </c>
      <c r="B201" s="50" t="s">
        <v>3419</v>
      </c>
      <c r="C201" s="51" t="s">
        <v>3365</v>
      </c>
      <c r="D201" s="50">
        <v>14</v>
      </c>
      <c r="E201" s="129" t="str">
        <f t="shared" si="24"/>
        <v>3#9#21|3#10#21</v>
      </c>
      <c r="F201" s="214" t="str">
        <f t="shared" si="25"/>
        <v>中品注灵石15/元宝60000</v>
      </c>
      <c r="G201" s="50">
        <v>100</v>
      </c>
      <c r="H201" s="112"/>
    </row>
    <row r="202" spans="1:8" ht="15.75" x14ac:dyDescent="0.3">
      <c r="A202" s="50" t="s">
        <v>40</v>
      </c>
      <c r="B202" s="50" t="s">
        <v>3419</v>
      </c>
      <c r="C202" s="51" t="s">
        <v>3366</v>
      </c>
      <c r="D202" s="50">
        <v>15</v>
      </c>
      <c r="E202" s="129" t="str">
        <f t="shared" si="24"/>
        <v>3#9#23|3#10#23</v>
      </c>
      <c r="F202" s="214" t="str">
        <f>"上品注灵石"&amp;ROUND(AG19/2,0)&amp;"/元宝"&amp;AH18</f>
        <v>上品注灵石8/元宝60000</v>
      </c>
      <c r="G202" s="50">
        <v>30</v>
      </c>
      <c r="H202" s="112"/>
    </row>
    <row r="203" spans="1:8" ht="15.75" x14ac:dyDescent="0.3">
      <c r="A203" s="50" t="s">
        <v>40</v>
      </c>
      <c r="B203" s="50" t="s">
        <v>3420</v>
      </c>
      <c r="C203" s="51" t="s">
        <v>3368</v>
      </c>
      <c r="D203" s="50">
        <v>16</v>
      </c>
      <c r="E203" s="129" t="str">
        <f t="shared" si="24"/>
        <v>3#9#26|3#10#26</v>
      </c>
      <c r="F203" s="214" t="str">
        <f t="shared" ref="F203:F216" si="26">"上品注灵石"&amp;ROUND(AG20/2,0)&amp;"/元宝"&amp;AH19</f>
        <v>上品注灵石9/元宝64000</v>
      </c>
      <c r="G203" s="50">
        <v>30</v>
      </c>
      <c r="H203" s="112"/>
    </row>
    <row r="204" spans="1:8" ht="15.75" x14ac:dyDescent="0.3">
      <c r="A204" s="50" t="s">
        <v>40</v>
      </c>
      <c r="B204" s="50" t="s">
        <v>3420</v>
      </c>
      <c r="C204" s="51" t="s">
        <v>3369</v>
      </c>
      <c r="D204" s="50">
        <v>17</v>
      </c>
      <c r="E204" s="129" t="str">
        <f t="shared" si="24"/>
        <v>3#9#28|3#10#28</v>
      </c>
      <c r="F204" s="214" t="str">
        <f t="shared" si="26"/>
        <v>上品注灵石10/元宝72000</v>
      </c>
      <c r="G204" s="50">
        <v>30</v>
      </c>
      <c r="H204" s="112"/>
    </row>
    <row r="205" spans="1:8" ht="15.75" x14ac:dyDescent="0.3">
      <c r="A205" s="50" t="s">
        <v>40</v>
      </c>
      <c r="B205" s="50" t="s">
        <v>3420</v>
      </c>
      <c r="C205" s="51" t="s">
        <v>3370</v>
      </c>
      <c r="D205" s="50">
        <v>18</v>
      </c>
      <c r="E205" s="129" t="str">
        <f t="shared" si="24"/>
        <v>3#9#30|3#10#30</v>
      </c>
      <c r="F205" s="214" t="str">
        <f t="shared" si="26"/>
        <v>上品注灵石11/元宝80000</v>
      </c>
      <c r="G205" s="50">
        <v>30</v>
      </c>
      <c r="H205" s="112"/>
    </row>
    <row r="206" spans="1:8" ht="15.75" x14ac:dyDescent="0.3">
      <c r="A206" s="50" t="s">
        <v>40</v>
      </c>
      <c r="B206" s="50" t="s">
        <v>3420</v>
      </c>
      <c r="C206" s="51" t="s">
        <v>3371</v>
      </c>
      <c r="D206" s="50">
        <v>19</v>
      </c>
      <c r="E206" s="129" t="str">
        <f t="shared" si="24"/>
        <v>3#9#31|3#10#31</v>
      </c>
      <c r="F206" s="214" t="str">
        <f t="shared" si="26"/>
        <v>上品注灵石12/元宝88000</v>
      </c>
      <c r="G206" s="50">
        <v>30</v>
      </c>
      <c r="H206" s="112"/>
    </row>
    <row r="207" spans="1:8" ht="15.75" x14ac:dyDescent="0.3">
      <c r="A207" s="50" t="s">
        <v>40</v>
      </c>
      <c r="B207" s="50" t="s">
        <v>3420</v>
      </c>
      <c r="C207" s="51" t="s">
        <v>3372</v>
      </c>
      <c r="D207" s="50">
        <v>20</v>
      </c>
      <c r="E207" s="129" t="str">
        <f t="shared" si="24"/>
        <v>3#9#33|3#10#33</v>
      </c>
      <c r="F207" s="214" t="str">
        <f t="shared" si="26"/>
        <v>上品注灵石14/元宝96000</v>
      </c>
      <c r="G207" s="50">
        <v>25</v>
      </c>
      <c r="H207" s="112"/>
    </row>
    <row r="208" spans="1:8" ht="15.75" x14ac:dyDescent="0.3">
      <c r="A208" s="50" t="s">
        <v>40</v>
      </c>
      <c r="B208" s="50" t="s">
        <v>3420</v>
      </c>
      <c r="C208" s="51" t="s">
        <v>3373</v>
      </c>
      <c r="D208" s="50">
        <v>21</v>
      </c>
      <c r="E208" s="129" t="str">
        <f t="shared" si="24"/>
        <v>3#9#37|3#10#37</v>
      </c>
      <c r="F208" s="214" t="str">
        <f t="shared" si="26"/>
        <v>上品注灵石15/元宝108000</v>
      </c>
      <c r="G208" s="50">
        <v>25</v>
      </c>
      <c r="H208" s="112"/>
    </row>
    <row r="209" spans="1:8" ht="15.75" x14ac:dyDescent="0.3">
      <c r="A209" s="50" t="s">
        <v>40</v>
      </c>
      <c r="B209" s="50" t="s">
        <v>3420</v>
      </c>
      <c r="C209" s="51" t="s">
        <v>3374</v>
      </c>
      <c r="D209" s="50">
        <v>22</v>
      </c>
      <c r="E209" s="129" t="str">
        <f t="shared" si="24"/>
        <v>3#9#38|3#10#38</v>
      </c>
      <c r="F209" s="214" t="str">
        <f t="shared" si="26"/>
        <v>上品注灵石16/元宝116000</v>
      </c>
      <c r="G209" s="50">
        <v>25</v>
      </c>
      <c r="H209" s="112"/>
    </row>
    <row r="210" spans="1:8" ht="15.75" x14ac:dyDescent="0.3">
      <c r="A210" s="50" t="s">
        <v>40</v>
      </c>
      <c r="B210" s="50" t="s">
        <v>3420</v>
      </c>
      <c r="C210" s="51" t="s">
        <v>3375</v>
      </c>
      <c r="D210" s="50">
        <v>23</v>
      </c>
      <c r="E210" s="129" t="str">
        <f t="shared" si="24"/>
        <v>3#9#40|3#10#40</v>
      </c>
      <c r="F210" s="214" t="str">
        <f t="shared" si="26"/>
        <v>上品注灵石17/元宝124000</v>
      </c>
      <c r="G210" s="50">
        <v>25</v>
      </c>
      <c r="H210" s="112"/>
    </row>
    <row r="211" spans="1:8" ht="15.75" x14ac:dyDescent="0.3">
      <c r="A211" s="50" t="s">
        <v>40</v>
      </c>
      <c r="B211" s="50" t="s">
        <v>3420</v>
      </c>
      <c r="C211" s="51" t="s">
        <v>3376</v>
      </c>
      <c r="D211" s="50">
        <v>24</v>
      </c>
      <c r="E211" s="129" t="str">
        <f t="shared" si="24"/>
        <v>3#9#42|3#10#42</v>
      </c>
      <c r="F211" s="214" t="str">
        <f t="shared" si="26"/>
        <v>上品注灵石18/元宝136000</v>
      </c>
      <c r="G211" s="50">
        <v>25</v>
      </c>
      <c r="H211" s="112"/>
    </row>
    <row r="212" spans="1:8" ht="15.75" x14ac:dyDescent="0.3">
      <c r="A212" s="50" t="s">
        <v>40</v>
      </c>
      <c r="B212" s="50" t="s">
        <v>3420</v>
      </c>
      <c r="C212" s="51" t="s">
        <v>3377</v>
      </c>
      <c r="D212" s="50">
        <v>25</v>
      </c>
      <c r="E212" s="129" t="str">
        <f t="shared" si="24"/>
        <v>3#9#44|3#10#44</v>
      </c>
      <c r="F212" s="214" t="str">
        <f t="shared" si="26"/>
        <v>上品注灵石19/元宝144000</v>
      </c>
      <c r="G212" s="50">
        <v>25</v>
      </c>
      <c r="H212" s="112"/>
    </row>
    <row r="213" spans="1:8" ht="15.75" x14ac:dyDescent="0.3">
      <c r="A213" s="50" t="s">
        <v>40</v>
      </c>
      <c r="B213" s="50" t="s">
        <v>3420</v>
      </c>
      <c r="C213" s="51" t="s">
        <v>3378</v>
      </c>
      <c r="D213" s="50">
        <v>26</v>
      </c>
      <c r="E213" s="129" t="str">
        <f t="shared" si="24"/>
        <v>3#9#49|3#10#49</v>
      </c>
      <c r="F213" s="214" t="str">
        <f t="shared" si="26"/>
        <v>上品注灵石20/元宝152000</v>
      </c>
      <c r="G213" s="50">
        <v>25</v>
      </c>
      <c r="H213" s="112"/>
    </row>
    <row r="214" spans="1:8" ht="15.75" x14ac:dyDescent="0.3">
      <c r="A214" s="50" t="s">
        <v>40</v>
      </c>
      <c r="B214" s="50" t="s">
        <v>3420</v>
      </c>
      <c r="C214" s="51" t="s">
        <v>3379</v>
      </c>
      <c r="D214" s="50">
        <v>27</v>
      </c>
      <c r="E214" s="129" t="str">
        <f t="shared" si="24"/>
        <v>3#9#51|3#10#51</v>
      </c>
      <c r="F214" s="214" t="str">
        <f t="shared" si="26"/>
        <v>上品注灵石21/元宝156000</v>
      </c>
      <c r="G214" s="50">
        <v>25</v>
      </c>
      <c r="H214" s="112"/>
    </row>
    <row r="215" spans="1:8" ht="15.75" x14ac:dyDescent="0.3">
      <c r="A215" s="50" t="s">
        <v>40</v>
      </c>
      <c r="B215" s="50" t="s">
        <v>3420</v>
      </c>
      <c r="C215" s="51" t="s">
        <v>3380</v>
      </c>
      <c r="D215" s="50">
        <v>28</v>
      </c>
      <c r="E215" s="129" t="str">
        <f t="shared" si="24"/>
        <v>3#9#52|3#10#52</v>
      </c>
      <c r="F215" s="214" t="str">
        <f t="shared" si="26"/>
        <v>上品注灵石22/元宝164000</v>
      </c>
      <c r="G215" s="50">
        <v>25</v>
      </c>
      <c r="H215" s="112"/>
    </row>
    <row r="216" spans="1:8" ht="15.75" x14ac:dyDescent="0.3">
      <c r="A216" s="50" t="s">
        <v>40</v>
      </c>
      <c r="B216" s="50" t="s">
        <v>3420</v>
      </c>
      <c r="C216" s="51" t="s">
        <v>3381</v>
      </c>
      <c r="D216" s="50">
        <v>29</v>
      </c>
      <c r="E216" s="129" t="str">
        <f t="shared" si="24"/>
        <v>3#9#54|3#10#54</v>
      </c>
      <c r="F216" s="214" t="str">
        <f t="shared" si="26"/>
        <v>上品注灵石23/元宝172000</v>
      </c>
      <c r="G216" s="50">
        <v>25</v>
      </c>
      <c r="H216" s="112"/>
    </row>
    <row r="217" spans="1:8" ht="15.75" x14ac:dyDescent="0.3">
      <c r="A217" s="50" t="s">
        <v>40</v>
      </c>
      <c r="B217" s="50" t="s">
        <v>3420</v>
      </c>
      <c r="C217" s="51" t="s">
        <v>3382</v>
      </c>
      <c r="D217" s="50">
        <v>30</v>
      </c>
      <c r="E217" s="129" t="str">
        <f t="shared" si="24"/>
        <v>3#9#56|3#10#56</v>
      </c>
      <c r="F217" s="214" t="str">
        <f>"极品注灵石"&amp;ROUND(AG34/10,0)&amp;"/元宝"&amp;AH32</f>
        <v>极品注灵石5/元宝172000</v>
      </c>
      <c r="G217" s="50">
        <v>30</v>
      </c>
      <c r="H217" s="112"/>
    </row>
    <row r="218" spans="1:8" ht="15.75" x14ac:dyDescent="0.3">
      <c r="A218" s="50" t="s">
        <v>40</v>
      </c>
      <c r="B218" s="50" t="s">
        <v>3420</v>
      </c>
      <c r="C218" s="51" t="s">
        <v>3383</v>
      </c>
      <c r="D218" s="50">
        <v>31</v>
      </c>
      <c r="E218" s="129" t="str">
        <f t="shared" si="24"/>
        <v>3#9#61|3#10#61</v>
      </c>
      <c r="F218" s="214" t="str">
        <f t="shared" ref="F218:F231" si="27">"极品注灵石"&amp;ROUND(AG35/10,0)&amp;"/元宝"&amp;AH33</f>
        <v>极品注灵石5/元宝180000</v>
      </c>
      <c r="G218" s="50">
        <v>30</v>
      </c>
      <c r="H218" s="112"/>
    </row>
    <row r="219" spans="1:8" ht="15.75" x14ac:dyDescent="0.3">
      <c r="A219" s="50" t="s">
        <v>40</v>
      </c>
      <c r="B219" s="50" t="s">
        <v>3420</v>
      </c>
      <c r="C219" s="51" t="s">
        <v>3384</v>
      </c>
      <c r="D219" s="50">
        <v>32</v>
      </c>
      <c r="E219" s="129" t="str">
        <f t="shared" si="24"/>
        <v>3#9#63|3#10#63</v>
      </c>
      <c r="F219" s="214" t="str">
        <f t="shared" si="27"/>
        <v>极品注灵石5/元宝184000</v>
      </c>
      <c r="G219" s="50">
        <v>30</v>
      </c>
      <c r="H219" s="112"/>
    </row>
    <row r="220" spans="1:8" ht="15.75" x14ac:dyDescent="0.3">
      <c r="A220" s="50" t="s">
        <v>40</v>
      </c>
      <c r="B220" s="50" t="s">
        <v>3420</v>
      </c>
      <c r="C220" s="51" t="s">
        <v>3385</v>
      </c>
      <c r="D220" s="50">
        <v>33</v>
      </c>
      <c r="E220" s="129" t="str">
        <f t="shared" si="24"/>
        <v>3#9#66|3#10#66</v>
      </c>
      <c r="F220" s="214" t="str">
        <f t="shared" si="27"/>
        <v>极品注灵石5/元宝192000</v>
      </c>
      <c r="G220" s="50">
        <v>30</v>
      </c>
      <c r="H220" s="112"/>
    </row>
    <row r="221" spans="1:8" ht="15.75" x14ac:dyDescent="0.3">
      <c r="A221" s="50" t="s">
        <v>40</v>
      </c>
      <c r="B221" s="50" t="s">
        <v>3420</v>
      </c>
      <c r="C221" s="51" t="s">
        <v>3386</v>
      </c>
      <c r="D221" s="50">
        <v>34</v>
      </c>
      <c r="E221" s="129" t="str">
        <f t="shared" si="24"/>
        <v>3#9#67|3#10#67</v>
      </c>
      <c r="F221" s="214" t="str">
        <f t="shared" si="27"/>
        <v>极品注灵石5/元宝200000</v>
      </c>
      <c r="G221" s="50">
        <v>30</v>
      </c>
      <c r="H221" s="112"/>
    </row>
    <row r="222" spans="1:8" ht="15.75" x14ac:dyDescent="0.3">
      <c r="A222" s="50" t="s">
        <v>40</v>
      </c>
      <c r="B222" s="50" t="s">
        <v>3420</v>
      </c>
      <c r="C222" s="51" t="s">
        <v>3387</v>
      </c>
      <c r="D222" s="50">
        <v>35</v>
      </c>
      <c r="E222" s="129" t="str">
        <f t="shared" si="24"/>
        <v>3#9#69|3#10#69</v>
      </c>
      <c r="F222" s="214" t="str">
        <f t="shared" si="27"/>
        <v>极品注灵石6/元宝208000</v>
      </c>
      <c r="G222" s="50">
        <v>25</v>
      </c>
      <c r="H222" s="112"/>
    </row>
    <row r="223" spans="1:8" ht="15.75" x14ac:dyDescent="0.3">
      <c r="A223" s="50" t="s">
        <v>40</v>
      </c>
      <c r="B223" s="50" t="s">
        <v>3420</v>
      </c>
      <c r="C223" s="51" t="s">
        <v>3388</v>
      </c>
      <c r="D223" s="50">
        <v>36</v>
      </c>
      <c r="E223" s="129" t="str">
        <f t="shared" si="24"/>
        <v>3#9#76|3#10#76</v>
      </c>
      <c r="F223" s="214" t="str">
        <f t="shared" si="27"/>
        <v>极品注灵石6/元宝212000</v>
      </c>
      <c r="G223" s="50">
        <v>25</v>
      </c>
      <c r="H223" s="112"/>
    </row>
    <row r="224" spans="1:8" ht="15.75" x14ac:dyDescent="0.3">
      <c r="A224" s="50" t="s">
        <v>40</v>
      </c>
      <c r="B224" s="50" t="s">
        <v>3420</v>
      </c>
      <c r="C224" s="51" t="s">
        <v>3389</v>
      </c>
      <c r="D224" s="50">
        <v>37</v>
      </c>
      <c r="E224" s="129" t="str">
        <f t="shared" si="24"/>
        <v>3#9#77|3#10#77</v>
      </c>
      <c r="F224" s="214" t="str">
        <f t="shared" si="27"/>
        <v>极品注灵石6/元宝220000</v>
      </c>
      <c r="G224" s="50">
        <v>25</v>
      </c>
      <c r="H224" s="112"/>
    </row>
    <row r="225" spans="1:8" ht="15.75" x14ac:dyDescent="0.3">
      <c r="A225" s="50" t="s">
        <v>40</v>
      </c>
      <c r="B225" s="50" t="s">
        <v>3420</v>
      </c>
      <c r="C225" s="51" t="s">
        <v>3390</v>
      </c>
      <c r="D225" s="50">
        <v>38</v>
      </c>
      <c r="E225" s="129" t="str">
        <f t="shared" si="24"/>
        <v>3#9#80|3#10#80</v>
      </c>
      <c r="F225" s="214" t="str">
        <f t="shared" si="27"/>
        <v>极品注灵石6/元宝228000</v>
      </c>
      <c r="G225" s="50">
        <v>25</v>
      </c>
      <c r="H225" s="112"/>
    </row>
    <row r="226" spans="1:8" ht="15.75" x14ac:dyDescent="0.3">
      <c r="A226" s="50" t="s">
        <v>40</v>
      </c>
      <c r="B226" s="50" t="s">
        <v>3420</v>
      </c>
      <c r="C226" s="51" t="s">
        <v>3391</v>
      </c>
      <c r="D226" s="50">
        <v>39</v>
      </c>
      <c r="E226" s="129" t="str">
        <f t="shared" si="24"/>
        <v>3#9#82|3#10#82</v>
      </c>
      <c r="F226" s="214" t="str">
        <f t="shared" si="27"/>
        <v>极品注灵石6/元宝236000</v>
      </c>
      <c r="G226" s="50">
        <v>25</v>
      </c>
      <c r="H226" s="112"/>
    </row>
    <row r="227" spans="1:8" ht="15.75" x14ac:dyDescent="0.3">
      <c r="A227" s="50" t="s">
        <v>40</v>
      </c>
      <c r="B227" s="50" t="s">
        <v>3420</v>
      </c>
      <c r="C227" s="51" t="s">
        <v>3392</v>
      </c>
      <c r="D227" s="50">
        <v>40</v>
      </c>
      <c r="E227" s="129" t="str">
        <f t="shared" si="24"/>
        <v>3#9#84|3#10#84</v>
      </c>
      <c r="F227" s="214" t="str">
        <f t="shared" si="27"/>
        <v>极品注灵石6/元宝240000</v>
      </c>
      <c r="G227" s="50">
        <v>20</v>
      </c>
      <c r="H227" s="112"/>
    </row>
    <row r="228" spans="1:8" ht="15.75" x14ac:dyDescent="0.3">
      <c r="A228" s="50" t="s">
        <v>40</v>
      </c>
      <c r="B228" s="50" t="s">
        <v>3420</v>
      </c>
      <c r="C228" s="51" t="s">
        <v>3393</v>
      </c>
      <c r="D228" s="50">
        <v>41</v>
      </c>
      <c r="E228" s="129" t="str">
        <f t="shared" si="24"/>
        <v>3#9#91|3#10#91</v>
      </c>
      <c r="F228" s="214" t="str">
        <f t="shared" si="27"/>
        <v>极品注灵石6/元宝248000</v>
      </c>
      <c r="G228" s="50">
        <v>20</v>
      </c>
      <c r="H228" s="112"/>
    </row>
    <row r="229" spans="1:8" ht="15.75" x14ac:dyDescent="0.3">
      <c r="A229" s="50" t="s">
        <v>40</v>
      </c>
      <c r="B229" s="50" t="s">
        <v>3420</v>
      </c>
      <c r="C229" s="51" t="s">
        <v>3394</v>
      </c>
      <c r="D229" s="50">
        <v>42</v>
      </c>
      <c r="E229" s="129" t="str">
        <f t="shared" si="24"/>
        <v>3#9#93|3#10#93</v>
      </c>
      <c r="F229" s="214" t="str">
        <f t="shared" si="27"/>
        <v>极品注灵石7/元宝252000</v>
      </c>
      <c r="G229" s="50">
        <v>20</v>
      </c>
      <c r="H229" s="112"/>
    </row>
    <row r="230" spans="1:8" ht="15.75" x14ac:dyDescent="0.3">
      <c r="A230" s="50" t="s">
        <v>40</v>
      </c>
      <c r="B230" s="50" t="s">
        <v>3420</v>
      </c>
      <c r="C230" s="51" t="s">
        <v>3395</v>
      </c>
      <c r="D230" s="50">
        <v>43</v>
      </c>
      <c r="E230" s="129" t="str">
        <f t="shared" si="24"/>
        <v>3#9#95|3#10#95</v>
      </c>
      <c r="F230" s="214" t="str">
        <f t="shared" si="27"/>
        <v>极品注灵石7/元宝256000</v>
      </c>
      <c r="G230" s="50">
        <v>20</v>
      </c>
      <c r="H230" s="112"/>
    </row>
    <row r="231" spans="1:8" ht="15.75" x14ac:dyDescent="0.3">
      <c r="A231" s="50" t="s">
        <v>40</v>
      </c>
      <c r="B231" s="50" t="s">
        <v>3420</v>
      </c>
      <c r="C231" s="51" t="s">
        <v>3396</v>
      </c>
      <c r="D231" s="50">
        <v>44</v>
      </c>
      <c r="E231" s="129" t="str">
        <f t="shared" si="24"/>
        <v>3#9#97|3#10#97</v>
      </c>
      <c r="F231" s="214" t="str">
        <f t="shared" si="27"/>
        <v>极品注灵石7/元宝264000</v>
      </c>
      <c r="G231" s="50">
        <v>20</v>
      </c>
      <c r="H231" s="112"/>
    </row>
    <row r="232" spans="1:8" ht="15.75" x14ac:dyDescent="0.3">
      <c r="A232" s="50" t="s">
        <v>40</v>
      </c>
      <c r="B232" s="50" t="s">
        <v>3420</v>
      </c>
      <c r="C232" s="51" t="s">
        <v>3397</v>
      </c>
      <c r="D232" s="50">
        <v>45</v>
      </c>
      <c r="E232" s="129" t="str">
        <f>"3#9#"&amp;INT(1/3*Z48)&amp;"|"&amp;"3#10#"&amp;INT(1/3*Z48)</f>
        <v>3#9#100|3#10#100</v>
      </c>
      <c r="F232" s="214"/>
      <c r="G232" s="50"/>
      <c r="H232" s="112"/>
    </row>
    <row r="233" spans="1:8" ht="15.75" x14ac:dyDescent="0.3">
      <c r="A233" s="53" t="s">
        <v>40</v>
      </c>
      <c r="B233" s="53" t="s">
        <v>3421</v>
      </c>
      <c r="C233" s="54" t="s">
        <v>78</v>
      </c>
      <c r="D233" s="53">
        <v>0</v>
      </c>
      <c r="E233" s="133"/>
      <c r="F233" s="215" t="str">
        <f>"中品注灵石"&amp;AG4&amp;"/元宝"&amp;AH4</f>
        <v>中品注灵石5/元宝20000</v>
      </c>
      <c r="G233" s="53">
        <v>100</v>
      </c>
      <c r="H233" s="112"/>
    </row>
    <row r="234" spans="1:8" ht="15.75" x14ac:dyDescent="0.3">
      <c r="A234" s="53" t="s">
        <v>40</v>
      </c>
      <c r="B234" s="53" t="s">
        <v>3421</v>
      </c>
      <c r="C234" s="54" t="s">
        <v>3344</v>
      </c>
      <c r="D234" s="53">
        <v>1</v>
      </c>
      <c r="E234" s="133" t="str">
        <f t="shared" ref="E234:E277" si="28">"3#1#"&amp;INT(0.5*V4)</f>
        <v>3#1#60</v>
      </c>
      <c r="F234" s="215" t="str">
        <f t="shared" ref="F234:F247" si="29">"中品注灵石"&amp;AG5&amp;"/元宝"&amp;AH5</f>
        <v>中品注灵石6/元宝24000</v>
      </c>
      <c r="G234" s="53">
        <v>100</v>
      </c>
      <c r="H234" s="112"/>
    </row>
    <row r="235" spans="1:8" ht="15.75" x14ac:dyDescent="0.3">
      <c r="A235" s="53" t="s">
        <v>40</v>
      </c>
      <c r="B235" s="53" t="s">
        <v>3421</v>
      </c>
      <c r="C235" s="54" t="s">
        <v>3346</v>
      </c>
      <c r="D235" s="53">
        <v>2</v>
      </c>
      <c r="E235" s="133" t="str">
        <f t="shared" si="28"/>
        <v>3#1#120</v>
      </c>
      <c r="F235" s="215" t="str">
        <f t="shared" si="29"/>
        <v>中品注灵石6/元宝24000</v>
      </c>
      <c r="G235" s="53">
        <v>100</v>
      </c>
      <c r="H235" s="112"/>
    </row>
    <row r="236" spans="1:8" ht="15.75" x14ac:dyDescent="0.3">
      <c r="A236" s="53" t="s">
        <v>40</v>
      </c>
      <c r="B236" s="53" t="s">
        <v>3421</v>
      </c>
      <c r="C236" s="54" t="s">
        <v>3348</v>
      </c>
      <c r="D236" s="53">
        <v>3</v>
      </c>
      <c r="E236" s="133" t="str">
        <f t="shared" si="28"/>
        <v>3#1#180</v>
      </c>
      <c r="F236" s="215" t="str">
        <f t="shared" si="29"/>
        <v>中品注灵石7/元宝28000</v>
      </c>
      <c r="G236" s="53">
        <v>100</v>
      </c>
      <c r="H236" s="112"/>
    </row>
    <row r="237" spans="1:8" ht="15.75" x14ac:dyDescent="0.3">
      <c r="A237" s="53" t="s">
        <v>40</v>
      </c>
      <c r="B237" s="53" t="s">
        <v>3421</v>
      </c>
      <c r="C237" s="54" t="s">
        <v>3350</v>
      </c>
      <c r="D237" s="53">
        <v>4</v>
      </c>
      <c r="E237" s="133" t="str">
        <f t="shared" si="28"/>
        <v>3#1#240</v>
      </c>
      <c r="F237" s="215" t="str">
        <f t="shared" si="29"/>
        <v>中品注灵石8/元宝32000</v>
      </c>
      <c r="G237" s="53">
        <v>100</v>
      </c>
      <c r="H237" s="112"/>
    </row>
    <row r="238" spans="1:8" ht="15.75" x14ac:dyDescent="0.3">
      <c r="A238" s="53" t="s">
        <v>40</v>
      </c>
      <c r="B238" s="53" t="s">
        <v>3421</v>
      </c>
      <c r="C238" s="54" t="s">
        <v>3352</v>
      </c>
      <c r="D238" s="53">
        <v>5</v>
      </c>
      <c r="E238" s="133" t="str">
        <f t="shared" si="28"/>
        <v>3#1#300</v>
      </c>
      <c r="F238" s="215" t="str">
        <f t="shared" si="29"/>
        <v>中品注灵石8/元宝32000</v>
      </c>
      <c r="G238" s="53">
        <v>100</v>
      </c>
      <c r="H238" s="112"/>
    </row>
    <row r="239" spans="1:8" ht="15.75" x14ac:dyDescent="0.3">
      <c r="A239" s="53" t="s">
        <v>40</v>
      </c>
      <c r="B239" s="53" t="s">
        <v>3421</v>
      </c>
      <c r="C239" s="54" t="s">
        <v>3354</v>
      </c>
      <c r="D239" s="53">
        <v>6</v>
      </c>
      <c r="E239" s="133" t="str">
        <f t="shared" si="28"/>
        <v>3#1#390</v>
      </c>
      <c r="F239" s="215" t="str">
        <f t="shared" si="29"/>
        <v>中品注灵石9/元宝36000</v>
      </c>
      <c r="G239" s="53">
        <v>100</v>
      </c>
      <c r="H239" s="112"/>
    </row>
    <row r="240" spans="1:8" ht="15.75" x14ac:dyDescent="0.3">
      <c r="A240" s="53" t="s">
        <v>40</v>
      </c>
      <c r="B240" s="53" t="s">
        <v>3421</v>
      </c>
      <c r="C240" s="54" t="s">
        <v>3356</v>
      </c>
      <c r="D240" s="53">
        <v>7</v>
      </c>
      <c r="E240" s="133" t="str">
        <f t="shared" si="28"/>
        <v>3#1#455</v>
      </c>
      <c r="F240" s="215" t="str">
        <f t="shared" si="29"/>
        <v>中品注灵石9/元宝36000</v>
      </c>
      <c r="G240" s="53">
        <v>100</v>
      </c>
      <c r="H240" s="112"/>
    </row>
    <row r="241" spans="1:8" ht="15.75" x14ac:dyDescent="0.3">
      <c r="A241" s="53" t="s">
        <v>40</v>
      </c>
      <c r="B241" s="53" t="s">
        <v>3421</v>
      </c>
      <c r="C241" s="54" t="s">
        <v>3358</v>
      </c>
      <c r="D241" s="53">
        <v>8</v>
      </c>
      <c r="E241" s="133" t="str">
        <f t="shared" si="28"/>
        <v>3#1#520</v>
      </c>
      <c r="F241" s="215" t="str">
        <f t="shared" si="29"/>
        <v>中品注灵石10/元宝40000</v>
      </c>
      <c r="G241" s="53">
        <v>100</v>
      </c>
      <c r="H241" s="112"/>
    </row>
    <row r="242" spans="1:8" ht="15.75" x14ac:dyDescent="0.3">
      <c r="A242" s="53" t="s">
        <v>40</v>
      </c>
      <c r="B242" s="53" t="s">
        <v>3421</v>
      </c>
      <c r="C242" s="54" t="s">
        <v>3360</v>
      </c>
      <c r="D242" s="53">
        <v>9</v>
      </c>
      <c r="E242" s="133" t="str">
        <f t="shared" si="28"/>
        <v>3#1#585</v>
      </c>
      <c r="F242" s="215" t="str">
        <f t="shared" si="29"/>
        <v>中品注灵石11/元宝44000</v>
      </c>
      <c r="G242" s="53">
        <v>100</v>
      </c>
      <c r="H242" s="112"/>
    </row>
    <row r="243" spans="1:8" ht="15.75" x14ac:dyDescent="0.3">
      <c r="A243" s="53" t="s">
        <v>40</v>
      </c>
      <c r="B243" s="53" t="s">
        <v>3421</v>
      </c>
      <c r="C243" s="54" t="s">
        <v>3361</v>
      </c>
      <c r="D243" s="53">
        <v>10</v>
      </c>
      <c r="E243" s="133" t="str">
        <f t="shared" si="28"/>
        <v>3#1#650</v>
      </c>
      <c r="F243" s="215" t="str">
        <f t="shared" si="29"/>
        <v>中品注灵石11/元宝44000</v>
      </c>
      <c r="G243" s="53">
        <v>100</v>
      </c>
      <c r="H243" s="112"/>
    </row>
    <row r="244" spans="1:8" ht="15.75" x14ac:dyDescent="0.3">
      <c r="A244" s="53" t="s">
        <v>40</v>
      </c>
      <c r="B244" s="53" t="s">
        <v>3421</v>
      </c>
      <c r="C244" s="54" t="s">
        <v>3362</v>
      </c>
      <c r="D244" s="53">
        <v>11</v>
      </c>
      <c r="E244" s="133" t="str">
        <f t="shared" si="28"/>
        <v>3#1#770</v>
      </c>
      <c r="F244" s="215" t="str">
        <f t="shared" si="29"/>
        <v>中品注灵石12/元宝48000</v>
      </c>
      <c r="G244" s="53">
        <v>100</v>
      </c>
      <c r="H244" s="112"/>
    </row>
    <row r="245" spans="1:8" ht="15.75" x14ac:dyDescent="0.3">
      <c r="A245" s="53" t="s">
        <v>40</v>
      </c>
      <c r="B245" s="53" t="s">
        <v>3421</v>
      </c>
      <c r="C245" s="54" t="s">
        <v>3363</v>
      </c>
      <c r="D245" s="53">
        <v>12</v>
      </c>
      <c r="E245" s="133" t="str">
        <f t="shared" si="28"/>
        <v>3#1#840</v>
      </c>
      <c r="F245" s="215" t="str">
        <f t="shared" si="29"/>
        <v>中品注灵石13/元宝52000</v>
      </c>
      <c r="G245" s="53">
        <v>100</v>
      </c>
      <c r="H245" s="112"/>
    </row>
    <row r="246" spans="1:8" ht="15.75" x14ac:dyDescent="0.3">
      <c r="A246" s="53" t="s">
        <v>40</v>
      </c>
      <c r="B246" s="53" t="s">
        <v>3421</v>
      </c>
      <c r="C246" s="54" t="s">
        <v>3364</v>
      </c>
      <c r="D246" s="53">
        <v>13</v>
      </c>
      <c r="E246" s="133" t="str">
        <f t="shared" si="28"/>
        <v>3#1#910</v>
      </c>
      <c r="F246" s="215" t="str">
        <f t="shared" si="29"/>
        <v>中品注灵石14/元宝56000</v>
      </c>
      <c r="G246" s="53">
        <v>100</v>
      </c>
      <c r="H246" s="112"/>
    </row>
    <row r="247" spans="1:8" ht="15.75" x14ac:dyDescent="0.3">
      <c r="A247" s="53" t="s">
        <v>40</v>
      </c>
      <c r="B247" s="53" t="s">
        <v>3421</v>
      </c>
      <c r="C247" s="54" t="s">
        <v>3365</v>
      </c>
      <c r="D247" s="53">
        <v>14</v>
      </c>
      <c r="E247" s="133" t="str">
        <f t="shared" si="28"/>
        <v>3#1#980</v>
      </c>
      <c r="F247" s="215" t="str">
        <f t="shared" si="29"/>
        <v>中品注灵石15/元宝60000</v>
      </c>
      <c r="G247" s="53">
        <v>100</v>
      </c>
      <c r="H247" s="112"/>
    </row>
    <row r="248" spans="1:8" ht="15.75" x14ac:dyDescent="0.3">
      <c r="A248" s="53" t="s">
        <v>40</v>
      </c>
      <c r="B248" s="53" t="s">
        <v>3421</v>
      </c>
      <c r="C248" s="54" t="s">
        <v>3366</v>
      </c>
      <c r="D248" s="53">
        <v>15</v>
      </c>
      <c r="E248" s="133" t="str">
        <f t="shared" si="28"/>
        <v>3#1#1050</v>
      </c>
      <c r="F248" s="215" t="str">
        <f>"上品注灵石"&amp;ROUND(AG19/2,0)&amp;"/元宝"&amp;AH18</f>
        <v>上品注灵石8/元宝60000</v>
      </c>
      <c r="G248" s="53">
        <v>30</v>
      </c>
      <c r="H248" s="112"/>
    </row>
    <row r="249" spans="1:8" ht="15.75" x14ac:dyDescent="0.3">
      <c r="A249" s="53" t="s">
        <v>40</v>
      </c>
      <c r="B249" s="53" t="s">
        <v>3422</v>
      </c>
      <c r="C249" s="54" t="s">
        <v>3368</v>
      </c>
      <c r="D249" s="53">
        <v>16</v>
      </c>
      <c r="E249" s="133" t="str">
        <f t="shared" si="28"/>
        <v>3#1#1200</v>
      </c>
      <c r="F249" s="215" t="str">
        <f t="shared" ref="F249:F262" si="30">"上品注灵石"&amp;ROUND(AG20/2,0)&amp;"/元宝"&amp;AH19</f>
        <v>上品注灵石9/元宝64000</v>
      </c>
      <c r="G249" s="53">
        <v>30</v>
      </c>
      <c r="H249" s="112"/>
    </row>
    <row r="250" spans="1:8" ht="15.75" x14ac:dyDescent="0.3">
      <c r="A250" s="53" t="s">
        <v>40</v>
      </c>
      <c r="B250" s="53" t="s">
        <v>3422</v>
      </c>
      <c r="C250" s="54" t="s">
        <v>3369</v>
      </c>
      <c r="D250" s="53">
        <v>17</v>
      </c>
      <c r="E250" s="133" t="str">
        <f t="shared" si="28"/>
        <v>3#1#1275</v>
      </c>
      <c r="F250" s="215" t="str">
        <f t="shared" si="30"/>
        <v>上品注灵石10/元宝72000</v>
      </c>
      <c r="G250" s="53">
        <v>30</v>
      </c>
      <c r="H250" s="112"/>
    </row>
    <row r="251" spans="1:8" ht="15.75" x14ac:dyDescent="0.3">
      <c r="A251" s="53" t="s">
        <v>40</v>
      </c>
      <c r="B251" s="53" t="s">
        <v>3422</v>
      </c>
      <c r="C251" s="54" t="s">
        <v>3370</v>
      </c>
      <c r="D251" s="53">
        <v>18</v>
      </c>
      <c r="E251" s="133" t="str">
        <f t="shared" si="28"/>
        <v>3#1#1350</v>
      </c>
      <c r="F251" s="215" t="str">
        <f t="shared" si="30"/>
        <v>上品注灵石11/元宝80000</v>
      </c>
      <c r="G251" s="53">
        <v>30</v>
      </c>
      <c r="H251" s="112"/>
    </row>
    <row r="252" spans="1:8" ht="15.75" x14ac:dyDescent="0.3">
      <c r="A252" s="53" t="s">
        <v>40</v>
      </c>
      <c r="B252" s="53" t="s">
        <v>3422</v>
      </c>
      <c r="C252" s="54" t="s">
        <v>3371</v>
      </c>
      <c r="D252" s="53">
        <v>19</v>
      </c>
      <c r="E252" s="133" t="str">
        <f t="shared" si="28"/>
        <v>3#1#1425</v>
      </c>
      <c r="F252" s="215" t="str">
        <f t="shared" si="30"/>
        <v>上品注灵石12/元宝88000</v>
      </c>
      <c r="G252" s="53">
        <v>30</v>
      </c>
      <c r="H252" s="112"/>
    </row>
    <row r="253" spans="1:8" ht="15.75" x14ac:dyDescent="0.3">
      <c r="A253" s="53" t="s">
        <v>40</v>
      </c>
      <c r="B253" s="53" t="s">
        <v>3422</v>
      </c>
      <c r="C253" s="54" t="s">
        <v>3372</v>
      </c>
      <c r="D253" s="53">
        <v>20</v>
      </c>
      <c r="E253" s="133" t="str">
        <f t="shared" si="28"/>
        <v>3#1#1500</v>
      </c>
      <c r="F253" s="215" t="str">
        <f t="shared" si="30"/>
        <v>上品注灵石14/元宝96000</v>
      </c>
      <c r="G253" s="53">
        <v>25</v>
      </c>
      <c r="H253" s="112"/>
    </row>
    <row r="254" spans="1:8" ht="15.75" x14ac:dyDescent="0.3">
      <c r="A254" s="53" t="s">
        <v>40</v>
      </c>
      <c r="B254" s="53" t="s">
        <v>3422</v>
      </c>
      <c r="C254" s="54" t="s">
        <v>3373</v>
      </c>
      <c r="D254" s="53">
        <v>21</v>
      </c>
      <c r="E254" s="133" t="str">
        <f t="shared" si="28"/>
        <v>3#1#1680</v>
      </c>
      <c r="F254" s="215" t="str">
        <f t="shared" si="30"/>
        <v>上品注灵石15/元宝108000</v>
      </c>
      <c r="G254" s="53">
        <v>25</v>
      </c>
      <c r="H254" s="112"/>
    </row>
    <row r="255" spans="1:8" ht="15.75" x14ac:dyDescent="0.3">
      <c r="A255" s="53" t="s">
        <v>40</v>
      </c>
      <c r="B255" s="53" t="s">
        <v>3422</v>
      </c>
      <c r="C255" s="54" t="s">
        <v>3374</v>
      </c>
      <c r="D255" s="53">
        <v>22</v>
      </c>
      <c r="E255" s="133" t="str">
        <f t="shared" si="28"/>
        <v>3#1#1760</v>
      </c>
      <c r="F255" s="215" t="str">
        <f t="shared" si="30"/>
        <v>上品注灵石16/元宝116000</v>
      </c>
      <c r="G255" s="53">
        <v>25</v>
      </c>
      <c r="H255" s="112"/>
    </row>
    <row r="256" spans="1:8" ht="15.75" x14ac:dyDescent="0.3">
      <c r="A256" s="53" t="s">
        <v>40</v>
      </c>
      <c r="B256" s="53" t="s">
        <v>3422</v>
      </c>
      <c r="C256" s="54" t="s">
        <v>3375</v>
      </c>
      <c r="D256" s="53">
        <v>23</v>
      </c>
      <c r="E256" s="133" t="str">
        <f t="shared" si="28"/>
        <v>3#1#1840</v>
      </c>
      <c r="F256" s="215" t="str">
        <f t="shared" si="30"/>
        <v>上品注灵石17/元宝124000</v>
      </c>
      <c r="G256" s="53">
        <v>25</v>
      </c>
      <c r="H256" s="112"/>
    </row>
    <row r="257" spans="1:8" ht="15.75" x14ac:dyDescent="0.3">
      <c r="A257" s="53" t="s">
        <v>40</v>
      </c>
      <c r="B257" s="53" t="s">
        <v>3422</v>
      </c>
      <c r="C257" s="54" t="s">
        <v>3376</v>
      </c>
      <c r="D257" s="53">
        <v>24</v>
      </c>
      <c r="E257" s="133" t="str">
        <f t="shared" si="28"/>
        <v>3#1#1920</v>
      </c>
      <c r="F257" s="215" t="str">
        <f t="shared" si="30"/>
        <v>上品注灵石18/元宝136000</v>
      </c>
      <c r="G257" s="53">
        <v>25</v>
      </c>
      <c r="H257" s="112"/>
    </row>
    <row r="258" spans="1:8" ht="15.75" x14ac:dyDescent="0.3">
      <c r="A258" s="53" t="s">
        <v>40</v>
      </c>
      <c r="B258" s="53" t="s">
        <v>3422</v>
      </c>
      <c r="C258" s="54" t="s">
        <v>3377</v>
      </c>
      <c r="D258" s="53">
        <v>25</v>
      </c>
      <c r="E258" s="133" t="str">
        <f t="shared" si="28"/>
        <v>3#1#2000</v>
      </c>
      <c r="F258" s="215" t="str">
        <f t="shared" si="30"/>
        <v>上品注灵石19/元宝144000</v>
      </c>
      <c r="G258" s="53">
        <v>25</v>
      </c>
      <c r="H258" s="112"/>
    </row>
    <row r="259" spans="1:8" ht="15.75" x14ac:dyDescent="0.3">
      <c r="A259" s="53" t="s">
        <v>40</v>
      </c>
      <c r="B259" s="53" t="s">
        <v>3422</v>
      </c>
      <c r="C259" s="54" t="s">
        <v>3378</v>
      </c>
      <c r="D259" s="53">
        <v>26</v>
      </c>
      <c r="E259" s="133" t="str">
        <f t="shared" si="28"/>
        <v>3#1#2210</v>
      </c>
      <c r="F259" s="215" t="str">
        <f t="shared" si="30"/>
        <v>上品注灵石20/元宝152000</v>
      </c>
      <c r="G259" s="53">
        <v>25</v>
      </c>
      <c r="H259" s="112"/>
    </row>
    <row r="260" spans="1:8" ht="15.75" x14ac:dyDescent="0.3">
      <c r="A260" s="53" t="s">
        <v>40</v>
      </c>
      <c r="B260" s="53" t="s">
        <v>3422</v>
      </c>
      <c r="C260" s="54" t="s">
        <v>3379</v>
      </c>
      <c r="D260" s="53">
        <v>27</v>
      </c>
      <c r="E260" s="133" t="str">
        <f t="shared" si="28"/>
        <v>3#1#2295</v>
      </c>
      <c r="F260" s="215" t="str">
        <f t="shared" si="30"/>
        <v>上品注灵石21/元宝156000</v>
      </c>
      <c r="G260" s="53">
        <v>25</v>
      </c>
      <c r="H260" s="112"/>
    </row>
    <row r="261" spans="1:8" ht="15.75" x14ac:dyDescent="0.3">
      <c r="A261" s="53" t="s">
        <v>40</v>
      </c>
      <c r="B261" s="53" t="s">
        <v>3422</v>
      </c>
      <c r="C261" s="54" t="s">
        <v>3380</v>
      </c>
      <c r="D261" s="53">
        <v>28</v>
      </c>
      <c r="E261" s="133" t="str">
        <f t="shared" si="28"/>
        <v>3#1#2380</v>
      </c>
      <c r="F261" s="215" t="str">
        <f t="shared" si="30"/>
        <v>上品注灵石22/元宝164000</v>
      </c>
      <c r="G261" s="53">
        <v>25</v>
      </c>
      <c r="H261" s="112"/>
    </row>
    <row r="262" spans="1:8" ht="15.75" x14ac:dyDescent="0.3">
      <c r="A262" s="53" t="s">
        <v>40</v>
      </c>
      <c r="B262" s="53" t="s">
        <v>3422</v>
      </c>
      <c r="C262" s="54" t="s">
        <v>3381</v>
      </c>
      <c r="D262" s="53">
        <v>29</v>
      </c>
      <c r="E262" s="133" t="str">
        <f t="shared" si="28"/>
        <v>3#1#2465</v>
      </c>
      <c r="F262" s="215" t="str">
        <f t="shared" si="30"/>
        <v>上品注灵石23/元宝172000</v>
      </c>
      <c r="G262" s="53">
        <v>25</v>
      </c>
      <c r="H262" s="112"/>
    </row>
    <row r="263" spans="1:8" ht="15.75" x14ac:dyDescent="0.3">
      <c r="A263" s="53" t="s">
        <v>40</v>
      </c>
      <c r="B263" s="53" t="s">
        <v>3422</v>
      </c>
      <c r="C263" s="54" t="s">
        <v>3382</v>
      </c>
      <c r="D263" s="53">
        <v>30</v>
      </c>
      <c r="E263" s="133" t="str">
        <f t="shared" si="28"/>
        <v>3#1#2550</v>
      </c>
      <c r="F263" s="215" t="str">
        <f>"极品注灵石"&amp;ROUND(AG34/10,0)&amp;"/元宝"&amp;AH32</f>
        <v>极品注灵石5/元宝172000</v>
      </c>
      <c r="G263" s="53">
        <v>30</v>
      </c>
      <c r="H263" s="112"/>
    </row>
    <row r="264" spans="1:8" ht="15.75" x14ac:dyDescent="0.3">
      <c r="A264" s="53" t="s">
        <v>40</v>
      </c>
      <c r="B264" s="53" t="s">
        <v>3422</v>
      </c>
      <c r="C264" s="54" t="s">
        <v>3383</v>
      </c>
      <c r="D264" s="53">
        <v>31</v>
      </c>
      <c r="E264" s="133" t="str">
        <f t="shared" si="28"/>
        <v>3#1#2790</v>
      </c>
      <c r="F264" s="215" t="str">
        <f t="shared" ref="F264:F277" si="31">"极品注灵石"&amp;ROUND(AG35/10,0)&amp;"/元宝"&amp;AH33</f>
        <v>极品注灵石5/元宝180000</v>
      </c>
      <c r="G264" s="53">
        <v>30</v>
      </c>
      <c r="H264" s="112"/>
    </row>
    <row r="265" spans="1:8" ht="15.75" x14ac:dyDescent="0.3">
      <c r="A265" s="53" t="s">
        <v>40</v>
      </c>
      <c r="B265" s="53" t="s">
        <v>3422</v>
      </c>
      <c r="C265" s="54" t="s">
        <v>3384</v>
      </c>
      <c r="D265" s="53">
        <v>32</v>
      </c>
      <c r="E265" s="133" t="str">
        <f t="shared" si="28"/>
        <v>3#1#2880</v>
      </c>
      <c r="F265" s="215" t="str">
        <f t="shared" si="31"/>
        <v>极品注灵石5/元宝184000</v>
      </c>
      <c r="G265" s="53">
        <v>30</v>
      </c>
      <c r="H265" s="112"/>
    </row>
    <row r="266" spans="1:8" ht="15.75" x14ac:dyDescent="0.3">
      <c r="A266" s="53" t="s">
        <v>40</v>
      </c>
      <c r="B266" s="53" t="s">
        <v>3422</v>
      </c>
      <c r="C266" s="54" t="s">
        <v>3385</v>
      </c>
      <c r="D266" s="53">
        <v>33</v>
      </c>
      <c r="E266" s="133" t="str">
        <f t="shared" si="28"/>
        <v>3#1#2970</v>
      </c>
      <c r="F266" s="215" t="str">
        <f t="shared" si="31"/>
        <v>极品注灵石5/元宝192000</v>
      </c>
      <c r="G266" s="53">
        <v>30</v>
      </c>
      <c r="H266" s="112"/>
    </row>
    <row r="267" spans="1:8" ht="15.75" x14ac:dyDescent="0.3">
      <c r="A267" s="53" t="s">
        <v>40</v>
      </c>
      <c r="B267" s="53" t="s">
        <v>3422</v>
      </c>
      <c r="C267" s="54" t="s">
        <v>3386</v>
      </c>
      <c r="D267" s="53">
        <v>34</v>
      </c>
      <c r="E267" s="133" t="str">
        <f t="shared" si="28"/>
        <v>3#1#3060</v>
      </c>
      <c r="F267" s="215" t="str">
        <f t="shared" si="31"/>
        <v>极品注灵石5/元宝200000</v>
      </c>
      <c r="G267" s="53">
        <v>30</v>
      </c>
      <c r="H267" s="112"/>
    </row>
    <row r="268" spans="1:8" ht="15.75" x14ac:dyDescent="0.3">
      <c r="A268" s="53" t="s">
        <v>40</v>
      </c>
      <c r="B268" s="53" t="s">
        <v>3422</v>
      </c>
      <c r="C268" s="54" t="s">
        <v>3387</v>
      </c>
      <c r="D268" s="53">
        <v>35</v>
      </c>
      <c r="E268" s="133" t="str">
        <f t="shared" si="28"/>
        <v>3#1#3150</v>
      </c>
      <c r="F268" s="215" t="str">
        <f t="shared" si="31"/>
        <v>极品注灵石6/元宝208000</v>
      </c>
      <c r="G268" s="53">
        <v>25</v>
      </c>
      <c r="H268" s="112"/>
    </row>
    <row r="269" spans="1:8" ht="15.75" x14ac:dyDescent="0.3">
      <c r="A269" s="53" t="s">
        <v>40</v>
      </c>
      <c r="B269" s="53" t="s">
        <v>3422</v>
      </c>
      <c r="C269" s="54" t="s">
        <v>3388</v>
      </c>
      <c r="D269" s="53">
        <v>36</v>
      </c>
      <c r="E269" s="133" t="str">
        <f t="shared" si="28"/>
        <v>3#1#3420</v>
      </c>
      <c r="F269" s="215" t="str">
        <f t="shared" si="31"/>
        <v>极品注灵石6/元宝212000</v>
      </c>
      <c r="G269" s="53">
        <v>25</v>
      </c>
      <c r="H269" s="112"/>
    </row>
    <row r="270" spans="1:8" ht="15.75" x14ac:dyDescent="0.3">
      <c r="A270" s="53" t="s">
        <v>40</v>
      </c>
      <c r="B270" s="53" t="s">
        <v>3422</v>
      </c>
      <c r="C270" s="54" t="s">
        <v>3389</v>
      </c>
      <c r="D270" s="53">
        <v>37</v>
      </c>
      <c r="E270" s="133" t="str">
        <f t="shared" si="28"/>
        <v>3#1#3515</v>
      </c>
      <c r="F270" s="215" t="str">
        <f t="shared" si="31"/>
        <v>极品注灵石6/元宝220000</v>
      </c>
      <c r="G270" s="53">
        <v>25</v>
      </c>
      <c r="H270" s="112"/>
    </row>
    <row r="271" spans="1:8" ht="15.75" x14ac:dyDescent="0.3">
      <c r="A271" s="53" t="s">
        <v>40</v>
      </c>
      <c r="B271" s="53" t="s">
        <v>3422</v>
      </c>
      <c r="C271" s="54" t="s">
        <v>3390</v>
      </c>
      <c r="D271" s="53">
        <v>38</v>
      </c>
      <c r="E271" s="133" t="str">
        <f t="shared" si="28"/>
        <v>3#1#3610</v>
      </c>
      <c r="F271" s="215" t="str">
        <f t="shared" si="31"/>
        <v>极品注灵石6/元宝228000</v>
      </c>
      <c r="G271" s="53">
        <v>25</v>
      </c>
      <c r="H271" s="112"/>
    </row>
    <row r="272" spans="1:8" ht="15.75" x14ac:dyDescent="0.3">
      <c r="A272" s="53" t="s">
        <v>40</v>
      </c>
      <c r="B272" s="53" t="s">
        <v>3422</v>
      </c>
      <c r="C272" s="54" t="s">
        <v>3391</v>
      </c>
      <c r="D272" s="53">
        <v>39</v>
      </c>
      <c r="E272" s="133" t="str">
        <f t="shared" si="28"/>
        <v>3#1#3705</v>
      </c>
      <c r="F272" s="215" t="str">
        <f t="shared" si="31"/>
        <v>极品注灵石6/元宝236000</v>
      </c>
      <c r="G272" s="53">
        <v>25</v>
      </c>
      <c r="H272" s="112"/>
    </row>
    <row r="273" spans="1:8" ht="15.75" x14ac:dyDescent="0.3">
      <c r="A273" s="53" t="s">
        <v>40</v>
      </c>
      <c r="B273" s="53" t="s">
        <v>3422</v>
      </c>
      <c r="C273" s="54" t="s">
        <v>3392</v>
      </c>
      <c r="D273" s="53">
        <v>40</v>
      </c>
      <c r="E273" s="133" t="str">
        <f t="shared" si="28"/>
        <v>3#1#3800</v>
      </c>
      <c r="F273" s="215" t="str">
        <f t="shared" si="31"/>
        <v>极品注灵石6/元宝240000</v>
      </c>
      <c r="G273" s="53">
        <v>20</v>
      </c>
      <c r="H273" s="112"/>
    </row>
    <row r="274" spans="1:8" ht="15.75" x14ac:dyDescent="0.3">
      <c r="A274" s="53" t="s">
        <v>40</v>
      </c>
      <c r="B274" s="53" t="s">
        <v>3422</v>
      </c>
      <c r="C274" s="54" t="s">
        <v>3393</v>
      </c>
      <c r="D274" s="53">
        <v>41</v>
      </c>
      <c r="E274" s="133" t="str">
        <f t="shared" si="28"/>
        <v>3#1#4100</v>
      </c>
      <c r="F274" s="215" t="str">
        <f t="shared" si="31"/>
        <v>极品注灵石6/元宝248000</v>
      </c>
      <c r="G274" s="53">
        <v>20</v>
      </c>
      <c r="H274" s="112"/>
    </row>
    <row r="275" spans="1:8" ht="15.75" x14ac:dyDescent="0.3">
      <c r="A275" s="53" t="s">
        <v>40</v>
      </c>
      <c r="B275" s="53" t="s">
        <v>3422</v>
      </c>
      <c r="C275" s="54" t="s">
        <v>3394</v>
      </c>
      <c r="D275" s="53">
        <v>42</v>
      </c>
      <c r="E275" s="133" t="str">
        <f t="shared" si="28"/>
        <v>3#1#4200</v>
      </c>
      <c r="F275" s="215" t="str">
        <f t="shared" si="31"/>
        <v>极品注灵石7/元宝252000</v>
      </c>
      <c r="G275" s="53">
        <v>20</v>
      </c>
      <c r="H275" s="112"/>
    </row>
    <row r="276" spans="1:8" ht="15.75" x14ac:dyDescent="0.3">
      <c r="A276" s="53" t="s">
        <v>40</v>
      </c>
      <c r="B276" s="53" t="s">
        <v>3422</v>
      </c>
      <c r="C276" s="54" t="s">
        <v>3395</v>
      </c>
      <c r="D276" s="53">
        <v>43</v>
      </c>
      <c r="E276" s="133" t="str">
        <f t="shared" si="28"/>
        <v>3#1#4300</v>
      </c>
      <c r="F276" s="215" t="str">
        <f t="shared" si="31"/>
        <v>极品注灵石7/元宝256000</v>
      </c>
      <c r="G276" s="53">
        <v>20</v>
      </c>
      <c r="H276" s="112"/>
    </row>
    <row r="277" spans="1:8" ht="15.75" x14ac:dyDescent="0.3">
      <c r="A277" s="53" t="s">
        <v>40</v>
      </c>
      <c r="B277" s="53" t="s">
        <v>3422</v>
      </c>
      <c r="C277" s="54" t="s">
        <v>3396</v>
      </c>
      <c r="D277" s="53">
        <v>44</v>
      </c>
      <c r="E277" s="133" t="str">
        <f t="shared" si="28"/>
        <v>3#1#4400</v>
      </c>
      <c r="F277" s="215" t="str">
        <f t="shared" si="31"/>
        <v>极品注灵石7/元宝264000</v>
      </c>
      <c r="G277" s="53">
        <v>20</v>
      </c>
      <c r="H277" s="112"/>
    </row>
    <row r="278" spans="1:8" ht="15.75" x14ac:dyDescent="0.3">
      <c r="A278" s="53" t="s">
        <v>40</v>
      </c>
      <c r="B278" s="53" t="s">
        <v>3422</v>
      </c>
      <c r="C278" s="54" t="s">
        <v>3397</v>
      </c>
      <c r="D278" s="53">
        <v>45</v>
      </c>
      <c r="E278" s="133" t="str">
        <f>"3#1#"&amp;INT(0.5*V48)</f>
        <v>3#1#4500</v>
      </c>
      <c r="F278" s="215"/>
      <c r="G278" s="53"/>
      <c r="H278" s="112"/>
    </row>
    <row r="279" spans="1:8" ht="15.75" x14ac:dyDescent="0.3">
      <c r="A279" s="136" t="s">
        <v>40</v>
      </c>
      <c r="B279" s="136" t="s">
        <v>3423</v>
      </c>
      <c r="C279" s="137" t="s">
        <v>78</v>
      </c>
      <c r="D279" s="136">
        <v>0</v>
      </c>
      <c r="E279" s="138"/>
      <c r="F279" s="216" t="str">
        <f>"中品注灵石"&amp;AG4&amp;"/元宝"&amp;AH4</f>
        <v>中品注灵石5/元宝20000</v>
      </c>
      <c r="G279" s="136">
        <v>100</v>
      </c>
      <c r="H279" s="112"/>
    </row>
    <row r="280" spans="1:8" ht="15.75" x14ac:dyDescent="0.3">
      <c r="A280" s="136" t="s">
        <v>40</v>
      </c>
      <c r="B280" s="136" t="s">
        <v>3423</v>
      </c>
      <c r="C280" s="137" t="s">
        <v>3344</v>
      </c>
      <c r="D280" s="136">
        <v>1</v>
      </c>
      <c r="E280" s="138" t="str">
        <f t="shared" ref="E280:E323" si="32">"3#1#"&amp;INT(0.5*V4)</f>
        <v>3#1#60</v>
      </c>
      <c r="F280" s="216" t="str">
        <f t="shared" ref="F280:F293" si="33">"中品注灵石"&amp;AG5&amp;"/元宝"&amp;AH5</f>
        <v>中品注灵石6/元宝24000</v>
      </c>
      <c r="G280" s="136">
        <v>100</v>
      </c>
      <c r="H280" s="112"/>
    </row>
    <row r="281" spans="1:8" ht="15.75" x14ac:dyDescent="0.3">
      <c r="A281" s="136" t="s">
        <v>40</v>
      </c>
      <c r="B281" s="136" t="s">
        <v>3423</v>
      </c>
      <c r="C281" s="137" t="s">
        <v>3346</v>
      </c>
      <c r="D281" s="136">
        <v>2</v>
      </c>
      <c r="E281" s="138" t="str">
        <f t="shared" si="32"/>
        <v>3#1#120</v>
      </c>
      <c r="F281" s="216" t="str">
        <f t="shared" si="33"/>
        <v>中品注灵石6/元宝24000</v>
      </c>
      <c r="G281" s="136">
        <v>100</v>
      </c>
      <c r="H281" s="112"/>
    </row>
    <row r="282" spans="1:8" ht="15.75" x14ac:dyDescent="0.3">
      <c r="A282" s="136" t="s">
        <v>40</v>
      </c>
      <c r="B282" s="136" t="s">
        <v>3423</v>
      </c>
      <c r="C282" s="137" t="s">
        <v>3348</v>
      </c>
      <c r="D282" s="136">
        <v>3</v>
      </c>
      <c r="E282" s="138" t="str">
        <f t="shared" si="32"/>
        <v>3#1#180</v>
      </c>
      <c r="F282" s="216" t="str">
        <f t="shared" si="33"/>
        <v>中品注灵石7/元宝28000</v>
      </c>
      <c r="G282" s="136">
        <v>100</v>
      </c>
      <c r="H282" s="112"/>
    </row>
    <row r="283" spans="1:8" ht="15.75" x14ac:dyDescent="0.3">
      <c r="A283" s="136" t="s">
        <v>40</v>
      </c>
      <c r="B283" s="136" t="s">
        <v>3423</v>
      </c>
      <c r="C283" s="137" t="s">
        <v>3350</v>
      </c>
      <c r="D283" s="136">
        <v>4</v>
      </c>
      <c r="E283" s="138" t="str">
        <f t="shared" si="32"/>
        <v>3#1#240</v>
      </c>
      <c r="F283" s="216" t="str">
        <f t="shared" si="33"/>
        <v>中品注灵石8/元宝32000</v>
      </c>
      <c r="G283" s="136">
        <v>100</v>
      </c>
      <c r="H283" s="112"/>
    </row>
    <row r="284" spans="1:8" ht="15.75" x14ac:dyDescent="0.3">
      <c r="A284" s="136" t="s">
        <v>40</v>
      </c>
      <c r="B284" s="136" t="s">
        <v>3423</v>
      </c>
      <c r="C284" s="137" t="s">
        <v>3352</v>
      </c>
      <c r="D284" s="136">
        <v>5</v>
      </c>
      <c r="E284" s="138" t="str">
        <f t="shared" si="32"/>
        <v>3#1#300</v>
      </c>
      <c r="F284" s="216" t="str">
        <f t="shared" si="33"/>
        <v>中品注灵石8/元宝32000</v>
      </c>
      <c r="G284" s="136">
        <v>100</v>
      </c>
      <c r="H284" s="112"/>
    </row>
    <row r="285" spans="1:8" ht="15.75" x14ac:dyDescent="0.3">
      <c r="A285" s="136" t="s">
        <v>40</v>
      </c>
      <c r="B285" s="136" t="s">
        <v>3423</v>
      </c>
      <c r="C285" s="137" t="s">
        <v>3354</v>
      </c>
      <c r="D285" s="136">
        <v>6</v>
      </c>
      <c r="E285" s="138" t="str">
        <f t="shared" si="32"/>
        <v>3#1#390</v>
      </c>
      <c r="F285" s="216" t="str">
        <f t="shared" si="33"/>
        <v>中品注灵石9/元宝36000</v>
      </c>
      <c r="G285" s="136">
        <v>100</v>
      </c>
      <c r="H285" s="112"/>
    </row>
    <row r="286" spans="1:8" ht="15.75" x14ac:dyDescent="0.3">
      <c r="A286" s="136" t="s">
        <v>40</v>
      </c>
      <c r="B286" s="136" t="s">
        <v>3423</v>
      </c>
      <c r="C286" s="137" t="s">
        <v>3356</v>
      </c>
      <c r="D286" s="136">
        <v>7</v>
      </c>
      <c r="E286" s="138" t="str">
        <f t="shared" si="32"/>
        <v>3#1#455</v>
      </c>
      <c r="F286" s="216" t="str">
        <f t="shared" si="33"/>
        <v>中品注灵石9/元宝36000</v>
      </c>
      <c r="G286" s="136">
        <v>100</v>
      </c>
      <c r="H286" s="112"/>
    </row>
    <row r="287" spans="1:8" ht="15.75" x14ac:dyDescent="0.3">
      <c r="A287" s="136" t="s">
        <v>40</v>
      </c>
      <c r="B287" s="136" t="s">
        <v>3423</v>
      </c>
      <c r="C287" s="137" t="s">
        <v>3358</v>
      </c>
      <c r="D287" s="136">
        <v>8</v>
      </c>
      <c r="E287" s="138" t="str">
        <f t="shared" si="32"/>
        <v>3#1#520</v>
      </c>
      <c r="F287" s="216" t="str">
        <f t="shared" si="33"/>
        <v>中品注灵石10/元宝40000</v>
      </c>
      <c r="G287" s="136">
        <v>100</v>
      </c>
      <c r="H287" s="112"/>
    </row>
    <row r="288" spans="1:8" ht="15.75" x14ac:dyDescent="0.3">
      <c r="A288" s="136" t="s">
        <v>40</v>
      </c>
      <c r="B288" s="136" t="s">
        <v>3423</v>
      </c>
      <c r="C288" s="137" t="s">
        <v>3360</v>
      </c>
      <c r="D288" s="136">
        <v>9</v>
      </c>
      <c r="E288" s="138" t="str">
        <f t="shared" si="32"/>
        <v>3#1#585</v>
      </c>
      <c r="F288" s="216" t="str">
        <f t="shared" si="33"/>
        <v>中品注灵石11/元宝44000</v>
      </c>
      <c r="G288" s="136">
        <v>100</v>
      </c>
      <c r="H288" s="112"/>
    </row>
    <row r="289" spans="1:8" ht="15.75" x14ac:dyDescent="0.3">
      <c r="A289" s="136" t="s">
        <v>40</v>
      </c>
      <c r="B289" s="136" t="s">
        <v>3423</v>
      </c>
      <c r="C289" s="137" t="s">
        <v>3361</v>
      </c>
      <c r="D289" s="136">
        <v>10</v>
      </c>
      <c r="E289" s="138" t="str">
        <f t="shared" si="32"/>
        <v>3#1#650</v>
      </c>
      <c r="F289" s="216" t="str">
        <f t="shared" si="33"/>
        <v>中品注灵石11/元宝44000</v>
      </c>
      <c r="G289" s="136">
        <v>100</v>
      </c>
      <c r="H289" s="112"/>
    </row>
    <row r="290" spans="1:8" ht="15.75" x14ac:dyDescent="0.3">
      <c r="A290" s="136" t="s">
        <v>40</v>
      </c>
      <c r="B290" s="136" t="s">
        <v>3423</v>
      </c>
      <c r="C290" s="137" t="s">
        <v>3362</v>
      </c>
      <c r="D290" s="136">
        <v>11</v>
      </c>
      <c r="E290" s="138" t="str">
        <f t="shared" si="32"/>
        <v>3#1#770</v>
      </c>
      <c r="F290" s="216" t="str">
        <f t="shared" si="33"/>
        <v>中品注灵石12/元宝48000</v>
      </c>
      <c r="G290" s="136">
        <v>100</v>
      </c>
      <c r="H290" s="112"/>
    </row>
    <row r="291" spans="1:8" ht="15.75" x14ac:dyDescent="0.3">
      <c r="A291" s="136" t="s">
        <v>40</v>
      </c>
      <c r="B291" s="136" t="s">
        <v>3423</v>
      </c>
      <c r="C291" s="137" t="s">
        <v>3363</v>
      </c>
      <c r="D291" s="136">
        <v>12</v>
      </c>
      <c r="E291" s="138" t="str">
        <f t="shared" si="32"/>
        <v>3#1#840</v>
      </c>
      <c r="F291" s="216" t="str">
        <f t="shared" si="33"/>
        <v>中品注灵石13/元宝52000</v>
      </c>
      <c r="G291" s="136">
        <v>100</v>
      </c>
      <c r="H291" s="112"/>
    </row>
    <row r="292" spans="1:8" ht="15.75" x14ac:dyDescent="0.3">
      <c r="A292" s="136" t="s">
        <v>40</v>
      </c>
      <c r="B292" s="136" t="s">
        <v>3423</v>
      </c>
      <c r="C292" s="137" t="s">
        <v>3364</v>
      </c>
      <c r="D292" s="136">
        <v>13</v>
      </c>
      <c r="E292" s="138" t="str">
        <f t="shared" si="32"/>
        <v>3#1#910</v>
      </c>
      <c r="F292" s="216" t="str">
        <f t="shared" si="33"/>
        <v>中品注灵石14/元宝56000</v>
      </c>
      <c r="G292" s="136">
        <v>100</v>
      </c>
      <c r="H292" s="112"/>
    </row>
    <row r="293" spans="1:8" ht="15.75" x14ac:dyDescent="0.3">
      <c r="A293" s="136" t="s">
        <v>40</v>
      </c>
      <c r="B293" s="136" t="s">
        <v>3423</v>
      </c>
      <c r="C293" s="137" t="s">
        <v>3365</v>
      </c>
      <c r="D293" s="136">
        <v>14</v>
      </c>
      <c r="E293" s="138" t="str">
        <f t="shared" si="32"/>
        <v>3#1#980</v>
      </c>
      <c r="F293" s="216" t="str">
        <f t="shared" si="33"/>
        <v>中品注灵石15/元宝60000</v>
      </c>
      <c r="G293" s="136">
        <v>100</v>
      </c>
      <c r="H293" s="112"/>
    </row>
    <row r="294" spans="1:8" ht="15.75" x14ac:dyDescent="0.3">
      <c r="A294" s="136" t="s">
        <v>40</v>
      </c>
      <c r="B294" s="136" t="s">
        <v>3423</v>
      </c>
      <c r="C294" s="137" t="s">
        <v>3366</v>
      </c>
      <c r="D294" s="136">
        <v>15</v>
      </c>
      <c r="E294" s="138" t="str">
        <f t="shared" si="32"/>
        <v>3#1#1050</v>
      </c>
      <c r="F294" s="216" t="str">
        <f>"上品注灵石"&amp;ROUND(AG19/2,0)&amp;"/元宝"&amp;AH18</f>
        <v>上品注灵石8/元宝60000</v>
      </c>
      <c r="G294" s="136">
        <v>30</v>
      </c>
      <c r="H294" s="112"/>
    </row>
    <row r="295" spans="1:8" ht="15.75" x14ac:dyDescent="0.3">
      <c r="A295" s="136" t="s">
        <v>40</v>
      </c>
      <c r="B295" s="136" t="s">
        <v>3424</v>
      </c>
      <c r="C295" s="137" t="s">
        <v>3368</v>
      </c>
      <c r="D295" s="136">
        <v>16</v>
      </c>
      <c r="E295" s="138" t="str">
        <f t="shared" si="32"/>
        <v>3#1#1200</v>
      </c>
      <c r="F295" s="216" t="str">
        <f t="shared" ref="F295:F308" si="34">"上品注灵石"&amp;ROUND(AG20/2,0)&amp;"/元宝"&amp;AH19</f>
        <v>上品注灵石9/元宝64000</v>
      </c>
      <c r="G295" s="136">
        <v>30</v>
      </c>
      <c r="H295" s="112"/>
    </row>
    <row r="296" spans="1:8" ht="15.75" x14ac:dyDescent="0.3">
      <c r="A296" s="136" t="s">
        <v>40</v>
      </c>
      <c r="B296" s="136" t="s">
        <v>3424</v>
      </c>
      <c r="C296" s="137" t="s">
        <v>3369</v>
      </c>
      <c r="D296" s="136">
        <v>17</v>
      </c>
      <c r="E296" s="138" t="str">
        <f t="shared" si="32"/>
        <v>3#1#1275</v>
      </c>
      <c r="F296" s="216" t="str">
        <f t="shared" si="34"/>
        <v>上品注灵石10/元宝72000</v>
      </c>
      <c r="G296" s="136">
        <v>30</v>
      </c>
      <c r="H296" s="112"/>
    </row>
    <row r="297" spans="1:8" ht="15.75" x14ac:dyDescent="0.3">
      <c r="A297" s="136" t="s">
        <v>40</v>
      </c>
      <c r="B297" s="136" t="s">
        <v>3424</v>
      </c>
      <c r="C297" s="137" t="s">
        <v>3370</v>
      </c>
      <c r="D297" s="136">
        <v>18</v>
      </c>
      <c r="E297" s="138" t="str">
        <f t="shared" si="32"/>
        <v>3#1#1350</v>
      </c>
      <c r="F297" s="216" t="str">
        <f t="shared" si="34"/>
        <v>上品注灵石11/元宝80000</v>
      </c>
      <c r="G297" s="136">
        <v>30</v>
      </c>
      <c r="H297" s="112"/>
    </row>
    <row r="298" spans="1:8" ht="15.75" x14ac:dyDescent="0.3">
      <c r="A298" s="136" t="s">
        <v>40</v>
      </c>
      <c r="B298" s="136" t="s">
        <v>3424</v>
      </c>
      <c r="C298" s="137" t="s">
        <v>3371</v>
      </c>
      <c r="D298" s="136">
        <v>19</v>
      </c>
      <c r="E298" s="138" t="str">
        <f t="shared" si="32"/>
        <v>3#1#1425</v>
      </c>
      <c r="F298" s="216" t="str">
        <f t="shared" si="34"/>
        <v>上品注灵石12/元宝88000</v>
      </c>
      <c r="G298" s="136">
        <v>30</v>
      </c>
      <c r="H298" s="112"/>
    </row>
    <row r="299" spans="1:8" ht="15.75" x14ac:dyDescent="0.3">
      <c r="A299" s="136" t="s">
        <v>40</v>
      </c>
      <c r="B299" s="136" t="s">
        <v>3424</v>
      </c>
      <c r="C299" s="137" t="s">
        <v>3372</v>
      </c>
      <c r="D299" s="136">
        <v>20</v>
      </c>
      <c r="E299" s="138" t="str">
        <f t="shared" si="32"/>
        <v>3#1#1500</v>
      </c>
      <c r="F299" s="216" t="str">
        <f t="shared" si="34"/>
        <v>上品注灵石14/元宝96000</v>
      </c>
      <c r="G299" s="136">
        <v>25</v>
      </c>
      <c r="H299" s="112"/>
    </row>
    <row r="300" spans="1:8" ht="15.75" x14ac:dyDescent="0.3">
      <c r="A300" s="136" t="s">
        <v>40</v>
      </c>
      <c r="B300" s="136" t="s">
        <v>3424</v>
      </c>
      <c r="C300" s="137" t="s">
        <v>3373</v>
      </c>
      <c r="D300" s="136">
        <v>21</v>
      </c>
      <c r="E300" s="138" t="str">
        <f t="shared" si="32"/>
        <v>3#1#1680</v>
      </c>
      <c r="F300" s="216" t="str">
        <f t="shared" si="34"/>
        <v>上品注灵石15/元宝108000</v>
      </c>
      <c r="G300" s="136">
        <v>25</v>
      </c>
      <c r="H300" s="112"/>
    </row>
    <row r="301" spans="1:8" ht="15.75" x14ac:dyDescent="0.3">
      <c r="A301" s="136" t="s">
        <v>40</v>
      </c>
      <c r="B301" s="136" t="s">
        <v>3424</v>
      </c>
      <c r="C301" s="137" t="s">
        <v>3374</v>
      </c>
      <c r="D301" s="136">
        <v>22</v>
      </c>
      <c r="E301" s="138" t="str">
        <f t="shared" si="32"/>
        <v>3#1#1760</v>
      </c>
      <c r="F301" s="216" t="str">
        <f t="shared" si="34"/>
        <v>上品注灵石16/元宝116000</v>
      </c>
      <c r="G301" s="136">
        <v>25</v>
      </c>
      <c r="H301" s="112"/>
    </row>
    <row r="302" spans="1:8" ht="15.75" x14ac:dyDescent="0.3">
      <c r="A302" s="136" t="s">
        <v>40</v>
      </c>
      <c r="B302" s="136" t="s">
        <v>3424</v>
      </c>
      <c r="C302" s="137" t="s">
        <v>3375</v>
      </c>
      <c r="D302" s="136">
        <v>23</v>
      </c>
      <c r="E302" s="138" t="str">
        <f t="shared" si="32"/>
        <v>3#1#1840</v>
      </c>
      <c r="F302" s="216" t="str">
        <f t="shared" si="34"/>
        <v>上品注灵石17/元宝124000</v>
      </c>
      <c r="G302" s="136">
        <v>25</v>
      </c>
      <c r="H302" s="112"/>
    </row>
    <row r="303" spans="1:8" ht="15.75" x14ac:dyDescent="0.3">
      <c r="A303" s="136" t="s">
        <v>40</v>
      </c>
      <c r="B303" s="136" t="s">
        <v>3424</v>
      </c>
      <c r="C303" s="137" t="s">
        <v>3376</v>
      </c>
      <c r="D303" s="136">
        <v>24</v>
      </c>
      <c r="E303" s="138" t="str">
        <f t="shared" si="32"/>
        <v>3#1#1920</v>
      </c>
      <c r="F303" s="216" t="str">
        <f t="shared" si="34"/>
        <v>上品注灵石18/元宝136000</v>
      </c>
      <c r="G303" s="136">
        <v>25</v>
      </c>
      <c r="H303" s="112"/>
    </row>
    <row r="304" spans="1:8" ht="15.75" x14ac:dyDescent="0.3">
      <c r="A304" s="136" t="s">
        <v>40</v>
      </c>
      <c r="B304" s="136" t="s">
        <v>3424</v>
      </c>
      <c r="C304" s="137" t="s">
        <v>3377</v>
      </c>
      <c r="D304" s="136">
        <v>25</v>
      </c>
      <c r="E304" s="138" t="str">
        <f t="shared" si="32"/>
        <v>3#1#2000</v>
      </c>
      <c r="F304" s="216" t="str">
        <f t="shared" si="34"/>
        <v>上品注灵石19/元宝144000</v>
      </c>
      <c r="G304" s="136">
        <v>25</v>
      </c>
      <c r="H304" s="112"/>
    </row>
    <row r="305" spans="1:8" ht="15.75" x14ac:dyDescent="0.3">
      <c r="A305" s="136" t="s">
        <v>40</v>
      </c>
      <c r="B305" s="136" t="s">
        <v>3424</v>
      </c>
      <c r="C305" s="137" t="s">
        <v>3378</v>
      </c>
      <c r="D305" s="136">
        <v>26</v>
      </c>
      <c r="E305" s="138" t="str">
        <f t="shared" si="32"/>
        <v>3#1#2210</v>
      </c>
      <c r="F305" s="216" t="str">
        <f t="shared" si="34"/>
        <v>上品注灵石20/元宝152000</v>
      </c>
      <c r="G305" s="136">
        <v>25</v>
      </c>
      <c r="H305" s="112"/>
    </row>
    <row r="306" spans="1:8" ht="15.75" x14ac:dyDescent="0.3">
      <c r="A306" s="136" t="s">
        <v>40</v>
      </c>
      <c r="B306" s="136" t="s">
        <v>3424</v>
      </c>
      <c r="C306" s="137" t="s">
        <v>3379</v>
      </c>
      <c r="D306" s="136">
        <v>27</v>
      </c>
      <c r="E306" s="138" t="str">
        <f t="shared" si="32"/>
        <v>3#1#2295</v>
      </c>
      <c r="F306" s="216" t="str">
        <f t="shared" si="34"/>
        <v>上品注灵石21/元宝156000</v>
      </c>
      <c r="G306" s="136">
        <v>25</v>
      </c>
      <c r="H306" s="112"/>
    </row>
    <row r="307" spans="1:8" ht="15.75" x14ac:dyDescent="0.3">
      <c r="A307" s="136" t="s">
        <v>40</v>
      </c>
      <c r="B307" s="136" t="s">
        <v>3424</v>
      </c>
      <c r="C307" s="137" t="s">
        <v>3380</v>
      </c>
      <c r="D307" s="136">
        <v>28</v>
      </c>
      <c r="E307" s="138" t="str">
        <f t="shared" si="32"/>
        <v>3#1#2380</v>
      </c>
      <c r="F307" s="216" t="str">
        <f t="shared" si="34"/>
        <v>上品注灵石22/元宝164000</v>
      </c>
      <c r="G307" s="136">
        <v>25</v>
      </c>
      <c r="H307" s="112"/>
    </row>
    <row r="308" spans="1:8" ht="15.75" x14ac:dyDescent="0.3">
      <c r="A308" s="136" t="s">
        <v>40</v>
      </c>
      <c r="B308" s="136" t="s">
        <v>3424</v>
      </c>
      <c r="C308" s="137" t="s">
        <v>3381</v>
      </c>
      <c r="D308" s="136">
        <v>29</v>
      </c>
      <c r="E308" s="138" t="str">
        <f t="shared" si="32"/>
        <v>3#1#2465</v>
      </c>
      <c r="F308" s="216" t="str">
        <f t="shared" si="34"/>
        <v>上品注灵石23/元宝172000</v>
      </c>
      <c r="G308" s="136">
        <v>25</v>
      </c>
      <c r="H308" s="112"/>
    </row>
    <row r="309" spans="1:8" ht="15.75" x14ac:dyDescent="0.3">
      <c r="A309" s="136" t="s">
        <v>40</v>
      </c>
      <c r="B309" s="136" t="s">
        <v>3424</v>
      </c>
      <c r="C309" s="137" t="s">
        <v>3382</v>
      </c>
      <c r="D309" s="136">
        <v>30</v>
      </c>
      <c r="E309" s="138" t="str">
        <f t="shared" si="32"/>
        <v>3#1#2550</v>
      </c>
      <c r="F309" s="216" t="str">
        <f>"极品注灵石"&amp;ROUND(AG34/10,0)&amp;"/元宝"&amp;AH32</f>
        <v>极品注灵石5/元宝172000</v>
      </c>
      <c r="G309" s="136">
        <v>30</v>
      </c>
      <c r="H309" s="112"/>
    </row>
    <row r="310" spans="1:8" ht="15.75" x14ac:dyDescent="0.3">
      <c r="A310" s="136" t="s">
        <v>40</v>
      </c>
      <c r="B310" s="136" t="s">
        <v>3424</v>
      </c>
      <c r="C310" s="137" t="s">
        <v>3383</v>
      </c>
      <c r="D310" s="136">
        <v>31</v>
      </c>
      <c r="E310" s="138" t="str">
        <f t="shared" si="32"/>
        <v>3#1#2790</v>
      </c>
      <c r="F310" s="216" t="str">
        <f t="shared" ref="F310:F323" si="35">"极品注灵石"&amp;ROUND(AG35/10,0)&amp;"/元宝"&amp;AH33</f>
        <v>极品注灵石5/元宝180000</v>
      </c>
      <c r="G310" s="136">
        <v>30</v>
      </c>
      <c r="H310" s="112"/>
    </row>
    <row r="311" spans="1:8" ht="15.75" x14ac:dyDescent="0.3">
      <c r="A311" s="136" t="s">
        <v>40</v>
      </c>
      <c r="B311" s="136" t="s">
        <v>3424</v>
      </c>
      <c r="C311" s="137" t="s">
        <v>3384</v>
      </c>
      <c r="D311" s="136">
        <v>32</v>
      </c>
      <c r="E311" s="138" t="str">
        <f t="shared" si="32"/>
        <v>3#1#2880</v>
      </c>
      <c r="F311" s="216" t="str">
        <f t="shared" si="35"/>
        <v>极品注灵石5/元宝184000</v>
      </c>
      <c r="G311" s="136">
        <v>30</v>
      </c>
      <c r="H311" s="112"/>
    </row>
    <row r="312" spans="1:8" ht="15.75" x14ac:dyDescent="0.3">
      <c r="A312" s="136" t="s">
        <v>40</v>
      </c>
      <c r="B312" s="136" t="s">
        <v>3424</v>
      </c>
      <c r="C312" s="137" t="s">
        <v>3385</v>
      </c>
      <c r="D312" s="136">
        <v>33</v>
      </c>
      <c r="E312" s="138" t="str">
        <f t="shared" si="32"/>
        <v>3#1#2970</v>
      </c>
      <c r="F312" s="216" t="str">
        <f t="shared" si="35"/>
        <v>极品注灵石5/元宝192000</v>
      </c>
      <c r="G312" s="136">
        <v>30</v>
      </c>
      <c r="H312" s="112"/>
    </row>
    <row r="313" spans="1:8" ht="15.75" x14ac:dyDescent="0.3">
      <c r="A313" s="136" t="s">
        <v>40</v>
      </c>
      <c r="B313" s="136" t="s">
        <v>3424</v>
      </c>
      <c r="C313" s="137" t="s">
        <v>3386</v>
      </c>
      <c r="D313" s="136">
        <v>34</v>
      </c>
      <c r="E313" s="138" t="str">
        <f t="shared" si="32"/>
        <v>3#1#3060</v>
      </c>
      <c r="F313" s="216" t="str">
        <f t="shared" si="35"/>
        <v>极品注灵石5/元宝200000</v>
      </c>
      <c r="G313" s="136">
        <v>30</v>
      </c>
      <c r="H313" s="112"/>
    </row>
    <row r="314" spans="1:8" ht="15.75" x14ac:dyDescent="0.3">
      <c r="A314" s="136" t="s">
        <v>40</v>
      </c>
      <c r="B314" s="136" t="s">
        <v>3424</v>
      </c>
      <c r="C314" s="137" t="s">
        <v>3387</v>
      </c>
      <c r="D314" s="136">
        <v>35</v>
      </c>
      <c r="E314" s="138" t="str">
        <f t="shared" si="32"/>
        <v>3#1#3150</v>
      </c>
      <c r="F314" s="216" t="str">
        <f t="shared" si="35"/>
        <v>极品注灵石6/元宝208000</v>
      </c>
      <c r="G314" s="136">
        <v>25</v>
      </c>
      <c r="H314" s="112"/>
    </row>
    <row r="315" spans="1:8" ht="15.75" x14ac:dyDescent="0.3">
      <c r="A315" s="136" t="s">
        <v>40</v>
      </c>
      <c r="B315" s="136" t="s">
        <v>3424</v>
      </c>
      <c r="C315" s="137" t="s">
        <v>3388</v>
      </c>
      <c r="D315" s="136">
        <v>36</v>
      </c>
      <c r="E315" s="138" t="str">
        <f t="shared" si="32"/>
        <v>3#1#3420</v>
      </c>
      <c r="F315" s="216" t="str">
        <f t="shared" si="35"/>
        <v>极品注灵石6/元宝212000</v>
      </c>
      <c r="G315" s="136">
        <v>25</v>
      </c>
      <c r="H315" s="112"/>
    </row>
    <row r="316" spans="1:8" ht="15.75" x14ac:dyDescent="0.3">
      <c r="A316" s="136" t="s">
        <v>40</v>
      </c>
      <c r="B316" s="136" t="s">
        <v>3424</v>
      </c>
      <c r="C316" s="137" t="s">
        <v>3389</v>
      </c>
      <c r="D316" s="136">
        <v>37</v>
      </c>
      <c r="E316" s="138" t="str">
        <f t="shared" si="32"/>
        <v>3#1#3515</v>
      </c>
      <c r="F316" s="216" t="str">
        <f t="shared" si="35"/>
        <v>极品注灵石6/元宝220000</v>
      </c>
      <c r="G316" s="136">
        <v>25</v>
      </c>
      <c r="H316" s="112"/>
    </row>
    <row r="317" spans="1:8" ht="15.75" x14ac:dyDescent="0.3">
      <c r="A317" s="136" t="s">
        <v>40</v>
      </c>
      <c r="B317" s="136" t="s">
        <v>3424</v>
      </c>
      <c r="C317" s="137" t="s">
        <v>3390</v>
      </c>
      <c r="D317" s="136">
        <v>38</v>
      </c>
      <c r="E317" s="138" t="str">
        <f t="shared" si="32"/>
        <v>3#1#3610</v>
      </c>
      <c r="F317" s="216" t="str">
        <f t="shared" si="35"/>
        <v>极品注灵石6/元宝228000</v>
      </c>
      <c r="G317" s="136">
        <v>25</v>
      </c>
      <c r="H317" s="112"/>
    </row>
    <row r="318" spans="1:8" ht="15.75" x14ac:dyDescent="0.3">
      <c r="A318" s="136" t="s">
        <v>40</v>
      </c>
      <c r="B318" s="136" t="s">
        <v>3424</v>
      </c>
      <c r="C318" s="137" t="s">
        <v>3391</v>
      </c>
      <c r="D318" s="136">
        <v>39</v>
      </c>
      <c r="E318" s="138" t="str">
        <f t="shared" si="32"/>
        <v>3#1#3705</v>
      </c>
      <c r="F318" s="216" t="str">
        <f t="shared" si="35"/>
        <v>极品注灵石6/元宝236000</v>
      </c>
      <c r="G318" s="136">
        <v>25</v>
      </c>
      <c r="H318" s="112"/>
    </row>
    <row r="319" spans="1:8" ht="15.75" x14ac:dyDescent="0.3">
      <c r="A319" s="136" t="s">
        <v>40</v>
      </c>
      <c r="B319" s="136" t="s">
        <v>3424</v>
      </c>
      <c r="C319" s="137" t="s">
        <v>3392</v>
      </c>
      <c r="D319" s="136">
        <v>40</v>
      </c>
      <c r="E319" s="138" t="str">
        <f t="shared" si="32"/>
        <v>3#1#3800</v>
      </c>
      <c r="F319" s="216" t="str">
        <f t="shared" si="35"/>
        <v>极品注灵石6/元宝240000</v>
      </c>
      <c r="G319" s="136">
        <v>20</v>
      </c>
      <c r="H319" s="112"/>
    </row>
    <row r="320" spans="1:8" ht="15.75" x14ac:dyDescent="0.3">
      <c r="A320" s="136" t="s">
        <v>40</v>
      </c>
      <c r="B320" s="136" t="s">
        <v>3424</v>
      </c>
      <c r="C320" s="137" t="s">
        <v>3393</v>
      </c>
      <c r="D320" s="136">
        <v>41</v>
      </c>
      <c r="E320" s="138" t="str">
        <f t="shared" si="32"/>
        <v>3#1#4100</v>
      </c>
      <c r="F320" s="216" t="str">
        <f t="shared" si="35"/>
        <v>极品注灵石6/元宝248000</v>
      </c>
      <c r="G320" s="136">
        <v>20</v>
      </c>
      <c r="H320" s="112"/>
    </row>
    <row r="321" spans="1:8" ht="15.75" x14ac:dyDescent="0.3">
      <c r="A321" s="136" t="s">
        <v>40</v>
      </c>
      <c r="B321" s="136" t="s">
        <v>3424</v>
      </c>
      <c r="C321" s="137" t="s">
        <v>3394</v>
      </c>
      <c r="D321" s="136">
        <v>42</v>
      </c>
      <c r="E321" s="138" t="str">
        <f t="shared" si="32"/>
        <v>3#1#4200</v>
      </c>
      <c r="F321" s="216" t="str">
        <f t="shared" si="35"/>
        <v>极品注灵石7/元宝252000</v>
      </c>
      <c r="G321" s="136">
        <v>20</v>
      </c>
      <c r="H321" s="112"/>
    </row>
    <row r="322" spans="1:8" ht="15.75" x14ac:dyDescent="0.3">
      <c r="A322" s="136" t="s">
        <v>40</v>
      </c>
      <c r="B322" s="136" t="s">
        <v>3424</v>
      </c>
      <c r="C322" s="137" t="s">
        <v>3395</v>
      </c>
      <c r="D322" s="136">
        <v>43</v>
      </c>
      <c r="E322" s="138" t="str">
        <f t="shared" si="32"/>
        <v>3#1#4300</v>
      </c>
      <c r="F322" s="216" t="str">
        <f t="shared" si="35"/>
        <v>极品注灵石7/元宝256000</v>
      </c>
      <c r="G322" s="136">
        <v>20</v>
      </c>
      <c r="H322" s="112"/>
    </row>
    <row r="323" spans="1:8" ht="15.75" x14ac:dyDescent="0.3">
      <c r="A323" s="136" t="s">
        <v>40</v>
      </c>
      <c r="B323" s="136" t="s">
        <v>3424</v>
      </c>
      <c r="C323" s="137" t="s">
        <v>3396</v>
      </c>
      <c r="D323" s="136">
        <v>44</v>
      </c>
      <c r="E323" s="138" t="str">
        <f t="shared" si="32"/>
        <v>3#1#4400</v>
      </c>
      <c r="F323" s="216" t="str">
        <f t="shared" si="35"/>
        <v>极品注灵石7/元宝264000</v>
      </c>
      <c r="G323" s="136">
        <v>20</v>
      </c>
      <c r="H323" s="112"/>
    </row>
    <row r="324" spans="1:8" ht="15.75" x14ac:dyDescent="0.3">
      <c r="A324" s="136" t="s">
        <v>40</v>
      </c>
      <c r="B324" s="136" t="s">
        <v>3424</v>
      </c>
      <c r="C324" s="137" t="s">
        <v>3397</v>
      </c>
      <c r="D324" s="136">
        <v>45</v>
      </c>
      <c r="E324" s="138" t="str">
        <f>"3#1#"&amp;INT(0.5*V48)</f>
        <v>3#1#4500</v>
      </c>
      <c r="F324" s="216"/>
      <c r="G324" s="136"/>
      <c r="H324" s="112"/>
    </row>
    <row r="325" spans="1:8" ht="15.75" x14ac:dyDescent="0.3">
      <c r="A325" s="35" t="s">
        <v>40</v>
      </c>
      <c r="B325" s="35" t="s">
        <v>3425</v>
      </c>
      <c r="C325" s="41" t="s">
        <v>78</v>
      </c>
      <c r="D325" s="35">
        <v>0</v>
      </c>
      <c r="E325" s="36"/>
      <c r="F325" s="190" t="s">
        <v>3399</v>
      </c>
      <c r="G325" s="35">
        <v>100</v>
      </c>
      <c r="H325" s="112"/>
    </row>
    <row r="326" spans="1:8" ht="15.75" x14ac:dyDescent="0.3">
      <c r="A326" s="35" t="s">
        <v>40</v>
      </c>
      <c r="B326" s="35" t="s">
        <v>3425</v>
      </c>
      <c r="C326" s="41" t="s">
        <v>3344</v>
      </c>
      <c r="D326" s="35">
        <v>1</v>
      </c>
      <c r="E326" s="36" t="str">
        <f t="shared" ref="E326:E369" si="36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26" s="190" t="s">
        <v>3400</v>
      </c>
      <c r="G326" s="35">
        <v>100</v>
      </c>
      <c r="H326" s="112"/>
    </row>
    <row r="327" spans="1:8" ht="15.75" x14ac:dyDescent="0.3">
      <c r="A327" s="35" t="s">
        <v>40</v>
      </c>
      <c r="B327" s="35" t="s">
        <v>3425</v>
      </c>
      <c r="C327" s="41" t="s">
        <v>3346</v>
      </c>
      <c r="D327" s="35">
        <v>2</v>
      </c>
      <c r="E327" s="36" t="str">
        <f t="shared" si="36"/>
        <v>3#3#2|3#4#2|3#5#2|3#6#2|3#7#2|3#8#2</v>
      </c>
      <c r="F327" s="190" t="s">
        <v>3401</v>
      </c>
      <c r="G327" s="35">
        <v>100</v>
      </c>
      <c r="H327" s="112"/>
    </row>
    <row r="328" spans="1:8" ht="15.75" x14ac:dyDescent="0.3">
      <c r="A328" s="35" t="s">
        <v>40</v>
      </c>
      <c r="B328" s="35" t="s">
        <v>3425</v>
      </c>
      <c r="C328" s="41" t="s">
        <v>3348</v>
      </c>
      <c r="D328" s="35">
        <v>3</v>
      </c>
      <c r="E328" s="36" t="str">
        <f t="shared" si="36"/>
        <v>3#3#4|3#4#4|3#5#4|3#6#4|3#7#4|3#8#4</v>
      </c>
      <c r="F328" s="190" t="s">
        <v>3402</v>
      </c>
      <c r="G328" s="35">
        <v>100</v>
      </c>
      <c r="H328" s="112"/>
    </row>
    <row r="329" spans="1:8" ht="15.75" x14ac:dyDescent="0.3">
      <c r="A329" s="35" t="s">
        <v>40</v>
      </c>
      <c r="B329" s="35" t="s">
        <v>3425</v>
      </c>
      <c r="C329" s="41" t="s">
        <v>3350</v>
      </c>
      <c r="D329" s="35">
        <v>4</v>
      </c>
      <c r="E329" s="36" t="str">
        <f t="shared" si="36"/>
        <v>3#3#5|3#4#5|3#5#5|3#6#5|3#7#5|3#8#5</v>
      </c>
      <c r="F329" s="190" t="s">
        <v>3403</v>
      </c>
      <c r="G329" s="35">
        <v>100</v>
      </c>
      <c r="H329" s="112"/>
    </row>
    <row r="330" spans="1:8" ht="15.75" x14ac:dyDescent="0.3">
      <c r="A330" s="35" t="s">
        <v>40</v>
      </c>
      <c r="B330" s="35" t="s">
        <v>3425</v>
      </c>
      <c r="C330" s="41" t="s">
        <v>3352</v>
      </c>
      <c r="D330" s="35">
        <v>5</v>
      </c>
      <c r="E330" s="36" t="str">
        <f t="shared" si="36"/>
        <v>3#3#6|3#4#6|3#5#6|3#6#6|3#7#6|3#8#6</v>
      </c>
      <c r="F330" s="190" t="s">
        <v>3404</v>
      </c>
      <c r="G330" s="35">
        <v>100</v>
      </c>
      <c r="H330" s="112"/>
    </row>
    <row r="331" spans="1:8" ht="15.75" x14ac:dyDescent="0.3">
      <c r="A331" s="35" t="s">
        <v>40</v>
      </c>
      <c r="B331" s="35" t="s">
        <v>3425</v>
      </c>
      <c r="C331" s="41" t="s">
        <v>3354</v>
      </c>
      <c r="D331" s="35">
        <v>6</v>
      </c>
      <c r="E331" s="36" t="str">
        <f t="shared" si="36"/>
        <v>3#3#8|3#4#8|3#5#8|3#6#8|3#7#8|3#8#8</v>
      </c>
      <c r="F331" s="190" t="s">
        <v>3405</v>
      </c>
      <c r="G331" s="35">
        <v>100</v>
      </c>
      <c r="H331" s="112"/>
    </row>
    <row r="332" spans="1:8" ht="15.75" x14ac:dyDescent="0.3">
      <c r="A332" s="35" t="s">
        <v>40</v>
      </c>
      <c r="B332" s="35" t="s">
        <v>3425</v>
      </c>
      <c r="C332" s="41" t="s">
        <v>3356</v>
      </c>
      <c r="D332" s="35">
        <v>7</v>
      </c>
      <c r="E332" s="36" t="str">
        <f t="shared" si="36"/>
        <v>3#3#9|3#4#9|3#5#9|3#6#9|3#7#9|3#8#9</v>
      </c>
      <c r="F332" s="190" t="s">
        <v>3406</v>
      </c>
      <c r="G332" s="35">
        <v>100</v>
      </c>
      <c r="H332" s="112"/>
    </row>
    <row r="333" spans="1:8" ht="15.75" x14ac:dyDescent="0.3">
      <c r="A333" s="35" t="s">
        <v>40</v>
      </c>
      <c r="B333" s="35" t="s">
        <v>3425</v>
      </c>
      <c r="C333" s="41" t="s">
        <v>3358</v>
      </c>
      <c r="D333" s="35">
        <v>8</v>
      </c>
      <c r="E333" s="36" t="str">
        <f t="shared" si="36"/>
        <v>3#3#11|3#4#11|3#5#11|3#6#11|3#7#11|3#8#11</v>
      </c>
      <c r="F333" s="190" t="s">
        <v>3407</v>
      </c>
      <c r="G333" s="35">
        <v>100</v>
      </c>
      <c r="H333" s="112"/>
    </row>
    <row r="334" spans="1:8" ht="15.75" x14ac:dyDescent="0.3">
      <c r="A334" s="35" t="s">
        <v>40</v>
      </c>
      <c r="B334" s="35" t="s">
        <v>3425</v>
      </c>
      <c r="C334" s="41" t="s">
        <v>3360</v>
      </c>
      <c r="D334" s="35">
        <v>9</v>
      </c>
      <c r="E334" s="36" t="str">
        <f t="shared" si="36"/>
        <v>3#3#13|3#4#13|3#5#13|3#6#13|3#7#13|3#8#13</v>
      </c>
      <c r="F334" s="190" t="s">
        <v>3408</v>
      </c>
      <c r="G334" s="35">
        <v>100</v>
      </c>
      <c r="H334" s="112"/>
    </row>
    <row r="335" spans="1:8" ht="15.75" x14ac:dyDescent="0.3">
      <c r="A335" s="35" t="s">
        <v>40</v>
      </c>
      <c r="B335" s="35" t="s">
        <v>3425</v>
      </c>
      <c r="C335" s="41" t="s">
        <v>3361</v>
      </c>
      <c r="D335" s="35">
        <v>10</v>
      </c>
      <c r="E335" s="36" t="str">
        <f t="shared" si="36"/>
        <v>3#3#14|3#4#14|3#5#14|3#6#14|3#7#14|3#8#14</v>
      </c>
      <c r="F335" s="190" t="s">
        <v>3409</v>
      </c>
      <c r="G335" s="35">
        <v>100</v>
      </c>
      <c r="H335" s="112"/>
    </row>
    <row r="336" spans="1:8" ht="15.75" x14ac:dyDescent="0.3">
      <c r="A336" s="35" t="s">
        <v>40</v>
      </c>
      <c r="B336" s="35" t="s">
        <v>3425</v>
      </c>
      <c r="C336" s="41" t="s">
        <v>3362</v>
      </c>
      <c r="D336" s="35">
        <v>11</v>
      </c>
      <c r="E336" s="36" t="str">
        <f t="shared" si="36"/>
        <v>3#3#17|3#4#17|3#5#17|3#6#17|3#7#17|3#8#17</v>
      </c>
      <c r="F336" s="190" t="s">
        <v>3410</v>
      </c>
      <c r="G336" s="35">
        <v>100</v>
      </c>
      <c r="H336" s="112"/>
    </row>
    <row r="337" spans="1:8" ht="15.75" x14ac:dyDescent="0.3">
      <c r="A337" s="35" t="s">
        <v>40</v>
      </c>
      <c r="B337" s="35" t="s">
        <v>3425</v>
      </c>
      <c r="C337" s="41" t="s">
        <v>3363</v>
      </c>
      <c r="D337" s="35">
        <v>12</v>
      </c>
      <c r="E337" s="36" t="str">
        <f t="shared" si="36"/>
        <v>3#3#18|3#4#18|3#5#18|3#6#18|3#7#18|3#8#18</v>
      </c>
      <c r="F337" s="190" t="s">
        <v>3411</v>
      </c>
      <c r="G337" s="35">
        <v>100</v>
      </c>
      <c r="H337" s="112"/>
    </row>
    <row r="338" spans="1:8" ht="15.75" x14ac:dyDescent="0.3">
      <c r="A338" s="35" t="s">
        <v>40</v>
      </c>
      <c r="B338" s="35" t="s">
        <v>3425</v>
      </c>
      <c r="C338" s="41" t="s">
        <v>3364</v>
      </c>
      <c r="D338" s="35">
        <v>13</v>
      </c>
      <c r="E338" s="36" t="str">
        <f t="shared" si="36"/>
        <v>3#3#20|3#4#20|3#5#20|3#6#20|3#7#20|3#8#20</v>
      </c>
      <c r="F338" s="190" t="s">
        <v>3412</v>
      </c>
      <c r="G338" s="35">
        <v>100</v>
      </c>
      <c r="H338" s="112"/>
    </row>
    <row r="339" spans="1:8" ht="15.75" x14ac:dyDescent="0.3">
      <c r="A339" s="35" t="s">
        <v>40</v>
      </c>
      <c r="B339" s="35" t="s">
        <v>3425</v>
      </c>
      <c r="C339" s="41" t="s">
        <v>3365</v>
      </c>
      <c r="D339" s="35">
        <v>14</v>
      </c>
      <c r="E339" s="36" t="str">
        <f t="shared" si="36"/>
        <v>3#3#21|3#4#21|3#5#21|3#6#21|3#7#21|3#8#21</v>
      </c>
      <c r="F339" s="190" t="s">
        <v>3413</v>
      </c>
      <c r="G339" s="35">
        <v>100</v>
      </c>
      <c r="H339" s="112"/>
    </row>
    <row r="340" spans="1:8" ht="15.75" x14ac:dyDescent="0.3">
      <c r="A340" s="35" t="s">
        <v>40</v>
      </c>
      <c r="B340" s="35" t="s">
        <v>3425</v>
      </c>
      <c r="C340" s="41" t="s">
        <v>3366</v>
      </c>
      <c r="D340" s="35">
        <v>15</v>
      </c>
      <c r="E340" s="36" t="str">
        <f t="shared" si="36"/>
        <v>3#3#23|3#4#23|3#5#23|3#6#23|3#7#23|3#8#23</v>
      </c>
      <c r="F340" s="190" t="str">
        <f>"上品注灵石"&amp;ROUND(AG19/2,0)&amp;"/元宝"&amp;AH18</f>
        <v>上品注灵石8/元宝60000</v>
      </c>
      <c r="G340" s="35">
        <v>30</v>
      </c>
      <c r="H340" s="112"/>
    </row>
    <row r="341" spans="1:8" ht="15.75" x14ac:dyDescent="0.3">
      <c r="A341" s="35" t="s">
        <v>40</v>
      </c>
      <c r="B341" s="35" t="s">
        <v>3426</v>
      </c>
      <c r="C341" s="41" t="s">
        <v>3368</v>
      </c>
      <c r="D341" s="35">
        <v>16</v>
      </c>
      <c r="E341" s="36" t="str">
        <f t="shared" si="36"/>
        <v>3#3#26|3#4#26|3#5#26|3#6#26|3#7#26|3#8#26</v>
      </c>
      <c r="F341" s="190" t="str">
        <f t="shared" ref="F341:F354" si="37">"上品注灵石"&amp;ROUND(AG20/2,0)&amp;"/元宝"&amp;AH19</f>
        <v>上品注灵石9/元宝64000</v>
      </c>
      <c r="G341" s="35">
        <v>30</v>
      </c>
      <c r="H341" s="112"/>
    </row>
    <row r="342" spans="1:8" ht="15.75" x14ac:dyDescent="0.3">
      <c r="A342" s="35" t="s">
        <v>40</v>
      </c>
      <c r="B342" s="35" t="s">
        <v>3426</v>
      </c>
      <c r="C342" s="41" t="s">
        <v>3369</v>
      </c>
      <c r="D342" s="35">
        <v>17</v>
      </c>
      <c r="E342" s="36" t="str">
        <f t="shared" si="36"/>
        <v>3#3#28|3#4#28|3#5#28|3#6#28|3#7#28|3#8#28</v>
      </c>
      <c r="F342" s="190" t="str">
        <f t="shared" si="37"/>
        <v>上品注灵石10/元宝72000</v>
      </c>
      <c r="G342" s="35">
        <v>30</v>
      </c>
      <c r="H342" s="112"/>
    </row>
    <row r="343" spans="1:8" ht="15.75" x14ac:dyDescent="0.3">
      <c r="A343" s="35" t="s">
        <v>40</v>
      </c>
      <c r="B343" s="35" t="s">
        <v>3426</v>
      </c>
      <c r="C343" s="41" t="s">
        <v>3370</v>
      </c>
      <c r="D343" s="35">
        <v>18</v>
      </c>
      <c r="E343" s="36" t="str">
        <f t="shared" si="36"/>
        <v>3#3#30|3#4#30|3#5#30|3#6#30|3#7#30|3#8#30</v>
      </c>
      <c r="F343" s="190" t="str">
        <f t="shared" si="37"/>
        <v>上品注灵石11/元宝80000</v>
      </c>
      <c r="G343" s="35">
        <v>30</v>
      </c>
      <c r="H343" s="112"/>
    </row>
    <row r="344" spans="1:8" ht="15.75" x14ac:dyDescent="0.3">
      <c r="A344" s="35" t="s">
        <v>40</v>
      </c>
      <c r="B344" s="35" t="s">
        <v>3426</v>
      </c>
      <c r="C344" s="41" t="s">
        <v>3371</v>
      </c>
      <c r="D344" s="35">
        <v>19</v>
      </c>
      <c r="E344" s="36" t="str">
        <f t="shared" si="36"/>
        <v>3#3#31|3#4#31|3#5#31|3#6#31|3#7#31|3#8#31</v>
      </c>
      <c r="F344" s="190" t="str">
        <f t="shared" si="37"/>
        <v>上品注灵石12/元宝88000</v>
      </c>
      <c r="G344" s="35">
        <v>30</v>
      </c>
      <c r="H344" s="112"/>
    </row>
    <row r="345" spans="1:8" ht="15.75" x14ac:dyDescent="0.3">
      <c r="A345" s="35" t="s">
        <v>40</v>
      </c>
      <c r="B345" s="35" t="s">
        <v>3426</v>
      </c>
      <c r="C345" s="41" t="s">
        <v>3372</v>
      </c>
      <c r="D345" s="35">
        <v>20</v>
      </c>
      <c r="E345" s="36" t="str">
        <f t="shared" si="36"/>
        <v>3#3#33|3#4#33|3#5#33|3#6#33|3#7#33|3#8#33</v>
      </c>
      <c r="F345" s="190" t="str">
        <f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</v>
      </c>
      <c r="B346" s="35" t="s">
        <v>3426</v>
      </c>
      <c r="C346" s="41" t="s">
        <v>3373</v>
      </c>
      <c r="D346" s="35">
        <v>21</v>
      </c>
      <c r="E346" s="36" t="str">
        <f t="shared" si="36"/>
        <v>3#3#37|3#4#37|3#5#37|3#6#37|3#7#37|3#8#37</v>
      </c>
      <c r="F346" s="190" t="str">
        <f t="shared" si="37"/>
        <v>上品注灵石15/元宝108000</v>
      </c>
      <c r="G346" s="35">
        <v>25</v>
      </c>
      <c r="H346" s="112"/>
    </row>
    <row r="347" spans="1:8" ht="15.75" x14ac:dyDescent="0.3">
      <c r="A347" s="35" t="s">
        <v>40</v>
      </c>
      <c r="B347" s="35" t="s">
        <v>3426</v>
      </c>
      <c r="C347" s="41" t="s">
        <v>3374</v>
      </c>
      <c r="D347" s="35">
        <v>22</v>
      </c>
      <c r="E347" s="36" t="str">
        <f t="shared" si="36"/>
        <v>3#3#38|3#4#38|3#5#38|3#6#38|3#7#38|3#8#38</v>
      </c>
      <c r="F347" s="190" t="str">
        <f t="shared" si="37"/>
        <v>上品注灵石16/元宝116000</v>
      </c>
      <c r="G347" s="35">
        <v>25</v>
      </c>
      <c r="H347" s="112"/>
    </row>
    <row r="348" spans="1:8" ht="15.75" x14ac:dyDescent="0.3">
      <c r="A348" s="35" t="s">
        <v>40</v>
      </c>
      <c r="B348" s="35" t="s">
        <v>3426</v>
      </c>
      <c r="C348" s="41" t="s">
        <v>3375</v>
      </c>
      <c r="D348" s="35">
        <v>23</v>
      </c>
      <c r="E348" s="36" t="str">
        <f t="shared" si="36"/>
        <v>3#3#40|3#4#40|3#5#40|3#6#40|3#7#40|3#8#40</v>
      </c>
      <c r="F348" s="190" t="str">
        <f t="shared" si="37"/>
        <v>上品注灵石17/元宝124000</v>
      </c>
      <c r="G348" s="35">
        <v>25</v>
      </c>
      <c r="H348" s="112"/>
    </row>
    <row r="349" spans="1:8" ht="15.75" x14ac:dyDescent="0.3">
      <c r="A349" s="35" t="s">
        <v>40</v>
      </c>
      <c r="B349" s="35" t="s">
        <v>3426</v>
      </c>
      <c r="C349" s="41" t="s">
        <v>3376</v>
      </c>
      <c r="D349" s="35">
        <v>24</v>
      </c>
      <c r="E349" s="36" t="str">
        <f t="shared" si="36"/>
        <v>3#3#42|3#4#42|3#5#42|3#6#42|3#7#42|3#8#42</v>
      </c>
      <c r="F349" s="190" t="str">
        <f t="shared" si="37"/>
        <v>上品注灵石18/元宝136000</v>
      </c>
      <c r="G349" s="35">
        <v>25</v>
      </c>
      <c r="H349" s="112"/>
    </row>
    <row r="350" spans="1:8" ht="15.75" x14ac:dyDescent="0.3">
      <c r="A350" s="35" t="s">
        <v>40</v>
      </c>
      <c r="B350" s="35" t="s">
        <v>3426</v>
      </c>
      <c r="C350" s="41" t="s">
        <v>3377</v>
      </c>
      <c r="D350" s="35">
        <v>25</v>
      </c>
      <c r="E350" s="36" t="str">
        <f t="shared" si="36"/>
        <v>3#3#44|3#4#44|3#5#44|3#6#44|3#7#44|3#8#44</v>
      </c>
      <c r="F350" s="190" t="str">
        <f t="shared" si="37"/>
        <v>上品注灵石19/元宝144000</v>
      </c>
      <c r="G350" s="35">
        <v>25</v>
      </c>
      <c r="H350" s="112"/>
    </row>
    <row r="351" spans="1:8" ht="15.75" x14ac:dyDescent="0.3">
      <c r="A351" s="35" t="s">
        <v>40</v>
      </c>
      <c r="B351" s="35" t="s">
        <v>3426</v>
      </c>
      <c r="C351" s="41" t="s">
        <v>3378</v>
      </c>
      <c r="D351" s="35">
        <v>26</v>
      </c>
      <c r="E351" s="36" t="str">
        <f t="shared" si="36"/>
        <v>3#3#49|3#4#49|3#5#49|3#6#49|3#7#49|3#8#49</v>
      </c>
      <c r="F351" s="190" t="str">
        <f t="shared" si="37"/>
        <v>上品注灵石20/元宝152000</v>
      </c>
      <c r="G351" s="35">
        <v>25</v>
      </c>
      <c r="H351" s="112"/>
    </row>
    <row r="352" spans="1:8" ht="15.75" x14ac:dyDescent="0.3">
      <c r="A352" s="35" t="s">
        <v>40</v>
      </c>
      <c r="B352" s="35" t="s">
        <v>3426</v>
      </c>
      <c r="C352" s="41" t="s">
        <v>3379</v>
      </c>
      <c r="D352" s="35">
        <v>27</v>
      </c>
      <c r="E352" s="36" t="str">
        <f t="shared" si="36"/>
        <v>3#3#51|3#4#51|3#5#51|3#6#51|3#7#51|3#8#51</v>
      </c>
      <c r="F352" s="190" t="str">
        <f t="shared" si="37"/>
        <v>上品注灵石21/元宝156000</v>
      </c>
      <c r="G352" s="35">
        <v>25</v>
      </c>
      <c r="H352" s="112"/>
    </row>
    <row r="353" spans="1:8" ht="15.75" x14ac:dyDescent="0.3">
      <c r="A353" s="35" t="s">
        <v>40</v>
      </c>
      <c r="B353" s="35" t="s">
        <v>3426</v>
      </c>
      <c r="C353" s="41" t="s">
        <v>3380</v>
      </c>
      <c r="D353" s="35">
        <v>28</v>
      </c>
      <c r="E353" s="36" t="str">
        <f t="shared" si="36"/>
        <v>3#3#52|3#4#52|3#5#52|3#6#52|3#7#52|3#8#52</v>
      </c>
      <c r="F353" s="190" t="str">
        <f t="shared" si="37"/>
        <v>上品注灵石22/元宝164000</v>
      </c>
      <c r="G353" s="35">
        <v>25</v>
      </c>
      <c r="H353" s="112"/>
    </row>
    <row r="354" spans="1:8" ht="15.75" x14ac:dyDescent="0.3">
      <c r="A354" s="35" t="s">
        <v>40</v>
      </c>
      <c r="B354" s="35" t="s">
        <v>3426</v>
      </c>
      <c r="C354" s="41" t="s">
        <v>3381</v>
      </c>
      <c r="D354" s="35">
        <v>29</v>
      </c>
      <c r="E354" s="36" t="str">
        <f t="shared" si="36"/>
        <v>3#3#54|3#4#54|3#5#54|3#6#54|3#7#54|3#8#54</v>
      </c>
      <c r="F354" s="190" t="str">
        <f t="shared" si="37"/>
        <v>上品注灵石23/元宝172000</v>
      </c>
      <c r="G354" s="35">
        <v>25</v>
      </c>
      <c r="H354" s="112"/>
    </row>
    <row r="355" spans="1:8" ht="15.75" x14ac:dyDescent="0.3">
      <c r="A355" s="35" t="s">
        <v>40</v>
      </c>
      <c r="B355" s="35" t="s">
        <v>3426</v>
      </c>
      <c r="C355" s="41" t="s">
        <v>3382</v>
      </c>
      <c r="D355" s="35">
        <v>30</v>
      </c>
      <c r="E355" s="36" t="str">
        <f t="shared" si="36"/>
        <v>3#3#56|3#4#56|3#5#56|3#6#56|3#7#56|3#8#56</v>
      </c>
      <c r="F355" s="190" t="str">
        <f>"极品注灵石"&amp;ROUND(AG34/10,0)&amp;"/元宝"&amp;AH32</f>
        <v>极品注灵石5/元宝172000</v>
      </c>
      <c r="G355" s="35">
        <v>30</v>
      </c>
      <c r="H355" s="112"/>
    </row>
    <row r="356" spans="1:8" ht="15.75" x14ac:dyDescent="0.3">
      <c r="A356" s="35" t="s">
        <v>40</v>
      </c>
      <c r="B356" s="35" t="s">
        <v>3426</v>
      </c>
      <c r="C356" s="41" t="s">
        <v>3383</v>
      </c>
      <c r="D356" s="35">
        <v>31</v>
      </c>
      <c r="E356" s="36" t="str">
        <f t="shared" si="36"/>
        <v>3#3#61|3#4#61|3#5#61|3#6#61|3#7#61|3#8#61</v>
      </c>
      <c r="F356" s="190" t="str">
        <f t="shared" ref="F356:F369" si="38">"极品注灵石"&amp;ROUND(AG35/10,0)&amp;"/元宝"&amp;AH33</f>
        <v>极品注灵石5/元宝180000</v>
      </c>
      <c r="G356" s="35">
        <v>30</v>
      </c>
      <c r="H356" s="112"/>
    </row>
    <row r="357" spans="1:8" ht="15.75" x14ac:dyDescent="0.3">
      <c r="A357" s="35" t="s">
        <v>40</v>
      </c>
      <c r="B357" s="35" t="s">
        <v>3426</v>
      </c>
      <c r="C357" s="41" t="s">
        <v>3384</v>
      </c>
      <c r="D357" s="35">
        <v>32</v>
      </c>
      <c r="E357" s="36" t="str">
        <f t="shared" si="36"/>
        <v>3#3#63|3#4#63|3#5#63|3#6#63|3#7#63|3#8#63</v>
      </c>
      <c r="F357" s="190" t="str">
        <f t="shared" si="38"/>
        <v>极品注灵石5/元宝184000</v>
      </c>
      <c r="G357" s="35">
        <v>30</v>
      </c>
      <c r="H357" s="112"/>
    </row>
    <row r="358" spans="1:8" ht="15.75" x14ac:dyDescent="0.3">
      <c r="A358" s="35" t="s">
        <v>40</v>
      </c>
      <c r="B358" s="35" t="s">
        <v>3426</v>
      </c>
      <c r="C358" s="41" t="s">
        <v>3385</v>
      </c>
      <c r="D358" s="35">
        <v>33</v>
      </c>
      <c r="E358" s="36" t="str">
        <f t="shared" si="36"/>
        <v>3#3#66|3#4#66|3#5#66|3#6#66|3#7#66|3#8#66</v>
      </c>
      <c r="F358" s="190" t="str">
        <f t="shared" si="38"/>
        <v>极品注灵石5/元宝192000</v>
      </c>
      <c r="G358" s="35">
        <v>30</v>
      </c>
      <c r="H358" s="112"/>
    </row>
    <row r="359" spans="1:8" ht="15.75" x14ac:dyDescent="0.3">
      <c r="A359" s="35" t="s">
        <v>40</v>
      </c>
      <c r="B359" s="35" t="s">
        <v>3426</v>
      </c>
      <c r="C359" s="41" t="s">
        <v>3386</v>
      </c>
      <c r="D359" s="35">
        <v>34</v>
      </c>
      <c r="E359" s="36" t="str">
        <f t="shared" si="36"/>
        <v>3#3#67|3#4#67|3#5#67|3#6#67|3#7#67|3#8#67</v>
      </c>
      <c r="F359" s="190" t="str">
        <f t="shared" si="38"/>
        <v>极品注灵石5/元宝200000</v>
      </c>
      <c r="G359" s="35">
        <v>30</v>
      </c>
      <c r="H359" s="112"/>
    </row>
    <row r="360" spans="1:8" ht="15.75" x14ac:dyDescent="0.3">
      <c r="A360" s="35" t="s">
        <v>40</v>
      </c>
      <c r="B360" s="35" t="s">
        <v>3426</v>
      </c>
      <c r="C360" s="41" t="s">
        <v>3387</v>
      </c>
      <c r="D360" s="35">
        <v>35</v>
      </c>
      <c r="E360" s="36" t="str">
        <f t="shared" si="36"/>
        <v>3#3#69|3#4#69|3#5#69|3#6#69|3#7#69|3#8#69</v>
      </c>
      <c r="F360" s="190" t="str">
        <f t="shared" si="38"/>
        <v>极品注灵石6/元宝208000</v>
      </c>
      <c r="G360" s="35">
        <v>25</v>
      </c>
      <c r="H360" s="112"/>
    </row>
    <row r="361" spans="1:8" ht="15.75" x14ac:dyDescent="0.3">
      <c r="A361" s="35" t="s">
        <v>40</v>
      </c>
      <c r="B361" s="35" t="s">
        <v>3426</v>
      </c>
      <c r="C361" s="41" t="s">
        <v>3388</v>
      </c>
      <c r="D361" s="35">
        <v>36</v>
      </c>
      <c r="E361" s="36" t="str">
        <f t="shared" si="36"/>
        <v>3#3#76|3#4#76|3#5#76|3#6#76|3#7#76|3#8#76</v>
      </c>
      <c r="F361" s="190" t="str">
        <f t="shared" si="38"/>
        <v>极品注灵石6/元宝212000</v>
      </c>
      <c r="G361" s="35">
        <v>25</v>
      </c>
      <c r="H361" s="112"/>
    </row>
    <row r="362" spans="1:8" ht="15.75" x14ac:dyDescent="0.3">
      <c r="A362" s="35" t="s">
        <v>40</v>
      </c>
      <c r="B362" s="35" t="s">
        <v>3426</v>
      </c>
      <c r="C362" s="41" t="s">
        <v>3389</v>
      </c>
      <c r="D362" s="35">
        <v>37</v>
      </c>
      <c r="E362" s="36" t="str">
        <f t="shared" si="36"/>
        <v>3#3#77|3#4#77|3#5#77|3#6#77|3#7#77|3#8#77</v>
      </c>
      <c r="F362" s="190" t="str">
        <f t="shared" si="38"/>
        <v>极品注灵石6/元宝220000</v>
      </c>
      <c r="G362" s="35">
        <v>25</v>
      </c>
      <c r="H362" s="112"/>
    </row>
    <row r="363" spans="1:8" ht="15.75" x14ac:dyDescent="0.3">
      <c r="A363" s="35" t="s">
        <v>40</v>
      </c>
      <c r="B363" s="35" t="s">
        <v>3426</v>
      </c>
      <c r="C363" s="41" t="s">
        <v>3390</v>
      </c>
      <c r="D363" s="35">
        <v>38</v>
      </c>
      <c r="E363" s="36" t="str">
        <f t="shared" si="36"/>
        <v>3#3#80|3#4#80|3#5#80|3#6#80|3#7#80|3#8#80</v>
      </c>
      <c r="F363" s="190" t="str">
        <f t="shared" si="38"/>
        <v>极品注灵石6/元宝228000</v>
      </c>
      <c r="G363" s="35">
        <v>25</v>
      </c>
      <c r="H363" s="112"/>
    </row>
    <row r="364" spans="1:8" ht="15.75" x14ac:dyDescent="0.3">
      <c r="A364" s="35" t="s">
        <v>40</v>
      </c>
      <c r="B364" s="35" t="s">
        <v>3426</v>
      </c>
      <c r="C364" s="41" t="s">
        <v>3391</v>
      </c>
      <c r="D364" s="35">
        <v>39</v>
      </c>
      <c r="E364" s="36" t="str">
        <f t="shared" si="36"/>
        <v>3#3#82|3#4#82|3#5#82|3#6#82|3#7#82|3#8#82</v>
      </c>
      <c r="F364" s="190" t="str">
        <f t="shared" si="38"/>
        <v>极品注灵石6/元宝236000</v>
      </c>
      <c r="G364" s="35">
        <v>25</v>
      </c>
      <c r="H364" s="112"/>
    </row>
    <row r="365" spans="1:8" ht="15.75" x14ac:dyDescent="0.3">
      <c r="A365" s="35" t="s">
        <v>40</v>
      </c>
      <c r="B365" s="35" t="s">
        <v>3426</v>
      </c>
      <c r="C365" s="41" t="s">
        <v>3392</v>
      </c>
      <c r="D365" s="35">
        <v>40</v>
      </c>
      <c r="E365" s="36" t="str">
        <f t="shared" si="36"/>
        <v>3#3#84|3#4#84|3#5#84|3#6#84|3#7#84|3#8#84</v>
      </c>
      <c r="F365" s="190" t="str">
        <f t="shared" si="38"/>
        <v>极品注灵石6/元宝240000</v>
      </c>
      <c r="G365" s="35">
        <v>20</v>
      </c>
      <c r="H365" s="112"/>
    </row>
    <row r="366" spans="1:8" ht="15.75" x14ac:dyDescent="0.3">
      <c r="A366" s="35" t="s">
        <v>40</v>
      </c>
      <c r="B366" s="35" t="s">
        <v>3426</v>
      </c>
      <c r="C366" s="41" t="s">
        <v>3393</v>
      </c>
      <c r="D366" s="35">
        <v>41</v>
      </c>
      <c r="E366" s="36" t="str">
        <f t="shared" si="36"/>
        <v>3#3#91|3#4#91|3#5#91|3#6#91|3#7#91|3#8#91</v>
      </c>
      <c r="F366" s="190" t="str">
        <f t="shared" si="38"/>
        <v>极品注灵石6/元宝248000</v>
      </c>
      <c r="G366" s="35">
        <v>20</v>
      </c>
      <c r="H366" s="112"/>
    </row>
    <row r="367" spans="1:8" ht="15.75" x14ac:dyDescent="0.3">
      <c r="A367" s="35" t="s">
        <v>40</v>
      </c>
      <c r="B367" s="35" t="s">
        <v>3426</v>
      </c>
      <c r="C367" s="41" t="s">
        <v>3394</v>
      </c>
      <c r="D367" s="35">
        <v>42</v>
      </c>
      <c r="E367" s="36" t="str">
        <f t="shared" si="36"/>
        <v>3#3#93|3#4#93|3#5#93|3#6#93|3#7#93|3#8#93</v>
      </c>
      <c r="F367" s="190" t="str">
        <f t="shared" si="38"/>
        <v>极品注灵石7/元宝252000</v>
      </c>
      <c r="G367" s="35">
        <v>20</v>
      </c>
      <c r="H367" s="112"/>
    </row>
    <row r="368" spans="1:8" ht="15.75" x14ac:dyDescent="0.3">
      <c r="A368" s="35" t="s">
        <v>40</v>
      </c>
      <c r="B368" s="35" t="s">
        <v>3426</v>
      </c>
      <c r="C368" s="41" t="s">
        <v>3395</v>
      </c>
      <c r="D368" s="35">
        <v>43</v>
      </c>
      <c r="E368" s="36" t="str">
        <f t="shared" si="36"/>
        <v>3#3#95|3#4#95|3#5#95|3#6#95|3#7#95|3#8#95</v>
      </c>
      <c r="F368" s="190" t="str">
        <f t="shared" si="38"/>
        <v>极品注灵石7/元宝256000</v>
      </c>
      <c r="G368" s="35">
        <v>20</v>
      </c>
      <c r="H368" s="112"/>
    </row>
    <row r="369" spans="1:8" ht="15.75" x14ac:dyDescent="0.3">
      <c r="A369" s="35" t="s">
        <v>40</v>
      </c>
      <c r="B369" s="35" t="s">
        <v>3426</v>
      </c>
      <c r="C369" s="41" t="s">
        <v>3396</v>
      </c>
      <c r="D369" s="35">
        <v>44</v>
      </c>
      <c r="E369" s="36" t="str">
        <f t="shared" si="36"/>
        <v>3#3#97|3#4#97|3#5#97|3#6#97|3#7#97|3#8#97</v>
      </c>
      <c r="F369" s="190" t="str">
        <f t="shared" si="38"/>
        <v>极品注灵石7/元宝264000</v>
      </c>
      <c r="G369" s="35">
        <v>20</v>
      </c>
      <c r="H369" s="112"/>
    </row>
    <row r="370" spans="1:8" ht="15.75" x14ac:dyDescent="0.3">
      <c r="A370" s="35" t="s">
        <v>40</v>
      </c>
      <c r="B370" s="35" t="s">
        <v>3426</v>
      </c>
      <c r="C370" s="41" t="s">
        <v>3397</v>
      </c>
      <c r="D370" s="35">
        <v>45</v>
      </c>
      <c r="E370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370" s="190"/>
      <c r="G370" s="35"/>
      <c r="H370" s="112"/>
    </row>
    <row r="371" spans="1:8" ht="15.75" x14ac:dyDescent="0.3">
      <c r="A371" s="44" t="s">
        <v>40</v>
      </c>
      <c r="B371" s="44" t="s">
        <v>3427</v>
      </c>
      <c r="C371" s="45" t="s">
        <v>78</v>
      </c>
      <c r="D371" s="44">
        <v>0</v>
      </c>
      <c r="E371" s="115"/>
      <c r="F371" s="211" t="s">
        <v>3399</v>
      </c>
      <c r="G371" s="44">
        <v>100</v>
      </c>
      <c r="H371" s="112"/>
    </row>
    <row r="372" spans="1:8" ht="15.75" x14ac:dyDescent="0.3">
      <c r="A372" s="44" t="s">
        <v>40</v>
      </c>
      <c r="B372" s="44" t="s">
        <v>3427</v>
      </c>
      <c r="C372" s="45" t="s">
        <v>3344</v>
      </c>
      <c r="D372" s="44">
        <v>1</v>
      </c>
      <c r="E372" s="115" t="str">
        <f t="shared" ref="E372:E415" si="39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72" s="211" t="s">
        <v>3400</v>
      </c>
      <c r="G372" s="44">
        <v>100</v>
      </c>
      <c r="H372" s="112"/>
    </row>
    <row r="373" spans="1:8" ht="15.75" x14ac:dyDescent="0.3">
      <c r="A373" s="44" t="s">
        <v>40</v>
      </c>
      <c r="B373" s="44" t="s">
        <v>3427</v>
      </c>
      <c r="C373" s="45" t="s">
        <v>3346</v>
      </c>
      <c r="D373" s="44">
        <v>2</v>
      </c>
      <c r="E373" s="115" t="str">
        <f t="shared" si="39"/>
        <v>3#3#2|3#4#2|3#5#2|3#6#2|3#7#2|3#8#2</v>
      </c>
      <c r="F373" s="211" t="s">
        <v>3401</v>
      </c>
      <c r="G373" s="44">
        <v>100</v>
      </c>
      <c r="H373" s="112"/>
    </row>
    <row r="374" spans="1:8" ht="15.75" x14ac:dyDescent="0.3">
      <c r="A374" s="44" t="s">
        <v>40</v>
      </c>
      <c r="B374" s="44" t="s">
        <v>3427</v>
      </c>
      <c r="C374" s="45" t="s">
        <v>3348</v>
      </c>
      <c r="D374" s="44">
        <v>3</v>
      </c>
      <c r="E374" s="115" t="str">
        <f t="shared" si="39"/>
        <v>3#3#4|3#4#4|3#5#4|3#6#4|3#7#4|3#8#4</v>
      </c>
      <c r="F374" s="211" t="s">
        <v>3402</v>
      </c>
      <c r="G374" s="44">
        <v>100</v>
      </c>
      <c r="H374" s="112"/>
    </row>
    <row r="375" spans="1:8" ht="15.75" x14ac:dyDescent="0.3">
      <c r="A375" s="44" t="s">
        <v>40</v>
      </c>
      <c r="B375" s="44" t="s">
        <v>3427</v>
      </c>
      <c r="C375" s="45" t="s">
        <v>3350</v>
      </c>
      <c r="D375" s="44">
        <v>4</v>
      </c>
      <c r="E375" s="115" t="str">
        <f t="shared" si="39"/>
        <v>3#3#5|3#4#5|3#5#5|3#6#5|3#7#5|3#8#5</v>
      </c>
      <c r="F375" s="211" t="s">
        <v>3403</v>
      </c>
      <c r="G375" s="44">
        <v>100</v>
      </c>
      <c r="H375" s="112"/>
    </row>
    <row r="376" spans="1:8" ht="15.75" x14ac:dyDescent="0.3">
      <c r="A376" s="44" t="s">
        <v>40</v>
      </c>
      <c r="B376" s="44" t="s">
        <v>3427</v>
      </c>
      <c r="C376" s="45" t="s">
        <v>3352</v>
      </c>
      <c r="D376" s="44">
        <v>5</v>
      </c>
      <c r="E376" s="115" t="str">
        <f t="shared" si="39"/>
        <v>3#3#6|3#4#6|3#5#6|3#6#6|3#7#6|3#8#6</v>
      </c>
      <c r="F376" s="211" t="s">
        <v>3404</v>
      </c>
      <c r="G376" s="44">
        <v>100</v>
      </c>
      <c r="H376" s="112"/>
    </row>
    <row r="377" spans="1:8" ht="15.75" x14ac:dyDescent="0.3">
      <c r="A377" s="44" t="s">
        <v>40</v>
      </c>
      <c r="B377" s="44" t="s">
        <v>3427</v>
      </c>
      <c r="C377" s="45" t="s">
        <v>3354</v>
      </c>
      <c r="D377" s="44">
        <v>6</v>
      </c>
      <c r="E377" s="115" t="str">
        <f t="shared" si="39"/>
        <v>3#3#8|3#4#8|3#5#8|3#6#8|3#7#8|3#8#8</v>
      </c>
      <c r="F377" s="211" t="s">
        <v>3405</v>
      </c>
      <c r="G377" s="44">
        <v>100</v>
      </c>
      <c r="H377" s="112"/>
    </row>
    <row r="378" spans="1:8" ht="15.75" x14ac:dyDescent="0.3">
      <c r="A378" s="44" t="s">
        <v>40</v>
      </c>
      <c r="B378" s="44" t="s">
        <v>3427</v>
      </c>
      <c r="C378" s="45" t="s">
        <v>3356</v>
      </c>
      <c r="D378" s="44">
        <v>7</v>
      </c>
      <c r="E378" s="115" t="str">
        <f t="shared" si="39"/>
        <v>3#3#9|3#4#9|3#5#9|3#6#9|3#7#9|3#8#9</v>
      </c>
      <c r="F378" s="211" t="s">
        <v>3406</v>
      </c>
      <c r="G378" s="44">
        <v>100</v>
      </c>
      <c r="H378" s="112"/>
    </row>
    <row r="379" spans="1:8" ht="15.75" x14ac:dyDescent="0.3">
      <c r="A379" s="44" t="s">
        <v>40</v>
      </c>
      <c r="B379" s="44" t="s">
        <v>3427</v>
      </c>
      <c r="C379" s="45" t="s">
        <v>3358</v>
      </c>
      <c r="D379" s="44">
        <v>8</v>
      </c>
      <c r="E379" s="115" t="str">
        <f t="shared" si="39"/>
        <v>3#3#11|3#4#11|3#5#11|3#6#11|3#7#11|3#8#11</v>
      </c>
      <c r="F379" s="211" t="s">
        <v>3407</v>
      </c>
      <c r="G379" s="44">
        <v>100</v>
      </c>
      <c r="H379" s="112"/>
    </row>
    <row r="380" spans="1:8" ht="15.75" x14ac:dyDescent="0.3">
      <c r="A380" s="44" t="s">
        <v>40</v>
      </c>
      <c r="B380" s="44" t="s">
        <v>3427</v>
      </c>
      <c r="C380" s="45" t="s">
        <v>3360</v>
      </c>
      <c r="D380" s="44">
        <v>9</v>
      </c>
      <c r="E380" s="115" t="str">
        <f t="shared" si="39"/>
        <v>3#3#13|3#4#13|3#5#13|3#6#13|3#7#13|3#8#13</v>
      </c>
      <c r="F380" s="211" t="s">
        <v>3408</v>
      </c>
      <c r="G380" s="44">
        <v>100</v>
      </c>
      <c r="H380" s="112"/>
    </row>
    <row r="381" spans="1:8" ht="15.75" x14ac:dyDescent="0.3">
      <c r="A381" s="44" t="s">
        <v>40</v>
      </c>
      <c r="B381" s="44" t="s">
        <v>3427</v>
      </c>
      <c r="C381" s="45" t="s">
        <v>3361</v>
      </c>
      <c r="D381" s="44">
        <v>10</v>
      </c>
      <c r="E381" s="115" t="str">
        <f t="shared" si="39"/>
        <v>3#3#14|3#4#14|3#5#14|3#6#14|3#7#14|3#8#14</v>
      </c>
      <c r="F381" s="211" t="s">
        <v>3409</v>
      </c>
      <c r="G381" s="44">
        <v>100</v>
      </c>
      <c r="H381" s="112"/>
    </row>
    <row r="382" spans="1:8" ht="15.75" x14ac:dyDescent="0.3">
      <c r="A382" s="44" t="s">
        <v>40</v>
      </c>
      <c r="B382" s="44" t="s">
        <v>3427</v>
      </c>
      <c r="C382" s="45" t="s">
        <v>3362</v>
      </c>
      <c r="D382" s="44">
        <v>11</v>
      </c>
      <c r="E382" s="115" t="str">
        <f t="shared" si="39"/>
        <v>3#3#17|3#4#17|3#5#17|3#6#17|3#7#17|3#8#17</v>
      </c>
      <c r="F382" s="211" t="s">
        <v>3410</v>
      </c>
      <c r="G382" s="44">
        <v>100</v>
      </c>
      <c r="H382" s="112"/>
    </row>
    <row r="383" spans="1:8" ht="15.75" x14ac:dyDescent="0.3">
      <c r="A383" s="44" t="s">
        <v>40</v>
      </c>
      <c r="B383" s="44" t="s">
        <v>3427</v>
      </c>
      <c r="C383" s="45" t="s">
        <v>3363</v>
      </c>
      <c r="D383" s="44">
        <v>12</v>
      </c>
      <c r="E383" s="115" t="str">
        <f t="shared" si="39"/>
        <v>3#3#18|3#4#18|3#5#18|3#6#18|3#7#18|3#8#18</v>
      </c>
      <c r="F383" s="211" t="s">
        <v>3411</v>
      </c>
      <c r="G383" s="44">
        <v>100</v>
      </c>
      <c r="H383" s="112"/>
    </row>
    <row r="384" spans="1:8" ht="15.75" x14ac:dyDescent="0.3">
      <c r="A384" s="44" t="s">
        <v>40</v>
      </c>
      <c r="B384" s="44" t="s">
        <v>3427</v>
      </c>
      <c r="C384" s="45" t="s">
        <v>3364</v>
      </c>
      <c r="D384" s="44">
        <v>13</v>
      </c>
      <c r="E384" s="115" t="str">
        <f t="shared" si="39"/>
        <v>3#3#20|3#4#20|3#5#20|3#6#20|3#7#20|3#8#20</v>
      </c>
      <c r="F384" s="211" t="s">
        <v>3412</v>
      </c>
      <c r="G384" s="44">
        <v>100</v>
      </c>
      <c r="H384" s="112"/>
    </row>
    <row r="385" spans="1:8" ht="15.75" x14ac:dyDescent="0.3">
      <c r="A385" s="44" t="s">
        <v>40</v>
      </c>
      <c r="B385" s="44" t="s">
        <v>3427</v>
      </c>
      <c r="C385" s="45" t="s">
        <v>3365</v>
      </c>
      <c r="D385" s="44">
        <v>14</v>
      </c>
      <c r="E385" s="115" t="str">
        <f t="shared" si="39"/>
        <v>3#3#21|3#4#21|3#5#21|3#6#21|3#7#21|3#8#21</v>
      </c>
      <c r="F385" s="211" t="s">
        <v>3413</v>
      </c>
      <c r="G385" s="44">
        <v>100</v>
      </c>
      <c r="H385" s="112"/>
    </row>
    <row r="386" spans="1:8" ht="15.75" x14ac:dyDescent="0.3">
      <c r="A386" s="44" t="s">
        <v>40</v>
      </c>
      <c r="B386" s="44" t="s">
        <v>3427</v>
      </c>
      <c r="C386" s="45" t="s">
        <v>3366</v>
      </c>
      <c r="D386" s="44">
        <v>15</v>
      </c>
      <c r="E386" s="115" t="str">
        <f t="shared" si="39"/>
        <v>3#3#23|3#4#23|3#5#23|3#6#23|3#7#23|3#8#23</v>
      </c>
      <c r="F386" s="211" t="str">
        <f>"上品注灵石"&amp;ROUND(AG19/2,0)&amp;"/元宝"&amp;AH18</f>
        <v>上品注灵石8/元宝60000</v>
      </c>
      <c r="G386" s="44">
        <v>30</v>
      </c>
      <c r="H386" s="112"/>
    </row>
    <row r="387" spans="1:8" ht="15.75" x14ac:dyDescent="0.3">
      <c r="A387" s="44" t="s">
        <v>40</v>
      </c>
      <c r="B387" s="44" t="s">
        <v>3428</v>
      </c>
      <c r="C387" s="45" t="s">
        <v>3368</v>
      </c>
      <c r="D387" s="44">
        <v>16</v>
      </c>
      <c r="E387" s="115" t="str">
        <f t="shared" si="39"/>
        <v>3#3#26|3#4#26|3#5#26|3#6#26|3#7#26|3#8#26</v>
      </c>
      <c r="F387" s="211" t="str">
        <f t="shared" ref="F387:F400" si="40">"上品注灵石"&amp;ROUND(AG20/2,0)&amp;"/元宝"&amp;AH19</f>
        <v>上品注灵石9/元宝64000</v>
      </c>
      <c r="G387" s="44">
        <v>30</v>
      </c>
      <c r="H387" s="112"/>
    </row>
    <row r="388" spans="1:8" ht="15.75" x14ac:dyDescent="0.3">
      <c r="A388" s="44" t="s">
        <v>40</v>
      </c>
      <c r="B388" s="44" t="s">
        <v>3428</v>
      </c>
      <c r="C388" s="45" t="s">
        <v>3369</v>
      </c>
      <c r="D388" s="44">
        <v>17</v>
      </c>
      <c r="E388" s="115" t="str">
        <f t="shared" si="39"/>
        <v>3#3#28|3#4#28|3#5#28|3#6#28|3#7#28|3#8#28</v>
      </c>
      <c r="F388" s="211" t="str">
        <f t="shared" si="40"/>
        <v>上品注灵石10/元宝72000</v>
      </c>
      <c r="G388" s="44">
        <v>30</v>
      </c>
      <c r="H388" s="112"/>
    </row>
    <row r="389" spans="1:8" ht="15.75" x14ac:dyDescent="0.3">
      <c r="A389" s="44" t="s">
        <v>40</v>
      </c>
      <c r="B389" s="44" t="s">
        <v>3428</v>
      </c>
      <c r="C389" s="45" t="s">
        <v>3370</v>
      </c>
      <c r="D389" s="44">
        <v>18</v>
      </c>
      <c r="E389" s="115" t="str">
        <f t="shared" si="39"/>
        <v>3#3#30|3#4#30|3#5#30|3#6#30|3#7#30|3#8#30</v>
      </c>
      <c r="F389" s="211" t="str">
        <f t="shared" si="40"/>
        <v>上品注灵石11/元宝80000</v>
      </c>
      <c r="G389" s="44">
        <v>30</v>
      </c>
      <c r="H389" s="112"/>
    </row>
    <row r="390" spans="1:8" ht="15.75" x14ac:dyDescent="0.3">
      <c r="A390" s="44" t="s">
        <v>40</v>
      </c>
      <c r="B390" s="44" t="s">
        <v>3428</v>
      </c>
      <c r="C390" s="45" t="s">
        <v>3371</v>
      </c>
      <c r="D390" s="44">
        <v>19</v>
      </c>
      <c r="E390" s="115" t="str">
        <f t="shared" si="39"/>
        <v>3#3#31|3#4#31|3#5#31|3#6#31|3#7#31|3#8#31</v>
      </c>
      <c r="F390" s="211" t="str">
        <f t="shared" si="40"/>
        <v>上品注灵石12/元宝88000</v>
      </c>
      <c r="G390" s="44">
        <v>30</v>
      </c>
      <c r="H390" s="112"/>
    </row>
    <row r="391" spans="1:8" ht="15.75" x14ac:dyDescent="0.3">
      <c r="A391" s="44" t="s">
        <v>40</v>
      </c>
      <c r="B391" s="44" t="s">
        <v>3428</v>
      </c>
      <c r="C391" s="45" t="s">
        <v>3372</v>
      </c>
      <c r="D391" s="44">
        <v>20</v>
      </c>
      <c r="E391" s="115" t="str">
        <f t="shared" si="39"/>
        <v>3#3#33|3#4#33|3#5#33|3#6#33|3#7#33|3#8#33</v>
      </c>
      <c r="F391" s="211" t="str">
        <f t="shared" si="40"/>
        <v>上品注灵石14/元宝96000</v>
      </c>
      <c r="G391" s="44">
        <v>25</v>
      </c>
      <c r="H391" s="112"/>
    </row>
    <row r="392" spans="1:8" ht="15.75" x14ac:dyDescent="0.3">
      <c r="A392" s="44" t="s">
        <v>40</v>
      </c>
      <c r="B392" s="44" t="s">
        <v>3428</v>
      </c>
      <c r="C392" s="45" t="s">
        <v>3373</v>
      </c>
      <c r="D392" s="44">
        <v>21</v>
      </c>
      <c r="E392" s="115" t="str">
        <f t="shared" si="39"/>
        <v>3#3#37|3#4#37|3#5#37|3#6#37|3#7#37|3#8#37</v>
      </c>
      <c r="F392" s="211" t="str">
        <f t="shared" si="40"/>
        <v>上品注灵石15/元宝108000</v>
      </c>
      <c r="G392" s="44">
        <v>25</v>
      </c>
      <c r="H392" s="112"/>
    </row>
    <row r="393" spans="1:8" ht="15.75" x14ac:dyDescent="0.3">
      <c r="A393" s="44" t="s">
        <v>40</v>
      </c>
      <c r="B393" s="44" t="s">
        <v>3428</v>
      </c>
      <c r="C393" s="45" t="s">
        <v>3374</v>
      </c>
      <c r="D393" s="44">
        <v>22</v>
      </c>
      <c r="E393" s="115" t="str">
        <f t="shared" si="39"/>
        <v>3#3#38|3#4#38|3#5#38|3#6#38|3#7#38|3#8#38</v>
      </c>
      <c r="F393" s="211" t="str">
        <f t="shared" si="40"/>
        <v>上品注灵石16/元宝116000</v>
      </c>
      <c r="G393" s="44">
        <v>25</v>
      </c>
      <c r="H393" s="112"/>
    </row>
    <row r="394" spans="1:8" ht="15.75" x14ac:dyDescent="0.3">
      <c r="A394" s="44" t="s">
        <v>40</v>
      </c>
      <c r="B394" s="44" t="s">
        <v>3428</v>
      </c>
      <c r="C394" s="45" t="s">
        <v>3375</v>
      </c>
      <c r="D394" s="44">
        <v>23</v>
      </c>
      <c r="E394" s="115" t="str">
        <f t="shared" si="39"/>
        <v>3#3#40|3#4#40|3#5#40|3#6#40|3#7#40|3#8#40</v>
      </c>
      <c r="F394" s="211" t="str">
        <f t="shared" si="40"/>
        <v>上品注灵石17/元宝124000</v>
      </c>
      <c r="G394" s="44">
        <v>25</v>
      </c>
      <c r="H394" s="112"/>
    </row>
    <row r="395" spans="1:8" ht="15.75" x14ac:dyDescent="0.3">
      <c r="A395" s="44" t="s">
        <v>40</v>
      </c>
      <c r="B395" s="44" t="s">
        <v>3428</v>
      </c>
      <c r="C395" s="45" t="s">
        <v>3376</v>
      </c>
      <c r="D395" s="44">
        <v>24</v>
      </c>
      <c r="E395" s="115" t="str">
        <f t="shared" si="39"/>
        <v>3#3#42|3#4#42|3#5#42|3#6#42|3#7#42|3#8#42</v>
      </c>
      <c r="F395" s="211" t="str">
        <f t="shared" si="40"/>
        <v>上品注灵石18/元宝136000</v>
      </c>
      <c r="G395" s="44">
        <v>25</v>
      </c>
      <c r="H395" s="112"/>
    </row>
    <row r="396" spans="1:8" ht="15.75" x14ac:dyDescent="0.3">
      <c r="A396" s="44" t="s">
        <v>40</v>
      </c>
      <c r="B396" s="44" t="s">
        <v>3428</v>
      </c>
      <c r="C396" s="45" t="s">
        <v>3377</v>
      </c>
      <c r="D396" s="44">
        <v>25</v>
      </c>
      <c r="E396" s="115" t="str">
        <f t="shared" si="39"/>
        <v>3#3#44|3#4#44|3#5#44|3#6#44|3#7#44|3#8#44</v>
      </c>
      <c r="F396" s="211" t="str">
        <f t="shared" si="40"/>
        <v>上品注灵石19/元宝144000</v>
      </c>
      <c r="G396" s="44">
        <v>25</v>
      </c>
      <c r="H396" s="112"/>
    </row>
    <row r="397" spans="1:8" ht="15.75" x14ac:dyDescent="0.3">
      <c r="A397" s="44" t="s">
        <v>40</v>
      </c>
      <c r="B397" s="44" t="s">
        <v>3428</v>
      </c>
      <c r="C397" s="45" t="s">
        <v>3378</v>
      </c>
      <c r="D397" s="44">
        <v>26</v>
      </c>
      <c r="E397" s="115" t="str">
        <f t="shared" si="39"/>
        <v>3#3#49|3#4#49|3#5#49|3#6#49|3#7#49|3#8#49</v>
      </c>
      <c r="F397" s="211" t="str">
        <f t="shared" si="40"/>
        <v>上品注灵石20/元宝152000</v>
      </c>
      <c r="G397" s="44">
        <v>25</v>
      </c>
      <c r="H397" s="112"/>
    </row>
    <row r="398" spans="1:8" ht="15.75" x14ac:dyDescent="0.3">
      <c r="A398" s="44" t="s">
        <v>40</v>
      </c>
      <c r="B398" s="44" t="s">
        <v>3428</v>
      </c>
      <c r="C398" s="45" t="s">
        <v>3379</v>
      </c>
      <c r="D398" s="44">
        <v>27</v>
      </c>
      <c r="E398" s="115" t="str">
        <f t="shared" si="39"/>
        <v>3#3#51|3#4#51|3#5#51|3#6#51|3#7#51|3#8#51</v>
      </c>
      <c r="F398" s="211" t="str">
        <f t="shared" si="40"/>
        <v>上品注灵石21/元宝156000</v>
      </c>
      <c r="G398" s="44">
        <v>25</v>
      </c>
      <c r="H398" s="112"/>
    </row>
    <row r="399" spans="1:8" ht="15.75" x14ac:dyDescent="0.3">
      <c r="A399" s="44" t="s">
        <v>40</v>
      </c>
      <c r="B399" s="44" t="s">
        <v>3428</v>
      </c>
      <c r="C399" s="45" t="s">
        <v>3380</v>
      </c>
      <c r="D399" s="44">
        <v>28</v>
      </c>
      <c r="E399" s="115" t="str">
        <f t="shared" si="39"/>
        <v>3#3#52|3#4#52|3#5#52|3#6#52|3#7#52|3#8#52</v>
      </c>
      <c r="F399" s="211" t="str">
        <f t="shared" si="40"/>
        <v>上品注灵石22/元宝164000</v>
      </c>
      <c r="G399" s="44">
        <v>25</v>
      </c>
      <c r="H399" s="112"/>
    </row>
    <row r="400" spans="1:8" ht="15.75" x14ac:dyDescent="0.3">
      <c r="A400" s="44" t="s">
        <v>40</v>
      </c>
      <c r="B400" s="44" t="s">
        <v>3428</v>
      </c>
      <c r="C400" s="45" t="s">
        <v>3381</v>
      </c>
      <c r="D400" s="44">
        <v>29</v>
      </c>
      <c r="E400" s="115" t="str">
        <f t="shared" si="39"/>
        <v>3#3#54|3#4#54|3#5#54|3#6#54|3#7#54|3#8#54</v>
      </c>
      <c r="F400" s="211" t="str">
        <f t="shared" si="40"/>
        <v>上品注灵石23/元宝172000</v>
      </c>
      <c r="G400" s="44">
        <v>25</v>
      </c>
      <c r="H400" s="112"/>
    </row>
    <row r="401" spans="1:8" ht="15.75" x14ac:dyDescent="0.3">
      <c r="A401" s="44" t="s">
        <v>40</v>
      </c>
      <c r="B401" s="44" t="s">
        <v>3428</v>
      </c>
      <c r="C401" s="45" t="s">
        <v>3382</v>
      </c>
      <c r="D401" s="44">
        <v>30</v>
      </c>
      <c r="E401" s="115" t="str">
        <f t="shared" si="39"/>
        <v>3#3#56|3#4#56|3#5#56|3#6#56|3#7#56|3#8#56</v>
      </c>
      <c r="F401" s="211" t="str">
        <f>"极品注灵石"&amp;ROUND(AG34/10,0)&amp;"/元宝"&amp;AH32</f>
        <v>极品注灵石5/元宝172000</v>
      </c>
      <c r="G401" s="44">
        <v>30</v>
      </c>
      <c r="H401" s="112"/>
    </row>
    <row r="402" spans="1:8" ht="15.75" x14ac:dyDescent="0.3">
      <c r="A402" s="44" t="s">
        <v>40</v>
      </c>
      <c r="B402" s="44" t="s">
        <v>3428</v>
      </c>
      <c r="C402" s="45" t="s">
        <v>3383</v>
      </c>
      <c r="D402" s="44">
        <v>31</v>
      </c>
      <c r="E402" s="115" t="str">
        <f t="shared" si="39"/>
        <v>3#3#61|3#4#61|3#5#61|3#6#61|3#7#61|3#8#61</v>
      </c>
      <c r="F402" s="211" t="str">
        <f t="shared" ref="F402:F415" si="41">"极品注灵石"&amp;ROUND(AG35/10,0)&amp;"/元宝"&amp;AH33</f>
        <v>极品注灵石5/元宝180000</v>
      </c>
      <c r="G402" s="44">
        <v>30</v>
      </c>
      <c r="H402" s="112"/>
    </row>
    <row r="403" spans="1:8" ht="15.75" x14ac:dyDescent="0.3">
      <c r="A403" s="44" t="s">
        <v>40</v>
      </c>
      <c r="B403" s="44" t="s">
        <v>3428</v>
      </c>
      <c r="C403" s="45" t="s">
        <v>3384</v>
      </c>
      <c r="D403" s="44">
        <v>32</v>
      </c>
      <c r="E403" s="115" t="str">
        <f t="shared" si="39"/>
        <v>3#3#63|3#4#63|3#5#63|3#6#63|3#7#63|3#8#63</v>
      </c>
      <c r="F403" s="211" t="str">
        <f t="shared" si="41"/>
        <v>极品注灵石5/元宝184000</v>
      </c>
      <c r="G403" s="44">
        <v>30</v>
      </c>
      <c r="H403" s="112"/>
    </row>
    <row r="404" spans="1:8" ht="15.75" x14ac:dyDescent="0.3">
      <c r="A404" s="44" t="s">
        <v>40</v>
      </c>
      <c r="B404" s="44" t="s">
        <v>3428</v>
      </c>
      <c r="C404" s="45" t="s">
        <v>3385</v>
      </c>
      <c r="D404" s="44">
        <v>33</v>
      </c>
      <c r="E404" s="115" t="str">
        <f t="shared" si="39"/>
        <v>3#3#66|3#4#66|3#5#66|3#6#66|3#7#66|3#8#66</v>
      </c>
      <c r="F404" s="211" t="str">
        <f t="shared" si="41"/>
        <v>极品注灵石5/元宝192000</v>
      </c>
      <c r="G404" s="44">
        <v>30</v>
      </c>
      <c r="H404" s="112"/>
    </row>
    <row r="405" spans="1:8" ht="15.75" x14ac:dyDescent="0.3">
      <c r="A405" s="44" t="s">
        <v>40</v>
      </c>
      <c r="B405" s="44" t="s">
        <v>3428</v>
      </c>
      <c r="C405" s="45" t="s">
        <v>3386</v>
      </c>
      <c r="D405" s="44">
        <v>34</v>
      </c>
      <c r="E405" s="115" t="str">
        <f t="shared" si="39"/>
        <v>3#3#67|3#4#67|3#5#67|3#6#67|3#7#67|3#8#67</v>
      </c>
      <c r="F405" s="211" t="str">
        <f t="shared" si="41"/>
        <v>极品注灵石5/元宝200000</v>
      </c>
      <c r="G405" s="44">
        <v>30</v>
      </c>
      <c r="H405" s="112"/>
    </row>
    <row r="406" spans="1:8" ht="15.75" x14ac:dyDescent="0.3">
      <c r="A406" s="44" t="s">
        <v>40</v>
      </c>
      <c r="B406" s="44" t="s">
        <v>3428</v>
      </c>
      <c r="C406" s="45" t="s">
        <v>3387</v>
      </c>
      <c r="D406" s="44">
        <v>35</v>
      </c>
      <c r="E406" s="115" t="str">
        <f t="shared" si="39"/>
        <v>3#3#69|3#4#69|3#5#69|3#6#69|3#7#69|3#8#69</v>
      </c>
      <c r="F406" s="211" t="str">
        <f t="shared" si="41"/>
        <v>极品注灵石6/元宝208000</v>
      </c>
      <c r="G406" s="44">
        <v>25</v>
      </c>
      <c r="H406" s="112"/>
    </row>
    <row r="407" spans="1:8" ht="15.75" x14ac:dyDescent="0.3">
      <c r="A407" s="44" t="s">
        <v>40</v>
      </c>
      <c r="B407" s="44" t="s">
        <v>3428</v>
      </c>
      <c r="C407" s="45" t="s">
        <v>3388</v>
      </c>
      <c r="D407" s="44">
        <v>36</v>
      </c>
      <c r="E407" s="115" t="str">
        <f t="shared" si="39"/>
        <v>3#3#76|3#4#76|3#5#76|3#6#76|3#7#76|3#8#76</v>
      </c>
      <c r="F407" s="211" t="str">
        <f t="shared" si="41"/>
        <v>极品注灵石6/元宝212000</v>
      </c>
      <c r="G407" s="44">
        <v>25</v>
      </c>
      <c r="H407" s="112"/>
    </row>
    <row r="408" spans="1:8" ht="15.75" x14ac:dyDescent="0.3">
      <c r="A408" s="44" t="s">
        <v>40</v>
      </c>
      <c r="B408" s="44" t="s">
        <v>3428</v>
      </c>
      <c r="C408" s="45" t="s">
        <v>3389</v>
      </c>
      <c r="D408" s="44">
        <v>37</v>
      </c>
      <c r="E408" s="115" t="str">
        <f t="shared" si="39"/>
        <v>3#3#77|3#4#77|3#5#77|3#6#77|3#7#77|3#8#77</v>
      </c>
      <c r="F408" s="211" t="str">
        <f t="shared" si="41"/>
        <v>极品注灵石6/元宝220000</v>
      </c>
      <c r="G408" s="44">
        <v>25</v>
      </c>
      <c r="H408" s="112"/>
    </row>
    <row r="409" spans="1:8" ht="15.75" x14ac:dyDescent="0.3">
      <c r="A409" s="44" t="s">
        <v>40</v>
      </c>
      <c r="B409" s="44" t="s">
        <v>3428</v>
      </c>
      <c r="C409" s="45" t="s">
        <v>3390</v>
      </c>
      <c r="D409" s="44">
        <v>38</v>
      </c>
      <c r="E409" s="115" t="str">
        <f t="shared" si="39"/>
        <v>3#3#80|3#4#80|3#5#80|3#6#80|3#7#80|3#8#80</v>
      </c>
      <c r="F409" s="211" t="str">
        <f t="shared" si="41"/>
        <v>极品注灵石6/元宝228000</v>
      </c>
      <c r="G409" s="44">
        <v>25</v>
      </c>
      <c r="H409" s="112"/>
    </row>
    <row r="410" spans="1:8" ht="15.75" x14ac:dyDescent="0.3">
      <c r="A410" s="44" t="s">
        <v>40</v>
      </c>
      <c r="B410" s="44" t="s">
        <v>3428</v>
      </c>
      <c r="C410" s="45" t="s">
        <v>3391</v>
      </c>
      <c r="D410" s="44">
        <v>39</v>
      </c>
      <c r="E410" s="115" t="str">
        <f t="shared" si="39"/>
        <v>3#3#82|3#4#82|3#5#82|3#6#82|3#7#82|3#8#82</v>
      </c>
      <c r="F410" s="211" t="str">
        <f t="shared" si="41"/>
        <v>极品注灵石6/元宝236000</v>
      </c>
      <c r="G410" s="44">
        <v>25</v>
      </c>
      <c r="H410" s="112"/>
    </row>
    <row r="411" spans="1:8" ht="15.75" x14ac:dyDescent="0.3">
      <c r="A411" s="44" t="s">
        <v>40</v>
      </c>
      <c r="B411" s="44" t="s">
        <v>3428</v>
      </c>
      <c r="C411" s="45" t="s">
        <v>3392</v>
      </c>
      <c r="D411" s="44">
        <v>40</v>
      </c>
      <c r="E411" s="115" t="str">
        <f t="shared" si="39"/>
        <v>3#3#84|3#4#84|3#5#84|3#6#84|3#7#84|3#8#84</v>
      </c>
      <c r="F411" s="211" t="str">
        <f t="shared" si="41"/>
        <v>极品注灵石6/元宝240000</v>
      </c>
      <c r="G411" s="44">
        <v>20</v>
      </c>
      <c r="H411" s="112"/>
    </row>
    <row r="412" spans="1:8" ht="15.75" x14ac:dyDescent="0.3">
      <c r="A412" s="44" t="s">
        <v>40</v>
      </c>
      <c r="B412" s="44" t="s">
        <v>3428</v>
      </c>
      <c r="C412" s="45" t="s">
        <v>3393</v>
      </c>
      <c r="D412" s="44">
        <v>41</v>
      </c>
      <c r="E412" s="115" t="str">
        <f t="shared" si="39"/>
        <v>3#3#91|3#4#91|3#5#91|3#6#91|3#7#91|3#8#91</v>
      </c>
      <c r="F412" s="211" t="str">
        <f t="shared" si="41"/>
        <v>极品注灵石6/元宝248000</v>
      </c>
      <c r="G412" s="44">
        <v>20</v>
      </c>
      <c r="H412" s="112"/>
    </row>
    <row r="413" spans="1:8" ht="15.75" x14ac:dyDescent="0.3">
      <c r="A413" s="44" t="s">
        <v>40</v>
      </c>
      <c r="B413" s="44" t="s">
        <v>3428</v>
      </c>
      <c r="C413" s="45" t="s">
        <v>3394</v>
      </c>
      <c r="D413" s="44">
        <v>42</v>
      </c>
      <c r="E413" s="115" t="str">
        <f t="shared" si="39"/>
        <v>3#3#93|3#4#93|3#5#93|3#6#93|3#7#93|3#8#93</v>
      </c>
      <c r="F413" s="211" t="str">
        <f t="shared" si="41"/>
        <v>极品注灵石7/元宝252000</v>
      </c>
      <c r="G413" s="44">
        <v>20</v>
      </c>
      <c r="H413" s="112"/>
    </row>
    <row r="414" spans="1:8" ht="15.75" x14ac:dyDescent="0.3">
      <c r="A414" s="44" t="s">
        <v>40</v>
      </c>
      <c r="B414" s="44" t="s">
        <v>3428</v>
      </c>
      <c r="C414" s="45" t="s">
        <v>3395</v>
      </c>
      <c r="D414" s="44">
        <v>43</v>
      </c>
      <c r="E414" s="115" t="str">
        <f t="shared" si="39"/>
        <v>3#3#95|3#4#95|3#5#95|3#6#95|3#7#95|3#8#95</v>
      </c>
      <c r="F414" s="211" t="str">
        <f t="shared" si="41"/>
        <v>极品注灵石7/元宝256000</v>
      </c>
      <c r="G414" s="44">
        <v>20</v>
      </c>
      <c r="H414" s="112"/>
    </row>
    <row r="415" spans="1:8" ht="15.75" x14ac:dyDescent="0.3">
      <c r="A415" s="44" t="s">
        <v>40</v>
      </c>
      <c r="B415" s="44" t="s">
        <v>3428</v>
      </c>
      <c r="C415" s="45" t="s">
        <v>3396</v>
      </c>
      <c r="D415" s="44">
        <v>44</v>
      </c>
      <c r="E415" s="115" t="str">
        <f t="shared" si="39"/>
        <v>3#3#97|3#4#97|3#5#97|3#6#97|3#7#97|3#8#97</v>
      </c>
      <c r="F415" s="211" t="str">
        <f t="shared" si="41"/>
        <v>极品注灵石7/元宝264000</v>
      </c>
      <c r="G415" s="44">
        <v>20</v>
      </c>
      <c r="H415" s="112"/>
    </row>
    <row r="416" spans="1:8" ht="15.75" x14ac:dyDescent="0.3">
      <c r="A416" s="44" t="s">
        <v>40</v>
      </c>
      <c r="B416" s="44" t="s">
        <v>3428</v>
      </c>
      <c r="C416" s="45" t="s">
        <v>3397</v>
      </c>
      <c r="D416" s="44">
        <v>45</v>
      </c>
      <c r="E416" s="115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16" s="211"/>
      <c r="G416" s="44"/>
      <c r="H416" s="112"/>
    </row>
    <row r="417" spans="1:8" ht="15.75" x14ac:dyDescent="0.3">
      <c r="A417" s="47" t="s">
        <v>40</v>
      </c>
      <c r="B417" s="47" t="s">
        <v>3429</v>
      </c>
      <c r="C417" s="48" t="s">
        <v>78</v>
      </c>
      <c r="D417" s="47">
        <v>0</v>
      </c>
      <c r="E417" s="119"/>
      <c r="F417" s="212" t="s">
        <v>3399</v>
      </c>
      <c r="G417" s="47">
        <v>100</v>
      </c>
      <c r="H417" s="112"/>
    </row>
    <row r="418" spans="1:8" ht="15.75" x14ac:dyDescent="0.3">
      <c r="A418" s="47" t="s">
        <v>40</v>
      </c>
      <c r="B418" s="47" t="s">
        <v>3429</v>
      </c>
      <c r="C418" s="48" t="s">
        <v>3344</v>
      </c>
      <c r="D418" s="47">
        <v>1</v>
      </c>
      <c r="E418" s="119" t="str">
        <f t="shared" ref="E418:E461" si="42">"3#11#"&amp;INT(1/3*Z4)&amp;"|"&amp;"3#12#"&amp;INT(1/3*Z4)</f>
        <v>3#11#1|3#12#1</v>
      </c>
      <c r="F418" s="212" t="s">
        <v>3400</v>
      </c>
      <c r="G418" s="47">
        <v>100</v>
      </c>
      <c r="H418" s="112"/>
    </row>
    <row r="419" spans="1:8" ht="15.75" x14ac:dyDescent="0.3">
      <c r="A419" s="47" t="s">
        <v>40</v>
      </c>
      <c r="B419" s="47" t="s">
        <v>3429</v>
      </c>
      <c r="C419" s="48" t="s">
        <v>3346</v>
      </c>
      <c r="D419" s="47">
        <v>2</v>
      </c>
      <c r="E419" s="119" t="str">
        <f t="shared" si="42"/>
        <v>3#11#2|3#12#2</v>
      </c>
      <c r="F419" s="212" t="s">
        <v>3401</v>
      </c>
      <c r="G419" s="47">
        <v>100</v>
      </c>
      <c r="H419" s="112"/>
    </row>
    <row r="420" spans="1:8" ht="15.75" x14ac:dyDescent="0.3">
      <c r="A420" s="47" t="s">
        <v>40</v>
      </c>
      <c r="B420" s="47" t="s">
        <v>3429</v>
      </c>
      <c r="C420" s="48" t="s">
        <v>3348</v>
      </c>
      <c r="D420" s="47">
        <v>3</v>
      </c>
      <c r="E420" s="119" t="str">
        <f t="shared" si="42"/>
        <v>3#11#4|3#12#4</v>
      </c>
      <c r="F420" s="212" t="s">
        <v>3402</v>
      </c>
      <c r="G420" s="47">
        <v>100</v>
      </c>
      <c r="H420" s="112"/>
    </row>
    <row r="421" spans="1:8" ht="15.75" x14ac:dyDescent="0.3">
      <c r="A421" s="47" t="s">
        <v>40</v>
      </c>
      <c r="B421" s="47" t="s">
        <v>3429</v>
      </c>
      <c r="C421" s="48" t="s">
        <v>3350</v>
      </c>
      <c r="D421" s="47">
        <v>4</v>
      </c>
      <c r="E421" s="119" t="str">
        <f t="shared" si="42"/>
        <v>3#11#5|3#12#5</v>
      </c>
      <c r="F421" s="212" t="s">
        <v>3403</v>
      </c>
      <c r="G421" s="47">
        <v>100</v>
      </c>
      <c r="H421" s="112"/>
    </row>
    <row r="422" spans="1:8" ht="15.75" x14ac:dyDescent="0.3">
      <c r="A422" s="47" t="s">
        <v>40</v>
      </c>
      <c r="B422" s="47" t="s">
        <v>3429</v>
      </c>
      <c r="C422" s="48" t="s">
        <v>3352</v>
      </c>
      <c r="D422" s="47">
        <v>5</v>
      </c>
      <c r="E422" s="119" t="str">
        <f t="shared" si="42"/>
        <v>3#11#6|3#12#6</v>
      </c>
      <c r="F422" s="212" t="s">
        <v>3404</v>
      </c>
      <c r="G422" s="47">
        <v>100</v>
      </c>
      <c r="H422" s="112"/>
    </row>
    <row r="423" spans="1:8" ht="15.75" x14ac:dyDescent="0.3">
      <c r="A423" s="47" t="s">
        <v>40</v>
      </c>
      <c r="B423" s="47" t="s">
        <v>3429</v>
      </c>
      <c r="C423" s="48" t="s">
        <v>3354</v>
      </c>
      <c r="D423" s="47">
        <v>6</v>
      </c>
      <c r="E423" s="119" t="str">
        <f t="shared" si="42"/>
        <v>3#11#8|3#12#8</v>
      </c>
      <c r="F423" s="212" t="s">
        <v>3405</v>
      </c>
      <c r="G423" s="47">
        <v>100</v>
      </c>
      <c r="H423" s="112"/>
    </row>
    <row r="424" spans="1:8" ht="15.75" x14ac:dyDescent="0.3">
      <c r="A424" s="47" t="s">
        <v>40</v>
      </c>
      <c r="B424" s="47" t="s">
        <v>3429</v>
      </c>
      <c r="C424" s="48" t="s">
        <v>3356</v>
      </c>
      <c r="D424" s="47">
        <v>7</v>
      </c>
      <c r="E424" s="119" t="str">
        <f t="shared" si="42"/>
        <v>3#11#9|3#12#9</v>
      </c>
      <c r="F424" s="212" t="s">
        <v>3406</v>
      </c>
      <c r="G424" s="47">
        <v>100</v>
      </c>
      <c r="H424" s="112"/>
    </row>
    <row r="425" spans="1:8" ht="15.75" x14ac:dyDescent="0.3">
      <c r="A425" s="47" t="s">
        <v>40</v>
      </c>
      <c r="B425" s="47" t="s">
        <v>3429</v>
      </c>
      <c r="C425" s="48" t="s">
        <v>3358</v>
      </c>
      <c r="D425" s="47">
        <v>8</v>
      </c>
      <c r="E425" s="119" t="str">
        <f t="shared" si="42"/>
        <v>3#11#11|3#12#11</v>
      </c>
      <c r="F425" s="212" t="s">
        <v>3407</v>
      </c>
      <c r="G425" s="47">
        <v>100</v>
      </c>
      <c r="H425" s="112"/>
    </row>
    <row r="426" spans="1:8" ht="15.75" x14ac:dyDescent="0.3">
      <c r="A426" s="47" t="s">
        <v>40</v>
      </c>
      <c r="B426" s="47" t="s">
        <v>3429</v>
      </c>
      <c r="C426" s="48" t="s">
        <v>3360</v>
      </c>
      <c r="D426" s="47">
        <v>9</v>
      </c>
      <c r="E426" s="119" t="str">
        <f t="shared" si="42"/>
        <v>3#11#13|3#12#13</v>
      </c>
      <c r="F426" s="212" t="s">
        <v>3408</v>
      </c>
      <c r="G426" s="47">
        <v>100</v>
      </c>
      <c r="H426" s="112"/>
    </row>
    <row r="427" spans="1:8" ht="15.75" x14ac:dyDescent="0.3">
      <c r="A427" s="47" t="s">
        <v>40</v>
      </c>
      <c r="B427" s="47" t="s">
        <v>3429</v>
      </c>
      <c r="C427" s="48" t="s">
        <v>3361</v>
      </c>
      <c r="D427" s="47">
        <v>10</v>
      </c>
      <c r="E427" s="119" t="str">
        <f t="shared" si="42"/>
        <v>3#11#14|3#12#14</v>
      </c>
      <c r="F427" s="212" t="s">
        <v>3409</v>
      </c>
      <c r="G427" s="47">
        <v>100</v>
      </c>
      <c r="H427" s="112"/>
    </row>
    <row r="428" spans="1:8" ht="15.75" x14ac:dyDescent="0.3">
      <c r="A428" s="47" t="s">
        <v>40</v>
      </c>
      <c r="B428" s="47" t="s">
        <v>3429</v>
      </c>
      <c r="C428" s="48" t="s">
        <v>3362</v>
      </c>
      <c r="D428" s="47">
        <v>11</v>
      </c>
      <c r="E428" s="119" t="str">
        <f t="shared" si="42"/>
        <v>3#11#17|3#12#17</v>
      </c>
      <c r="F428" s="212" t="s">
        <v>3410</v>
      </c>
      <c r="G428" s="47">
        <v>100</v>
      </c>
      <c r="H428" s="112"/>
    </row>
    <row r="429" spans="1:8" ht="15.75" x14ac:dyDescent="0.3">
      <c r="A429" s="47" t="s">
        <v>40</v>
      </c>
      <c r="B429" s="47" t="s">
        <v>3429</v>
      </c>
      <c r="C429" s="48" t="s">
        <v>3363</v>
      </c>
      <c r="D429" s="47">
        <v>12</v>
      </c>
      <c r="E429" s="119" t="str">
        <f t="shared" si="42"/>
        <v>3#11#18|3#12#18</v>
      </c>
      <c r="F429" s="212" t="s">
        <v>3411</v>
      </c>
      <c r="G429" s="47">
        <v>100</v>
      </c>
      <c r="H429" s="112"/>
    </row>
    <row r="430" spans="1:8" ht="15.75" x14ac:dyDescent="0.3">
      <c r="A430" s="47" t="s">
        <v>40</v>
      </c>
      <c r="B430" s="47" t="s">
        <v>3429</v>
      </c>
      <c r="C430" s="48" t="s">
        <v>3364</v>
      </c>
      <c r="D430" s="47">
        <v>13</v>
      </c>
      <c r="E430" s="119" t="str">
        <f t="shared" si="42"/>
        <v>3#11#20|3#12#20</v>
      </c>
      <c r="F430" s="212" t="s">
        <v>3412</v>
      </c>
      <c r="G430" s="47">
        <v>100</v>
      </c>
      <c r="H430" s="112"/>
    </row>
    <row r="431" spans="1:8" ht="15.75" x14ac:dyDescent="0.3">
      <c r="A431" s="47" t="s">
        <v>40</v>
      </c>
      <c r="B431" s="47" t="s">
        <v>3429</v>
      </c>
      <c r="C431" s="48" t="s">
        <v>3365</v>
      </c>
      <c r="D431" s="47">
        <v>14</v>
      </c>
      <c r="E431" s="119" t="str">
        <f t="shared" si="42"/>
        <v>3#11#21|3#12#21</v>
      </c>
      <c r="F431" s="212" t="s">
        <v>3413</v>
      </c>
      <c r="G431" s="47">
        <v>100</v>
      </c>
      <c r="H431" s="112"/>
    </row>
    <row r="432" spans="1:8" ht="15.75" x14ac:dyDescent="0.3">
      <c r="A432" s="47" t="s">
        <v>40</v>
      </c>
      <c r="B432" s="47" t="s">
        <v>3429</v>
      </c>
      <c r="C432" s="48" t="s">
        <v>3366</v>
      </c>
      <c r="D432" s="47">
        <v>15</v>
      </c>
      <c r="E432" s="119" t="str">
        <f t="shared" si="42"/>
        <v>3#11#23|3#12#23</v>
      </c>
      <c r="F432" s="212" t="str">
        <f>"上品注灵石"&amp;ROUND(AG19/2,0)&amp;"/元宝"&amp;AH18</f>
        <v>上品注灵石8/元宝60000</v>
      </c>
      <c r="G432" s="47">
        <v>30</v>
      </c>
      <c r="H432" s="112"/>
    </row>
    <row r="433" spans="1:8" ht="15.75" x14ac:dyDescent="0.3">
      <c r="A433" s="47" t="s">
        <v>40</v>
      </c>
      <c r="B433" s="47" t="s">
        <v>3430</v>
      </c>
      <c r="C433" s="48" t="s">
        <v>3368</v>
      </c>
      <c r="D433" s="47">
        <v>16</v>
      </c>
      <c r="E433" s="119" t="str">
        <f t="shared" si="42"/>
        <v>3#11#26|3#12#26</v>
      </c>
      <c r="F433" s="212" t="str">
        <f t="shared" ref="F433:F446" si="43">"上品注灵石"&amp;ROUND(AG20/2,0)&amp;"/元宝"&amp;AH19</f>
        <v>上品注灵石9/元宝64000</v>
      </c>
      <c r="G433" s="47">
        <v>30</v>
      </c>
      <c r="H433" s="112"/>
    </row>
    <row r="434" spans="1:8" ht="15.75" x14ac:dyDescent="0.3">
      <c r="A434" s="47" t="s">
        <v>40</v>
      </c>
      <c r="B434" s="47" t="s">
        <v>3430</v>
      </c>
      <c r="C434" s="48" t="s">
        <v>3369</v>
      </c>
      <c r="D434" s="47">
        <v>17</v>
      </c>
      <c r="E434" s="119" t="str">
        <f t="shared" si="42"/>
        <v>3#11#28|3#12#28</v>
      </c>
      <c r="F434" s="212" t="str">
        <f t="shared" si="43"/>
        <v>上品注灵石10/元宝72000</v>
      </c>
      <c r="G434" s="47">
        <v>30</v>
      </c>
      <c r="H434" s="112"/>
    </row>
    <row r="435" spans="1:8" ht="15.75" x14ac:dyDescent="0.3">
      <c r="A435" s="47" t="s">
        <v>40</v>
      </c>
      <c r="B435" s="47" t="s">
        <v>3430</v>
      </c>
      <c r="C435" s="48" t="s">
        <v>3370</v>
      </c>
      <c r="D435" s="47">
        <v>18</v>
      </c>
      <c r="E435" s="119" t="str">
        <f t="shared" si="42"/>
        <v>3#11#30|3#12#30</v>
      </c>
      <c r="F435" s="212" t="str">
        <f t="shared" si="43"/>
        <v>上品注灵石11/元宝80000</v>
      </c>
      <c r="G435" s="47">
        <v>30</v>
      </c>
      <c r="H435" s="112"/>
    </row>
    <row r="436" spans="1:8" ht="15.75" x14ac:dyDescent="0.3">
      <c r="A436" s="47" t="s">
        <v>40</v>
      </c>
      <c r="B436" s="47" t="s">
        <v>3430</v>
      </c>
      <c r="C436" s="48" t="s">
        <v>3371</v>
      </c>
      <c r="D436" s="47">
        <v>19</v>
      </c>
      <c r="E436" s="119" t="str">
        <f t="shared" si="42"/>
        <v>3#11#31|3#12#31</v>
      </c>
      <c r="F436" s="212" t="str">
        <f t="shared" si="43"/>
        <v>上品注灵石12/元宝88000</v>
      </c>
      <c r="G436" s="47">
        <v>30</v>
      </c>
      <c r="H436" s="112"/>
    </row>
    <row r="437" spans="1:8" ht="15.75" x14ac:dyDescent="0.3">
      <c r="A437" s="47" t="s">
        <v>40</v>
      </c>
      <c r="B437" s="47" t="s">
        <v>3430</v>
      </c>
      <c r="C437" s="48" t="s">
        <v>3372</v>
      </c>
      <c r="D437" s="47">
        <v>20</v>
      </c>
      <c r="E437" s="119" t="str">
        <f t="shared" si="42"/>
        <v>3#11#33|3#12#33</v>
      </c>
      <c r="F437" s="212" t="str">
        <f t="shared" si="43"/>
        <v>上品注灵石14/元宝96000</v>
      </c>
      <c r="G437" s="47">
        <v>25</v>
      </c>
      <c r="H437" s="112"/>
    </row>
    <row r="438" spans="1:8" ht="15.75" x14ac:dyDescent="0.3">
      <c r="A438" s="47" t="s">
        <v>40</v>
      </c>
      <c r="B438" s="47" t="s">
        <v>3430</v>
      </c>
      <c r="C438" s="48" t="s">
        <v>3373</v>
      </c>
      <c r="D438" s="47">
        <v>21</v>
      </c>
      <c r="E438" s="119" t="str">
        <f t="shared" si="42"/>
        <v>3#11#37|3#12#37</v>
      </c>
      <c r="F438" s="212" t="str">
        <f t="shared" si="43"/>
        <v>上品注灵石15/元宝108000</v>
      </c>
      <c r="G438" s="47">
        <v>25</v>
      </c>
      <c r="H438" s="112"/>
    </row>
    <row r="439" spans="1:8" ht="15.75" x14ac:dyDescent="0.3">
      <c r="A439" s="47" t="s">
        <v>40</v>
      </c>
      <c r="B439" s="47" t="s">
        <v>3430</v>
      </c>
      <c r="C439" s="48" t="s">
        <v>3374</v>
      </c>
      <c r="D439" s="47">
        <v>22</v>
      </c>
      <c r="E439" s="119" t="str">
        <f t="shared" si="42"/>
        <v>3#11#38|3#12#38</v>
      </c>
      <c r="F439" s="212" t="str">
        <f t="shared" si="43"/>
        <v>上品注灵石16/元宝116000</v>
      </c>
      <c r="G439" s="47">
        <v>25</v>
      </c>
      <c r="H439" s="112"/>
    </row>
    <row r="440" spans="1:8" ht="15.75" x14ac:dyDescent="0.3">
      <c r="A440" s="47" t="s">
        <v>40</v>
      </c>
      <c r="B440" s="47" t="s">
        <v>3430</v>
      </c>
      <c r="C440" s="48" t="s">
        <v>3375</v>
      </c>
      <c r="D440" s="47">
        <v>23</v>
      </c>
      <c r="E440" s="119" t="str">
        <f t="shared" si="42"/>
        <v>3#11#40|3#12#40</v>
      </c>
      <c r="F440" s="212" t="str">
        <f t="shared" si="43"/>
        <v>上品注灵石17/元宝124000</v>
      </c>
      <c r="G440" s="47">
        <v>25</v>
      </c>
      <c r="H440" s="112"/>
    </row>
    <row r="441" spans="1:8" ht="15.75" x14ac:dyDescent="0.3">
      <c r="A441" s="47" t="s">
        <v>40</v>
      </c>
      <c r="B441" s="47" t="s">
        <v>3430</v>
      </c>
      <c r="C441" s="48" t="s">
        <v>3376</v>
      </c>
      <c r="D441" s="47">
        <v>24</v>
      </c>
      <c r="E441" s="119" t="str">
        <f t="shared" si="42"/>
        <v>3#11#42|3#12#42</v>
      </c>
      <c r="F441" s="212" t="str">
        <f t="shared" si="43"/>
        <v>上品注灵石18/元宝136000</v>
      </c>
      <c r="G441" s="47">
        <v>25</v>
      </c>
      <c r="H441" s="112"/>
    </row>
    <row r="442" spans="1:8" ht="15.75" x14ac:dyDescent="0.3">
      <c r="A442" s="47" t="s">
        <v>40</v>
      </c>
      <c r="B442" s="47" t="s">
        <v>3430</v>
      </c>
      <c r="C442" s="48" t="s">
        <v>3377</v>
      </c>
      <c r="D442" s="47">
        <v>25</v>
      </c>
      <c r="E442" s="119" t="str">
        <f t="shared" si="42"/>
        <v>3#11#44|3#12#44</v>
      </c>
      <c r="F442" s="212" t="str">
        <f t="shared" si="43"/>
        <v>上品注灵石19/元宝144000</v>
      </c>
      <c r="G442" s="47">
        <v>25</v>
      </c>
      <c r="H442" s="112"/>
    </row>
    <row r="443" spans="1:8" ht="15.75" x14ac:dyDescent="0.3">
      <c r="A443" s="47" t="s">
        <v>40</v>
      </c>
      <c r="B443" s="47" t="s">
        <v>3430</v>
      </c>
      <c r="C443" s="48" t="s">
        <v>3378</v>
      </c>
      <c r="D443" s="47">
        <v>26</v>
      </c>
      <c r="E443" s="119" t="str">
        <f t="shared" si="42"/>
        <v>3#11#49|3#12#49</v>
      </c>
      <c r="F443" s="212" t="str">
        <f t="shared" si="43"/>
        <v>上品注灵石20/元宝152000</v>
      </c>
      <c r="G443" s="47">
        <v>25</v>
      </c>
      <c r="H443" s="112"/>
    </row>
    <row r="444" spans="1:8" ht="15.75" x14ac:dyDescent="0.3">
      <c r="A444" s="47" t="s">
        <v>40</v>
      </c>
      <c r="B444" s="47" t="s">
        <v>3430</v>
      </c>
      <c r="C444" s="48" t="s">
        <v>3379</v>
      </c>
      <c r="D444" s="47">
        <v>27</v>
      </c>
      <c r="E444" s="119" t="str">
        <f t="shared" si="42"/>
        <v>3#11#51|3#12#51</v>
      </c>
      <c r="F444" s="212" t="str">
        <f t="shared" si="43"/>
        <v>上品注灵石21/元宝156000</v>
      </c>
      <c r="G444" s="47">
        <v>25</v>
      </c>
      <c r="H444" s="112"/>
    </row>
    <row r="445" spans="1:8" ht="15.75" x14ac:dyDescent="0.3">
      <c r="A445" s="47" t="s">
        <v>40</v>
      </c>
      <c r="B445" s="47" t="s">
        <v>3430</v>
      </c>
      <c r="C445" s="48" t="s">
        <v>3380</v>
      </c>
      <c r="D445" s="47">
        <v>28</v>
      </c>
      <c r="E445" s="119" t="str">
        <f t="shared" si="42"/>
        <v>3#11#52|3#12#52</v>
      </c>
      <c r="F445" s="212" t="str">
        <f t="shared" si="43"/>
        <v>上品注灵石22/元宝164000</v>
      </c>
      <c r="G445" s="47">
        <v>25</v>
      </c>
      <c r="H445" s="112"/>
    </row>
    <row r="446" spans="1:8" ht="15.75" x14ac:dyDescent="0.3">
      <c r="A446" s="47" t="s">
        <v>40</v>
      </c>
      <c r="B446" s="47" t="s">
        <v>3430</v>
      </c>
      <c r="C446" s="48" t="s">
        <v>3381</v>
      </c>
      <c r="D446" s="47">
        <v>29</v>
      </c>
      <c r="E446" s="119" t="str">
        <f t="shared" si="42"/>
        <v>3#11#54|3#12#54</v>
      </c>
      <c r="F446" s="212" t="str">
        <f t="shared" si="43"/>
        <v>上品注灵石23/元宝172000</v>
      </c>
      <c r="G446" s="47">
        <v>25</v>
      </c>
      <c r="H446" s="112"/>
    </row>
    <row r="447" spans="1:8" ht="15.75" x14ac:dyDescent="0.3">
      <c r="A447" s="47" t="s">
        <v>40</v>
      </c>
      <c r="B447" s="47" t="s">
        <v>3430</v>
      </c>
      <c r="C447" s="48" t="s">
        <v>3382</v>
      </c>
      <c r="D447" s="47">
        <v>30</v>
      </c>
      <c r="E447" s="119" t="str">
        <f t="shared" si="42"/>
        <v>3#11#56|3#12#56</v>
      </c>
      <c r="F447" s="212" t="str">
        <f>"极品注灵石"&amp;ROUND(AG34/10,0)&amp;"/元宝"&amp;AH32</f>
        <v>极品注灵石5/元宝172000</v>
      </c>
      <c r="G447" s="47">
        <v>30</v>
      </c>
      <c r="H447" s="112"/>
    </row>
    <row r="448" spans="1:8" ht="15.75" x14ac:dyDescent="0.3">
      <c r="A448" s="47" t="s">
        <v>40</v>
      </c>
      <c r="B448" s="47" t="s">
        <v>3430</v>
      </c>
      <c r="C448" s="48" t="s">
        <v>3383</v>
      </c>
      <c r="D448" s="47">
        <v>31</v>
      </c>
      <c r="E448" s="119" t="str">
        <f t="shared" si="42"/>
        <v>3#11#61|3#12#61</v>
      </c>
      <c r="F448" s="212" t="str">
        <f t="shared" ref="F448:F461" si="44">"极品注灵石"&amp;ROUND(AG35/10,0)&amp;"/元宝"&amp;AH33</f>
        <v>极品注灵石5/元宝180000</v>
      </c>
      <c r="G448" s="47">
        <v>30</v>
      </c>
      <c r="H448" s="112"/>
    </row>
    <row r="449" spans="1:8" ht="15.75" x14ac:dyDescent="0.3">
      <c r="A449" s="47" t="s">
        <v>40</v>
      </c>
      <c r="B449" s="47" t="s">
        <v>3430</v>
      </c>
      <c r="C449" s="48" t="s">
        <v>3384</v>
      </c>
      <c r="D449" s="47">
        <v>32</v>
      </c>
      <c r="E449" s="119" t="str">
        <f t="shared" si="42"/>
        <v>3#11#63|3#12#63</v>
      </c>
      <c r="F449" s="212" t="str">
        <f t="shared" si="44"/>
        <v>极品注灵石5/元宝184000</v>
      </c>
      <c r="G449" s="47">
        <v>30</v>
      </c>
      <c r="H449" s="112"/>
    </row>
    <row r="450" spans="1:8" ht="15.75" x14ac:dyDescent="0.3">
      <c r="A450" s="47" t="s">
        <v>40</v>
      </c>
      <c r="B450" s="47" t="s">
        <v>3430</v>
      </c>
      <c r="C450" s="48" t="s">
        <v>3385</v>
      </c>
      <c r="D450" s="47">
        <v>33</v>
      </c>
      <c r="E450" s="119" t="str">
        <f t="shared" si="42"/>
        <v>3#11#66|3#12#66</v>
      </c>
      <c r="F450" s="212" t="str">
        <f t="shared" si="44"/>
        <v>极品注灵石5/元宝192000</v>
      </c>
      <c r="G450" s="47">
        <v>30</v>
      </c>
      <c r="H450" s="112"/>
    </row>
    <row r="451" spans="1:8" ht="15.75" x14ac:dyDescent="0.3">
      <c r="A451" s="47" t="s">
        <v>40</v>
      </c>
      <c r="B451" s="47" t="s">
        <v>3430</v>
      </c>
      <c r="C451" s="48" t="s">
        <v>3386</v>
      </c>
      <c r="D451" s="47">
        <v>34</v>
      </c>
      <c r="E451" s="119" t="str">
        <f t="shared" si="42"/>
        <v>3#11#67|3#12#67</v>
      </c>
      <c r="F451" s="212" t="str">
        <f t="shared" si="44"/>
        <v>极品注灵石5/元宝200000</v>
      </c>
      <c r="G451" s="47">
        <v>30</v>
      </c>
      <c r="H451" s="112"/>
    </row>
    <row r="452" spans="1:8" ht="15.75" x14ac:dyDescent="0.3">
      <c r="A452" s="47" t="s">
        <v>40</v>
      </c>
      <c r="B452" s="47" t="s">
        <v>3430</v>
      </c>
      <c r="C452" s="48" t="s">
        <v>3387</v>
      </c>
      <c r="D452" s="47">
        <v>35</v>
      </c>
      <c r="E452" s="119" t="str">
        <f t="shared" si="42"/>
        <v>3#11#69|3#12#69</v>
      </c>
      <c r="F452" s="212" t="str">
        <f t="shared" si="44"/>
        <v>极品注灵石6/元宝208000</v>
      </c>
      <c r="G452" s="47">
        <v>25</v>
      </c>
      <c r="H452" s="112"/>
    </row>
    <row r="453" spans="1:8" ht="15.75" x14ac:dyDescent="0.3">
      <c r="A453" s="47" t="s">
        <v>40</v>
      </c>
      <c r="B453" s="47" t="s">
        <v>3430</v>
      </c>
      <c r="C453" s="48" t="s">
        <v>3388</v>
      </c>
      <c r="D453" s="47">
        <v>36</v>
      </c>
      <c r="E453" s="119" t="str">
        <f t="shared" si="42"/>
        <v>3#11#76|3#12#76</v>
      </c>
      <c r="F453" s="212" t="str">
        <f t="shared" si="44"/>
        <v>极品注灵石6/元宝212000</v>
      </c>
      <c r="G453" s="47">
        <v>25</v>
      </c>
      <c r="H453" s="112"/>
    </row>
    <row r="454" spans="1:8" ht="15.75" x14ac:dyDescent="0.3">
      <c r="A454" s="47" t="s">
        <v>40</v>
      </c>
      <c r="B454" s="47" t="s">
        <v>3430</v>
      </c>
      <c r="C454" s="48" t="s">
        <v>3389</v>
      </c>
      <c r="D454" s="47">
        <v>37</v>
      </c>
      <c r="E454" s="119" t="str">
        <f t="shared" si="42"/>
        <v>3#11#77|3#12#77</v>
      </c>
      <c r="F454" s="212" t="str">
        <f t="shared" si="44"/>
        <v>极品注灵石6/元宝220000</v>
      </c>
      <c r="G454" s="47">
        <v>25</v>
      </c>
      <c r="H454" s="112"/>
    </row>
    <row r="455" spans="1:8" ht="15.75" x14ac:dyDescent="0.3">
      <c r="A455" s="47" t="s">
        <v>40</v>
      </c>
      <c r="B455" s="47" t="s">
        <v>3430</v>
      </c>
      <c r="C455" s="48" t="s">
        <v>3390</v>
      </c>
      <c r="D455" s="47">
        <v>38</v>
      </c>
      <c r="E455" s="119" t="str">
        <f t="shared" si="42"/>
        <v>3#11#80|3#12#80</v>
      </c>
      <c r="F455" s="212" t="str">
        <f t="shared" si="44"/>
        <v>极品注灵石6/元宝228000</v>
      </c>
      <c r="G455" s="47">
        <v>25</v>
      </c>
      <c r="H455" s="112"/>
    </row>
    <row r="456" spans="1:8" ht="15.75" x14ac:dyDescent="0.3">
      <c r="A456" s="47" t="s">
        <v>40</v>
      </c>
      <c r="B456" s="47" t="s">
        <v>3430</v>
      </c>
      <c r="C456" s="48" t="s">
        <v>3391</v>
      </c>
      <c r="D456" s="47">
        <v>39</v>
      </c>
      <c r="E456" s="119" t="str">
        <f t="shared" si="42"/>
        <v>3#11#82|3#12#82</v>
      </c>
      <c r="F456" s="212" t="str">
        <f t="shared" si="44"/>
        <v>极品注灵石6/元宝236000</v>
      </c>
      <c r="G456" s="47">
        <v>25</v>
      </c>
      <c r="H456" s="112"/>
    </row>
    <row r="457" spans="1:8" ht="15.75" x14ac:dyDescent="0.3">
      <c r="A457" s="47" t="s">
        <v>40</v>
      </c>
      <c r="B457" s="47" t="s">
        <v>3430</v>
      </c>
      <c r="C457" s="48" t="s">
        <v>3392</v>
      </c>
      <c r="D457" s="47">
        <v>40</v>
      </c>
      <c r="E457" s="119" t="str">
        <f t="shared" si="42"/>
        <v>3#11#84|3#12#84</v>
      </c>
      <c r="F457" s="212" t="str">
        <f t="shared" si="44"/>
        <v>极品注灵石6/元宝240000</v>
      </c>
      <c r="G457" s="47">
        <v>20</v>
      </c>
      <c r="H457" s="112"/>
    </row>
    <row r="458" spans="1:8" ht="15.75" x14ac:dyDescent="0.3">
      <c r="A458" s="47" t="s">
        <v>40</v>
      </c>
      <c r="B458" s="47" t="s">
        <v>3430</v>
      </c>
      <c r="C458" s="48" t="s">
        <v>3393</v>
      </c>
      <c r="D458" s="47">
        <v>41</v>
      </c>
      <c r="E458" s="119" t="str">
        <f t="shared" si="42"/>
        <v>3#11#91|3#12#91</v>
      </c>
      <c r="F458" s="212" t="str">
        <f t="shared" si="44"/>
        <v>极品注灵石6/元宝248000</v>
      </c>
      <c r="G458" s="47">
        <v>20</v>
      </c>
      <c r="H458" s="112"/>
    </row>
    <row r="459" spans="1:8" ht="15.75" x14ac:dyDescent="0.3">
      <c r="A459" s="47" t="s">
        <v>40</v>
      </c>
      <c r="B459" s="47" t="s">
        <v>3430</v>
      </c>
      <c r="C459" s="48" t="s">
        <v>3394</v>
      </c>
      <c r="D459" s="47">
        <v>42</v>
      </c>
      <c r="E459" s="119" t="str">
        <f t="shared" si="42"/>
        <v>3#11#93|3#12#93</v>
      </c>
      <c r="F459" s="212" t="str">
        <f t="shared" si="44"/>
        <v>极品注灵石7/元宝252000</v>
      </c>
      <c r="G459" s="47">
        <v>20</v>
      </c>
      <c r="H459" s="112"/>
    </row>
    <row r="460" spans="1:8" ht="15.75" x14ac:dyDescent="0.3">
      <c r="A460" s="47" t="s">
        <v>40</v>
      </c>
      <c r="B460" s="47" t="s">
        <v>3430</v>
      </c>
      <c r="C460" s="48" t="s">
        <v>3395</v>
      </c>
      <c r="D460" s="47">
        <v>43</v>
      </c>
      <c r="E460" s="119" t="str">
        <f t="shared" si="42"/>
        <v>3#11#95|3#12#95</v>
      </c>
      <c r="F460" s="212" t="str">
        <f t="shared" si="44"/>
        <v>极品注灵石7/元宝256000</v>
      </c>
      <c r="G460" s="47">
        <v>20</v>
      </c>
      <c r="H460" s="112"/>
    </row>
    <row r="461" spans="1:8" ht="15.75" x14ac:dyDescent="0.3">
      <c r="A461" s="47" t="s">
        <v>40</v>
      </c>
      <c r="B461" s="47" t="s">
        <v>3430</v>
      </c>
      <c r="C461" s="48" t="s">
        <v>3396</v>
      </c>
      <c r="D461" s="47">
        <v>44</v>
      </c>
      <c r="E461" s="119" t="str">
        <f t="shared" si="42"/>
        <v>3#11#97|3#12#97</v>
      </c>
      <c r="F461" s="212" t="str">
        <f t="shared" si="44"/>
        <v>极品注灵石7/元宝264000</v>
      </c>
      <c r="G461" s="47">
        <v>20</v>
      </c>
      <c r="H461" s="112"/>
    </row>
    <row r="462" spans="1:8" ht="15.75" x14ac:dyDescent="0.3">
      <c r="A462" s="47" t="s">
        <v>40</v>
      </c>
      <c r="B462" s="47" t="s">
        <v>3430</v>
      </c>
      <c r="C462" s="48" t="s">
        <v>3397</v>
      </c>
      <c r="D462" s="47">
        <v>45</v>
      </c>
      <c r="E462" s="119" t="str">
        <f>"3#11#"&amp;INT(1/3*Z48)&amp;"|"&amp;"3#12#"&amp;INT(1/3*Z48)</f>
        <v>3#11#100|3#12#100</v>
      </c>
      <c r="F462" s="212"/>
      <c r="G462" s="47"/>
      <c r="H462" s="112"/>
    </row>
    <row r="463" spans="1:8" ht="15.75" x14ac:dyDescent="0.3">
      <c r="A463" s="122" t="s">
        <v>40</v>
      </c>
      <c r="B463" s="122" t="s">
        <v>3431</v>
      </c>
      <c r="C463" s="123" t="s">
        <v>78</v>
      </c>
      <c r="D463" s="122">
        <v>0</v>
      </c>
      <c r="E463" s="125"/>
      <c r="F463" s="213" t="s">
        <v>3399</v>
      </c>
      <c r="G463" s="122">
        <v>100</v>
      </c>
      <c r="H463" s="112"/>
    </row>
    <row r="464" spans="1:8" ht="15.75" x14ac:dyDescent="0.3">
      <c r="A464" s="122" t="s">
        <v>40</v>
      </c>
      <c r="B464" s="122" t="s">
        <v>3431</v>
      </c>
      <c r="C464" s="123" t="s">
        <v>3344</v>
      </c>
      <c r="D464" s="122">
        <v>1</v>
      </c>
      <c r="E464" s="125" t="str">
        <f t="shared" ref="E464:E507" si="45">"3#9#"&amp;INT(1/3*Z4)&amp;"|"&amp;"3#10#"&amp;INT(1/3*Z4)</f>
        <v>3#9#1|3#10#1</v>
      </c>
      <c r="F464" s="213" t="s">
        <v>3400</v>
      </c>
      <c r="G464" s="122">
        <v>100</v>
      </c>
      <c r="H464" s="112"/>
    </row>
    <row r="465" spans="1:8" ht="15.75" x14ac:dyDescent="0.3">
      <c r="A465" s="122" t="s">
        <v>40</v>
      </c>
      <c r="B465" s="122" t="s">
        <v>3431</v>
      </c>
      <c r="C465" s="123" t="s">
        <v>3346</v>
      </c>
      <c r="D465" s="122">
        <v>2</v>
      </c>
      <c r="E465" s="125" t="str">
        <f t="shared" si="45"/>
        <v>3#9#2|3#10#2</v>
      </c>
      <c r="F465" s="213" t="s">
        <v>3401</v>
      </c>
      <c r="G465" s="122">
        <v>100</v>
      </c>
      <c r="H465" s="112"/>
    </row>
    <row r="466" spans="1:8" ht="15.75" x14ac:dyDescent="0.3">
      <c r="A466" s="122" t="s">
        <v>40</v>
      </c>
      <c r="B466" s="122" t="s">
        <v>3431</v>
      </c>
      <c r="C466" s="123" t="s">
        <v>3348</v>
      </c>
      <c r="D466" s="122">
        <v>3</v>
      </c>
      <c r="E466" s="125" t="str">
        <f t="shared" si="45"/>
        <v>3#9#4|3#10#4</v>
      </c>
      <c r="F466" s="213" t="s">
        <v>3402</v>
      </c>
      <c r="G466" s="122">
        <v>100</v>
      </c>
      <c r="H466" s="112"/>
    </row>
    <row r="467" spans="1:8" ht="15.75" x14ac:dyDescent="0.3">
      <c r="A467" s="122" t="s">
        <v>40</v>
      </c>
      <c r="B467" s="122" t="s">
        <v>3431</v>
      </c>
      <c r="C467" s="123" t="s">
        <v>3350</v>
      </c>
      <c r="D467" s="122">
        <v>4</v>
      </c>
      <c r="E467" s="125" t="str">
        <f t="shared" si="45"/>
        <v>3#9#5|3#10#5</v>
      </c>
      <c r="F467" s="213" t="s">
        <v>3403</v>
      </c>
      <c r="G467" s="122">
        <v>100</v>
      </c>
      <c r="H467" s="112"/>
    </row>
    <row r="468" spans="1:8" ht="15.75" x14ac:dyDescent="0.3">
      <c r="A468" s="122" t="s">
        <v>40</v>
      </c>
      <c r="B468" s="122" t="s">
        <v>3431</v>
      </c>
      <c r="C468" s="123" t="s">
        <v>3352</v>
      </c>
      <c r="D468" s="122">
        <v>5</v>
      </c>
      <c r="E468" s="125" t="str">
        <f t="shared" si="45"/>
        <v>3#9#6|3#10#6</v>
      </c>
      <c r="F468" s="213" t="s">
        <v>3404</v>
      </c>
      <c r="G468" s="122">
        <v>100</v>
      </c>
      <c r="H468" s="112"/>
    </row>
    <row r="469" spans="1:8" ht="15.75" x14ac:dyDescent="0.3">
      <c r="A469" s="122" t="s">
        <v>40</v>
      </c>
      <c r="B469" s="122" t="s">
        <v>3431</v>
      </c>
      <c r="C469" s="123" t="s">
        <v>3354</v>
      </c>
      <c r="D469" s="122">
        <v>6</v>
      </c>
      <c r="E469" s="125" t="str">
        <f t="shared" si="45"/>
        <v>3#9#8|3#10#8</v>
      </c>
      <c r="F469" s="213" t="s">
        <v>3405</v>
      </c>
      <c r="G469" s="122">
        <v>100</v>
      </c>
      <c r="H469" s="112"/>
    </row>
    <row r="470" spans="1:8" ht="15.75" x14ac:dyDescent="0.3">
      <c r="A470" s="122" t="s">
        <v>40</v>
      </c>
      <c r="B470" s="122" t="s">
        <v>3431</v>
      </c>
      <c r="C470" s="123" t="s">
        <v>3356</v>
      </c>
      <c r="D470" s="122">
        <v>7</v>
      </c>
      <c r="E470" s="125" t="str">
        <f t="shared" si="45"/>
        <v>3#9#9|3#10#9</v>
      </c>
      <c r="F470" s="213" t="s">
        <v>3406</v>
      </c>
      <c r="G470" s="122">
        <v>100</v>
      </c>
      <c r="H470" s="112"/>
    </row>
    <row r="471" spans="1:8" ht="15.75" x14ac:dyDescent="0.3">
      <c r="A471" s="122" t="s">
        <v>40</v>
      </c>
      <c r="B471" s="122" t="s">
        <v>3431</v>
      </c>
      <c r="C471" s="123" t="s">
        <v>3358</v>
      </c>
      <c r="D471" s="122">
        <v>8</v>
      </c>
      <c r="E471" s="125" t="str">
        <f t="shared" si="45"/>
        <v>3#9#11|3#10#11</v>
      </c>
      <c r="F471" s="213" t="s">
        <v>3407</v>
      </c>
      <c r="G471" s="122">
        <v>100</v>
      </c>
      <c r="H471" s="112"/>
    </row>
    <row r="472" spans="1:8" ht="15.75" x14ac:dyDescent="0.3">
      <c r="A472" s="122" t="s">
        <v>40</v>
      </c>
      <c r="B472" s="122" t="s">
        <v>3431</v>
      </c>
      <c r="C472" s="123" t="s">
        <v>3360</v>
      </c>
      <c r="D472" s="122">
        <v>9</v>
      </c>
      <c r="E472" s="125" t="str">
        <f t="shared" si="45"/>
        <v>3#9#13|3#10#13</v>
      </c>
      <c r="F472" s="213" t="s">
        <v>3408</v>
      </c>
      <c r="G472" s="122">
        <v>100</v>
      </c>
      <c r="H472" s="112"/>
    </row>
    <row r="473" spans="1:8" ht="15.75" x14ac:dyDescent="0.3">
      <c r="A473" s="122" t="s">
        <v>40</v>
      </c>
      <c r="B473" s="122" t="s">
        <v>3431</v>
      </c>
      <c r="C473" s="123" t="s">
        <v>3361</v>
      </c>
      <c r="D473" s="122">
        <v>10</v>
      </c>
      <c r="E473" s="125" t="str">
        <f t="shared" si="45"/>
        <v>3#9#14|3#10#14</v>
      </c>
      <c r="F473" s="213" t="s">
        <v>3409</v>
      </c>
      <c r="G473" s="122">
        <v>100</v>
      </c>
      <c r="H473" s="112"/>
    </row>
    <row r="474" spans="1:8" ht="15.75" x14ac:dyDescent="0.3">
      <c r="A474" s="122" t="s">
        <v>40</v>
      </c>
      <c r="B474" s="122" t="s">
        <v>3431</v>
      </c>
      <c r="C474" s="123" t="s">
        <v>3362</v>
      </c>
      <c r="D474" s="122">
        <v>11</v>
      </c>
      <c r="E474" s="125" t="str">
        <f t="shared" si="45"/>
        <v>3#9#17|3#10#17</v>
      </c>
      <c r="F474" s="213" t="s">
        <v>3410</v>
      </c>
      <c r="G474" s="122">
        <v>100</v>
      </c>
      <c r="H474" s="112"/>
    </row>
    <row r="475" spans="1:8" ht="15.75" x14ac:dyDescent="0.3">
      <c r="A475" s="122" t="s">
        <v>40</v>
      </c>
      <c r="B475" s="122" t="s">
        <v>3431</v>
      </c>
      <c r="C475" s="123" t="s">
        <v>3363</v>
      </c>
      <c r="D475" s="122">
        <v>12</v>
      </c>
      <c r="E475" s="125" t="str">
        <f t="shared" si="45"/>
        <v>3#9#18|3#10#18</v>
      </c>
      <c r="F475" s="213" t="s">
        <v>3411</v>
      </c>
      <c r="G475" s="122">
        <v>100</v>
      </c>
      <c r="H475" s="112"/>
    </row>
    <row r="476" spans="1:8" ht="15.75" x14ac:dyDescent="0.3">
      <c r="A476" s="122" t="s">
        <v>40</v>
      </c>
      <c r="B476" s="122" t="s">
        <v>3431</v>
      </c>
      <c r="C476" s="123" t="s">
        <v>3364</v>
      </c>
      <c r="D476" s="122">
        <v>13</v>
      </c>
      <c r="E476" s="125" t="str">
        <f t="shared" si="45"/>
        <v>3#9#20|3#10#20</v>
      </c>
      <c r="F476" s="213" t="s">
        <v>3412</v>
      </c>
      <c r="G476" s="122">
        <v>100</v>
      </c>
      <c r="H476" s="112"/>
    </row>
    <row r="477" spans="1:8" ht="15.75" x14ac:dyDescent="0.3">
      <c r="A477" s="122" t="s">
        <v>40</v>
      </c>
      <c r="B477" s="122" t="s">
        <v>3431</v>
      </c>
      <c r="C477" s="123" t="s">
        <v>3365</v>
      </c>
      <c r="D477" s="122">
        <v>14</v>
      </c>
      <c r="E477" s="125" t="str">
        <f t="shared" si="45"/>
        <v>3#9#21|3#10#21</v>
      </c>
      <c r="F477" s="213" t="s">
        <v>3413</v>
      </c>
      <c r="G477" s="122">
        <v>100</v>
      </c>
      <c r="H477" s="112"/>
    </row>
    <row r="478" spans="1:8" ht="15.75" x14ac:dyDescent="0.3">
      <c r="A478" s="122" t="s">
        <v>40</v>
      </c>
      <c r="B478" s="122" t="s">
        <v>3431</v>
      </c>
      <c r="C478" s="123" t="s">
        <v>3366</v>
      </c>
      <c r="D478" s="122">
        <v>15</v>
      </c>
      <c r="E478" s="125" t="str">
        <f t="shared" si="45"/>
        <v>3#9#23|3#10#23</v>
      </c>
      <c r="F478" s="213" t="str">
        <f>"上品注灵石"&amp;ROUND(AG19/2,0)&amp;"/元宝"&amp;AH18</f>
        <v>上品注灵石8/元宝60000</v>
      </c>
      <c r="G478" s="122">
        <v>30</v>
      </c>
      <c r="H478" s="112"/>
    </row>
    <row r="479" spans="1:8" ht="15.75" x14ac:dyDescent="0.3">
      <c r="A479" s="122" t="s">
        <v>40</v>
      </c>
      <c r="B479" s="122" t="s">
        <v>3432</v>
      </c>
      <c r="C479" s="123" t="s">
        <v>3368</v>
      </c>
      <c r="D479" s="122">
        <v>16</v>
      </c>
      <c r="E479" s="125" t="str">
        <f t="shared" si="45"/>
        <v>3#9#26|3#10#26</v>
      </c>
      <c r="F479" s="213" t="str">
        <f t="shared" ref="F479:F492" si="46">"上品注灵石"&amp;ROUND(AG20/2,0)&amp;"/元宝"&amp;AH19</f>
        <v>上品注灵石9/元宝64000</v>
      </c>
      <c r="G479" s="122">
        <v>30</v>
      </c>
      <c r="H479" s="112"/>
    </row>
    <row r="480" spans="1:8" ht="15.75" x14ac:dyDescent="0.3">
      <c r="A480" s="122" t="s">
        <v>40</v>
      </c>
      <c r="B480" s="122" t="s">
        <v>3432</v>
      </c>
      <c r="C480" s="123" t="s">
        <v>3369</v>
      </c>
      <c r="D480" s="122">
        <v>17</v>
      </c>
      <c r="E480" s="125" t="str">
        <f t="shared" si="45"/>
        <v>3#9#28|3#10#28</v>
      </c>
      <c r="F480" s="213" t="str">
        <f t="shared" si="46"/>
        <v>上品注灵石10/元宝72000</v>
      </c>
      <c r="G480" s="122">
        <v>30</v>
      </c>
      <c r="H480" s="112"/>
    </row>
    <row r="481" spans="1:8" ht="15.75" x14ac:dyDescent="0.3">
      <c r="A481" s="122" t="s">
        <v>40</v>
      </c>
      <c r="B481" s="122" t="s">
        <v>3432</v>
      </c>
      <c r="C481" s="123" t="s">
        <v>3370</v>
      </c>
      <c r="D481" s="122">
        <v>18</v>
      </c>
      <c r="E481" s="125" t="str">
        <f t="shared" si="45"/>
        <v>3#9#30|3#10#30</v>
      </c>
      <c r="F481" s="213" t="str">
        <f t="shared" si="46"/>
        <v>上品注灵石11/元宝80000</v>
      </c>
      <c r="G481" s="122">
        <v>30</v>
      </c>
      <c r="H481" s="112"/>
    </row>
    <row r="482" spans="1:8" ht="15.75" x14ac:dyDescent="0.3">
      <c r="A482" s="122" t="s">
        <v>40</v>
      </c>
      <c r="B482" s="122" t="s">
        <v>3432</v>
      </c>
      <c r="C482" s="123" t="s">
        <v>3371</v>
      </c>
      <c r="D482" s="122">
        <v>19</v>
      </c>
      <c r="E482" s="125" t="str">
        <f t="shared" si="45"/>
        <v>3#9#31|3#10#31</v>
      </c>
      <c r="F482" s="213" t="str">
        <f t="shared" si="46"/>
        <v>上品注灵石12/元宝88000</v>
      </c>
      <c r="G482" s="122">
        <v>30</v>
      </c>
      <c r="H482" s="112"/>
    </row>
    <row r="483" spans="1:8" ht="15.75" x14ac:dyDescent="0.3">
      <c r="A483" s="122" t="s">
        <v>40</v>
      </c>
      <c r="B483" s="122" t="s">
        <v>3432</v>
      </c>
      <c r="C483" s="123" t="s">
        <v>3372</v>
      </c>
      <c r="D483" s="122">
        <v>20</v>
      </c>
      <c r="E483" s="125" t="str">
        <f t="shared" si="45"/>
        <v>3#9#33|3#10#33</v>
      </c>
      <c r="F483" s="213" t="str">
        <f t="shared" si="46"/>
        <v>上品注灵石14/元宝96000</v>
      </c>
      <c r="G483" s="122">
        <v>25</v>
      </c>
      <c r="H483" s="112"/>
    </row>
    <row r="484" spans="1:8" ht="15.75" x14ac:dyDescent="0.3">
      <c r="A484" s="122" t="s">
        <v>40</v>
      </c>
      <c r="B484" s="122" t="s">
        <v>3432</v>
      </c>
      <c r="C484" s="123" t="s">
        <v>3373</v>
      </c>
      <c r="D484" s="122">
        <v>21</v>
      </c>
      <c r="E484" s="125" t="str">
        <f t="shared" si="45"/>
        <v>3#9#37|3#10#37</v>
      </c>
      <c r="F484" s="213" t="str">
        <f t="shared" si="46"/>
        <v>上品注灵石15/元宝108000</v>
      </c>
      <c r="G484" s="122">
        <v>25</v>
      </c>
      <c r="H484" s="112"/>
    </row>
    <row r="485" spans="1:8" ht="15.75" x14ac:dyDescent="0.3">
      <c r="A485" s="122" t="s">
        <v>40</v>
      </c>
      <c r="B485" s="122" t="s">
        <v>3432</v>
      </c>
      <c r="C485" s="123" t="s">
        <v>3374</v>
      </c>
      <c r="D485" s="122">
        <v>22</v>
      </c>
      <c r="E485" s="125" t="str">
        <f t="shared" si="45"/>
        <v>3#9#38|3#10#38</v>
      </c>
      <c r="F485" s="213" t="str">
        <f t="shared" si="46"/>
        <v>上品注灵石16/元宝116000</v>
      </c>
      <c r="G485" s="122">
        <v>25</v>
      </c>
      <c r="H485" s="112"/>
    </row>
    <row r="486" spans="1:8" ht="15.75" x14ac:dyDescent="0.3">
      <c r="A486" s="122" t="s">
        <v>40</v>
      </c>
      <c r="B486" s="122" t="s">
        <v>3432</v>
      </c>
      <c r="C486" s="123" t="s">
        <v>3375</v>
      </c>
      <c r="D486" s="122">
        <v>23</v>
      </c>
      <c r="E486" s="125" t="str">
        <f t="shared" si="45"/>
        <v>3#9#40|3#10#40</v>
      </c>
      <c r="F486" s="213" t="str">
        <f t="shared" si="46"/>
        <v>上品注灵石17/元宝124000</v>
      </c>
      <c r="G486" s="122">
        <v>25</v>
      </c>
      <c r="H486" s="112"/>
    </row>
    <row r="487" spans="1:8" ht="15.75" x14ac:dyDescent="0.3">
      <c r="A487" s="122" t="s">
        <v>40</v>
      </c>
      <c r="B487" s="122" t="s">
        <v>3432</v>
      </c>
      <c r="C487" s="123" t="s">
        <v>3376</v>
      </c>
      <c r="D487" s="122">
        <v>24</v>
      </c>
      <c r="E487" s="125" t="str">
        <f t="shared" si="45"/>
        <v>3#9#42|3#10#42</v>
      </c>
      <c r="F487" s="213" t="str">
        <f t="shared" si="46"/>
        <v>上品注灵石18/元宝136000</v>
      </c>
      <c r="G487" s="122">
        <v>25</v>
      </c>
      <c r="H487" s="112"/>
    </row>
    <row r="488" spans="1:8" ht="15.75" x14ac:dyDescent="0.3">
      <c r="A488" s="122" t="s">
        <v>40</v>
      </c>
      <c r="B488" s="122" t="s">
        <v>3432</v>
      </c>
      <c r="C488" s="123" t="s">
        <v>3377</v>
      </c>
      <c r="D488" s="122">
        <v>25</v>
      </c>
      <c r="E488" s="125" t="str">
        <f t="shared" si="45"/>
        <v>3#9#44|3#10#44</v>
      </c>
      <c r="F488" s="213" t="str">
        <f t="shared" si="46"/>
        <v>上品注灵石19/元宝144000</v>
      </c>
      <c r="G488" s="122">
        <v>25</v>
      </c>
      <c r="H488" s="112"/>
    </row>
    <row r="489" spans="1:8" ht="15.75" x14ac:dyDescent="0.3">
      <c r="A489" s="122" t="s">
        <v>40</v>
      </c>
      <c r="B489" s="122" t="s">
        <v>3432</v>
      </c>
      <c r="C489" s="123" t="s">
        <v>3378</v>
      </c>
      <c r="D489" s="122">
        <v>26</v>
      </c>
      <c r="E489" s="125" t="str">
        <f t="shared" si="45"/>
        <v>3#9#49|3#10#49</v>
      </c>
      <c r="F489" s="213" t="str">
        <f t="shared" si="46"/>
        <v>上品注灵石20/元宝152000</v>
      </c>
      <c r="G489" s="122">
        <v>25</v>
      </c>
      <c r="H489" s="112"/>
    </row>
    <row r="490" spans="1:8" ht="15.75" x14ac:dyDescent="0.3">
      <c r="A490" s="122" t="s">
        <v>40</v>
      </c>
      <c r="B490" s="122" t="s">
        <v>3432</v>
      </c>
      <c r="C490" s="123" t="s">
        <v>3379</v>
      </c>
      <c r="D490" s="122">
        <v>27</v>
      </c>
      <c r="E490" s="125" t="str">
        <f t="shared" si="45"/>
        <v>3#9#51|3#10#51</v>
      </c>
      <c r="F490" s="213" t="str">
        <f t="shared" si="46"/>
        <v>上品注灵石21/元宝156000</v>
      </c>
      <c r="G490" s="122">
        <v>25</v>
      </c>
      <c r="H490" s="112"/>
    </row>
    <row r="491" spans="1:8" ht="15.75" x14ac:dyDescent="0.3">
      <c r="A491" s="122" t="s">
        <v>40</v>
      </c>
      <c r="B491" s="122" t="s">
        <v>3432</v>
      </c>
      <c r="C491" s="123" t="s">
        <v>3380</v>
      </c>
      <c r="D491" s="122">
        <v>28</v>
      </c>
      <c r="E491" s="125" t="str">
        <f t="shared" si="45"/>
        <v>3#9#52|3#10#52</v>
      </c>
      <c r="F491" s="213" t="str">
        <f t="shared" si="46"/>
        <v>上品注灵石22/元宝164000</v>
      </c>
      <c r="G491" s="122">
        <v>25</v>
      </c>
      <c r="H491" s="112"/>
    </row>
    <row r="492" spans="1:8" ht="15.75" x14ac:dyDescent="0.3">
      <c r="A492" s="122" t="s">
        <v>40</v>
      </c>
      <c r="B492" s="122" t="s">
        <v>3432</v>
      </c>
      <c r="C492" s="123" t="s">
        <v>3381</v>
      </c>
      <c r="D492" s="122">
        <v>29</v>
      </c>
      <c r="E492" s="125" t="str">
        <f t="shared" si="45"/>
        <v>3#9#54|3#10#54</v>
      </c>
      <c r="F492" s="213" t="str">
        <f t="shared" si="46"/>
        <v>上品注灵石23/元宝172000</v>
      </c>
      <c r="G492" s="122">
        <v>25</v>
      </c>
      <c r="H492" s="112"/>
    </row>
    <row r="493" spans="1:8" ht="15.75" x14ac:dyDescent="0.3">
      <c r="A493" s="122" t="s">
        <v>40</v>
      </c>
      <c r="B493" s="122" t="s">
        <v>3432</v>
      </c>
      <c r="C493" s="123" t="s">
        <v>3382</v>
      </c>
      <c r="D493" s="122">
        <v>30</v>
      </c>
      <c r="E493" s="125" t="str">
        <f t="shared" si="45"/>
        <v>3#9#56|3#10#56</v>
      </c>
      <c r="F493" s="213" t="str">
        <f>"极品注灵石"&amp;ROUND(AG34/10,0)&amp;"/元宝"&amp;AH32</f>
        <v>极品注灵石5/元宝172000</v>
      </c>
      <c r="G493" s="122">
        <v>30</v>
      </c>
      <c r="H493" s="112"/>
    </row>
    <row r="494" spans="1:8" ht="15.75" x14ac:dyDescent="0.3">
      <c r="A494" s="122" t="s">
        <v>40</v>
      </c>
      <c r="B494" s="122" t="s">
        <v>3432</v>
      </c>
      <c r="C494" s="123" t="s">
        <v>3383</v>
      </c>
      <c r="D494" s="122">
        <v>31</v>
      </c>
      <c r="E494" s="125" t="str">
        <f t="shared" si="45"/>
        <v>3#9#61|3#10#61</v>
      </c>
      <c r="F494" s="213" t="str">
        <f t="shared" ref="F494:F507" si="47">"极品注灵石"&amp;ROUND(AG35/10,0)&amp;"/元宝"&amp;AH33</f>
        <v>极品注灵石5/元宝180000</v>
      </c>
      <c r="G494" s="122">
        <v>30</v>
      </c>
      <c r="H494" s="112"/>
    </row>
    <row r="495" spans="1:8" ht="15.75" x14ac:dyDescent="0.3">
      <c r="A495" s="122" t="s">
        <v>40</v>
      </c>
      <c r="B495" s="122" t="s">
        <v>3432</v>
      </c>
      <c r="C495" s="123" t="s">
        <v>3384</v>
      </c>
      <c r="D495" s="122">
        <v>32</v>
      </c>
      <c r="E495" s="125" t="str">
        <f t="shared" si="45"/>
        <v>3#9#63|3#10#63</v>
      </c>
      <c r="F495" s="213" t="str">
        <f t="shared" si="47"/>
        <v>极品注灵石5/元宝184000</v>
      </c>
      <c r="G495" s="122">
        <v>30</v>
      </c>
      <c r="H495" s="112"/>
    </row>
    <row r="496" spans="1:8" ht="15.75" x14ac:dyDescent="0.3">
      <c r="A496" s="122" t="s">
        <v>40</v>
      </c>
      <c r="B496" s="122" t="s">
        <v>3432</v>
      </c>
      <c r="C496" s="123" t="s">
        <v>3385</v>
      </c>
      <c r="D496" s="122">
        <v>33</v>
      </c>
      <c r="E496" s="125" t="str">
        <f t="shared" si="45"/>
        <v>3#9#66|3#10#66</v>
      </c>
      <c r="F496" s="213" t="str">
        <f t="shared" si="47"/>
        <v>极品注灵石5/元宝192000</v>
      </c>
      <c r="G496" s="122">
        <v>30</v>
      </c>
      <c r="H496" s="112"/>
    </row>
    <row r="497" spans="1:8" ht="15.75" x14ac:dyDescent="0.3">
      <c r="A497" s="122" t="s">
        <v>40</v>
      </c>
      <c r="B497" s="122" t="s">
        <v>3432</v>
      </c>
      <c r="C497" s="123" t="s">
        <v>3386</v>
      </c>
      <c r="D497" s="122">
        <v>34</v>
      </c>
      <c r="E497" s="125" t="str">
        <f t="shared" si="45"/>
        <v>3#9#67|3#10#67</v>
      </c>
      <c r="F497" s="213" t="str">
        <f t="shared" si="47"/>
        <v>极品注灵石5/元宝200000</v>
      </c>
      <c r="G497" s="122">
        <v>30</v>
      </c>
      <c r="H497" s="112"/>
    </row>
    <row r="498" spans="1:8" ht="15.75" x14ac:dyDescent="0.3">
      <c r="A498" s="122" t="s">
        <v>40</v>
      </c>
      <c r="B498" s="122" t="s">
        <v>3432</v>
      </c>
      <c r="C498" s="123" t="s">
        <v>3387</v>
      </c>
      <c r="D498" s="122">
        <v>35</v>
      </c>
      <c r="E498" s="125" t="str">
        <f t="shared" si="45"/>
        <v>3#9#69|3#10#69</v>
      </c>
      <c r="F498" s="213" t="str">
        <f t="shared" si="47"/>
        <v>极品注灵石6/元宝208000</v>
      </c>
      <c r="G498" s="122">
        <v>25</v>
      </c>
      <c r="H498" s="112"/>
    </row>
    <row r="499" spans="1:8" ht="15.75" x14ac:dyDescent="0.3">
      <c r="A499" s="122" t="s">
        <v>40</v>
      </c>
      <c r="B499" s="122" t="s">
        <v>3432</v>
      </c>
      <c r="C499" s="123" t="s">
        <v>3388</v>
      </c>
      <c r="D499" s="122">
        <v>36</v>
      </c>
      <c r="E499" s="125" t="str">
        <f t="shared" si="45"/>
        <v>3#9#76|3#10#76</v>
      </c>
      <c r="F499" s="213" t="str">
        <f t="shared" si="47"/>
        <v>极品注灵石6/元宝212000</v>
      </c>
      <c r="G499" s="122">
        <v>25</v>
      </c>
      <c r="H499" s="112"/>
    </row>
    <row r="500" spans="1:8" ht="15.75" x14ac:dyDescent="0.3">
      <c r="A500" s="122" t="s">
        <v>40</v>
      </c>
      <c r="B500" s="122" t="s">
        <v>3432</v>
      </c>
      <c r="C500" s="123" t="s">
        <v>3389</v>
      </c>
      <c r="D500" s="122">
        <v>37</v>
      </c>
      <c r="E500" s="125" t="str">
        <f t="shared" si="45"/>
        <v>3#9#77|3#10#77</v>
      </c>
      <c r="F500" s="213" t="str">
        <f t="shared" si="47"/>
        <v>极品注灵石6/元宝220000</v>
      </c>
      <c r="G500" s="122">
        <v>25</v>
      </c>
      <c r="H500" s="112"/>
    </row>
    <row r="501" spans="1:8" ht="15.75" x14ac:dyDescent="0.3">
      <c r="A501" s="122" t="s">
        <v>40</v>
      </c>
      <c r="B501" s="122" t="s">
        <v>3432</v>
      </c>
      <c r="C501" s="123" t="s">
        <v>3390</v>
      </c>
      <c r="D501" s="122">
        <v>38</v>
      </c>
      <c r="E501" s="125" t="str">
        <f t="shared" si="45"/>
        <v>3#9#80|3#10#80</v>
      </c>
      <c r="F501" s="213" t="str">
        <f t="shared" si="47"/>
        <v>极品注灵石6/元宝228000</v>
      </c>
      <c r="G501" s="122">
        <v>25</v>
      </c>
      <c r="H501" s="112"/>
    </row>
    <row r="502" spans="1:8" ht="15.75" x14ac:dyDescent="0.3">
      <c r="A502" s="122" t="s">
        <v>40</v>
      </c>
      <c r="B502" s="122" t="s">
        <v>3432</v>
      </c>
      <c r="C502" s="123" t="s">
        <v>3391</v>
      </c>
      <c r="D502" s="122">
        <v>39</v>
      </c>
      <c r="E502" s="125" t="str">
        <f t="shared" si="45"/>
        <v>3#9#82|3#10#82</v>
      </c>
      <c r="F502" s="213" t="str">
        <f t="shared" si="47"/>
        <v>极品注灵石6/元宝236000</v>
      </c>
      <c r="G502" s="122">
        <v>25</v>
      </c>
      <c r="H502" s="112"/>
    </row>
    <row r="503" spans="1:8" ht="15.75" x14ac:dyDescent="0.3">
      <c r="A503" s="122" t="s">
        <v>40</v>
      </c>
      <c r="B503" s="122" t="s">
        <v>3432</v>
      </c>
      <c r="C503" s="123" t="s">
        <v>3392</v>
      </c>
      <c r="D503" s="122">
        <v>40</v>
      </c>
      <c r="E503" s="125" t="str">
        <f t="shared" si="45"/>
        <v>3#9#84|3#10#84</v>
      </c>
      <c r="F503" s="213" t="str">
        <f t="shared" si="47"/>
        <v>极品注灵石6/元宝240000</v>
      </c>
      <c r="G503" s="122">
        <v>20</v>
      </c>
      <c r="H503" s="112"/>
    </row>
    <row r="504" spans="1:8" ht="15.75" x14ac:dyDescent="0.3">
      <c r="A504" s="122" t="s">
        <v>40</v>
      </c>
      <c r="B504" s="122" t="s">
        <v>3432</v>
      </c>
      <c r="C504" s="123" t="s">
        <v>3393</v>
      </c>
      <c r="D504" s="122">
        <v>41</v>
      </c>
      <c r="E504" s="125" t="str">
        <f t="shared" si="45"/>
        <v>3#9#91|3#10#91</v>
      </c>
      <c r="F504" s="213" t="str">
        <f t="shared" si="47"/>
        <v>极品注灵石6/元宝248000</v>
      </c>
      <c r="G504" s="122">
        <v>20</v>
      </c>
      <c r="H504" s="112"/>
    </row>
    <row r="505" spans="1:8" ht="15.75" x14ac:dyDescent="0.3">
      <c r="A505" s="122" t="s">
        <v>40</v>
      </c>
      <c r="B505" s="122" t="s">
        <v>3432</v>
      </c>
      <c r="C505" s="123" t="s">
        <v>3394</v>
      </c>
      <c r="D505" s="122">
        <v>42</v>
      </c>
      <c r="E505" s="125" t="str">
        <f t="shared" si="45"/>
        <v>3#9#93|3#10#93</v>
      </c>
      <c r="F505" s="213" t="str">
        <f t="shared" si="47"/>
        <v>极品注灵石7/元宝252000</v>
      </c>
      <c r="G505" s="122">
        <v>20</v>
      </c>
      <c r="H505" s="112"/>
    </row>
    <row r="506" spans="1:8" ht="15.75" x14ac:dyDescent="0.3">
      <c r="A506" s="122" t="s">
        <v>40</v>
      </c>
      <c r="B506" s="122" t="s">
        <v>3432</v>
      </c>
      <c r="C506" s="123" t="s">
        <v>3395</v>
      </c>
      <c r="D506" s="122">
        <v>43</v>
      </c>
      <c r="E506" s="125" t="str">
        <f t="shared" si="45"/>
        <v>3#9#95|3#10#95</v>
      </c>
      <c r="F506" s="213" t="str">
        <f t="shared" si="47"/>
        <v>极品注灵石7/元宝256000</v>
      </c>
      <c r="G506" s="122">
        <v>20</v>
      </c>
      <c r="H506" s="112"/>
    </row>
    <row r="507" spans="1:8" ht="15.75" x14ac:dyDescent="0.3">
      <c r="A507" s="122" t="s">
        <v>40</v>
      </c>
      <c r="B507" s="122" t="s">
        <v>3432</v>
      </c>
      <c r="C507" s="123" t="s">
        <v>3396</v>
      </c>
      <c r="D507" s="122">
        <v>44</v>
      </c>
      <c r="E507" s="125" t="str">
        <f t="shared" si="45"/>
        <v>3#9#97|3#10#97</v>
      </c>
      <c r="F507" s="213" t="str">
        <f t="shared" si="47"/>
        <v>极品注灵石7/元宝264000</v>
      </c>
      <c r="G507" s="122">
        <v>20</v>
      </c>
      <c r="H507" s="112"/>
    </row>
    <row r="508" spans="1:8" ht="15.75" x14ac:dyDescent="0.3">
      <c r="A508" s="122" t="s">
        <v>40</v>
      </c>
      <c r="B508" s="122" t="s">
        <v>3432</v>
      </c>
      <c r="C508" s="123" t="s">
        <v>3397</v>
      </c>
      <c r="D508" s="122">
        <v>45</v>
      </c>
      <c r="E508" s="125" t="str">
        <f>"3#9#"&amp;INT(1/3*Z48)&amp;"|"&amp;"3#10#"&amp;INT(1/3*Z48)</f>
        <v>3#9#100|3#10#100</v>
      </c>
      <c r="F508" s="213"/>
      <c r="G508" s="122"/>
      <c r="H508" s="112"/>
    </row>
  </sheetData>
  <mergeCells count="3">
    <mergeCell ref="O2:AC2"/>
    <mergeCell ref="AE2:AF2"/>
    <mergeCell ref="AG2:AH2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E102"/>
  <sheetViews>
    <sheetView topLeftCell="E1" workbookViewId="0">
      <selection activeCell="O18" sqref="O18"/>
    </sheetView>
  </sheetViews>
  <sheetFormatPr defaultRowHeight="14.25" x14ac:dyDescent="0.2"/>
  <cols>
    <col min="5" max="5" width="78.875" bestFit="1" customWidth="1"/>
    <col min="7" max="7" width="30.625" customWidth="1"/>
    <col min="9" max="13" width="9" style="159"/>
    <col min="14" max="14" width="11.875" style="159" bestFit="1" customWidth="1"/>
    <col min="15" max="15" width="16.375" style="159" bestFit="1" customWidth="1"/>
    <col min="16" max="18" width="16.375" style="159" customWidth="1"/>
    <col min="19" max="19" width="13.25" style="159" bestFit="1" customWidth="1"/>
    <col min="20" max="24" width="9" style="159"/>
    <col min="25" max="25" width="29.625" bestFit="1" customWidth="1"/>
    <col min="26" max="31" width="9" style="94"/>
  </cols>
  <sheetData>
    <row r="1" spans="1:31" ht="18" x14ac:dyDescent="0.2">
      <c r="I1" s="297" t="s">
        <v>3496</v>
      </c>
      <c r="J1" s="297"/>
      <c r="K1" s="297"/>
      <c r="L1" s="297"/>
      <c r="M1" s="297"/>
      <c r="N1" s="297" t="s">
        <v>3773</v>
      </c>
      <c r="O1" s="297"/>
      <c r="P1" s="297" t="s">
        <v>3782</v>
      </c>
      <c r="Q1" s="297"/>
      <c r="R1" s="297" t="s">
        <v>3807</v>
      </c>
      <c r="S1" s="297"/>
      <c r="T1" s="297" t="s">
        <v>3497</v>
      </c>
      <c r="U1" s="297"/>
      <c r="V1" s="297"/>
      <c r="W1" s="297"/>
      <c r="X1" s="297"/>
      <c r="Z1" s="298" t="s">
        <v>3635</v>
      </c>
      <c r="AA1" s="298"/>
      <c r="AB1" s="298"/>
      <c r="AC1" s="298"/>
      <c r="AD1" s="298"/>
      <c r="AE1" s="298"/>
    </row>
    <row r="2" spans="1:31" ht="18" x14ac:dyDescent="0.2">
      <c r="A2" s="21" t="s">
        <v>49</v>
      </c>
      <c r="B2" s="21" t="s">
        <v>50</v>
      </c>
      <c r="C2" s="21" t="s">
        <v>51</v>
      </c>
      <c r="D2" s="21" t="s">
        <v>55</v>
      </c>
      <c r="E2" s="21" t="s">
        <v>77</v>
      </c>
      <c r="F2" s="21" t="s">
        <v>61</v>
      </c>
      <c r="G2" s="21" t="s">
        <v>62</v>
      </c>
      <c r="H2" s="21" t="s">
        <v>3167</v>
      </c>
      <c r="I2" s="205" t="s">
        <v>55</v>
      </c>
      <c r="J2" s="205" t="s">
        <v>37</v>
      </c>
      <c r="K2" s="205" t="s">
        <v>38</v>
      </c>
      <c r="L2" s="205" t="s">
        <v>3</v>
      </c>
      <c r="M2" s="205" t="s">
        <v>2</v>
      </c>
      <c r="N2" s="205" t="s">
        <v>3758</v>
      </c>
      <c r="O2" s="205" t="s">
        <v>3771</v>
      </c>
      <c r="P2" s="205" t="s">
        <v>3787</v>
      </c>
      <c r="Q2" s="205" t="s">
        <v>3777</v>
      </c>
      <c r="R2" s="205" t="s">
        <v>3787</v>
      </c>
      <c r="S2" s="205" t="s">
        <v>3777</v>
      </c>
      <c r="T2" s="205" t="s">
        <v>3491</v>
      </c>
      <c r="U2" s="205" t="s">
        <v>3</v>
      </c>
      <c r="V2" s="205" t="s">
        <v>2</v>
      </c>
      <c r="W2" s="205" t="s">
        <v>3492</v>
      </c>
      <c r="X2" s="205" t="s">
        <v>3493</v>
      </c>
      <c r="Y2" s="109" t="s">
        <v>3494</v>
      </c>
      <c r="Z2" s="15" t="s">
        <v>55</v>
      </c>
      <c r="AA2" s="15" t="s">
        <v>3640</v>
      </c>
      <c r="AB2" s="15" t="s">
        <v>3641</v>
      </c>
      <c r="AC2" s="15" t="s">
        <v>1932</v>
      </c>
      <c r="AD2" s="15" t="s">
        <v>3638</v>
      </c>
      <c r="AE2" s="15" t="s">
        <v>3642</v>
      </c>
    </row>
    <row r="3" spans="1:31" ht="16.5" x14ac:dyDescent="0.3">
      <c r="A3" s="22" t="s">
        <v>35</v>
      </c>
      <c r="B3" s="22" t="s">
        <v>3443</v>
      </c>
      <c r="C3" s="22" t="s">
        <v>3444</v>
      </c>
      <c r="D3" s="22">
        <v>0</v>
      </c>
      <c r="E3" s="2"/>
      <c r="F3" s="22"/>
      <c r="G3" s="33" t="s">
        <v>3445</v>
      </c>
      <c r="H3" s="22">
        <v>40</v>
      </c>
      <c r="I3" s="158">
        <v>1</v>
      </c>
      <c r="J3" s="158">
        <f t="shared" ref="J3:J10" si="0">INT(I3/I$12*J$12)</f>
        <v>500</v>
      </c>
      <c r="K3" s="158">
        <f t="shared" ref="K3:K10" si="1">INT(I3/I$12*K$12)</f>
        <v>2000</v>
      </c>
      <c r="L3" s="158">
        <f t="shared" ref="L3:L10" si="2">INT(I3/I$12*L$12)</f>
        <v>50</v>
      </c>
      <c r="M3" s="158">
        <f t="shared" ref="M3:M10" si="3">INT(I3/I$12*M$12)</f>
        <v>25</v>
      </c>
      <c r="N3" s="158">
        <f>J3*属性价值参考!C$5+火龙元神!K3*属性价值参考!C$6+火龙元神!L3*(属性价值参考!C$7+属性价值参考!C$8)+火龙元神!M3*(属性价值参考!C$9+属性价值参考!C$10+属性价值参考!C$11+属性价值参考!C$12)</f>
        <v>10698</v>
      </c>
      <c r="O3" s="158">
        <f>AA3*属性价值参考!C$22*100+AB3*属性价值参考!C$24+AC3*属性价值参考!C$19+AD3*属性价值参考!C$15+AE3*属性价值参考!C$33</f>
        <v>748.42000000000007</v>
      </c>
      <c r="P3" s="158">
        <f t="shared" ref="P3:P11" si="4">(N3+O3)/503*1</f>
        <v>22.756302186878727</v>
      </c>
      <c r="Q3" s="158">
        <f t="shared" ref="Q3:Q11" si="5">(N3+O3)/503*3000</f>
        <v>68268.906560636184</v>
      </c>
      <c r="R3" s="158">
        <f>1/(0.4)</f>
        <v>2.5</v>
      </c>
      <c r="S3" s="158">
        <f t="shared" ref="S3:S11" si="6">R3*3000</f>
        <v>7500</v>
      </c>
      <c r="T3" s="165">
        <v>1</v>
      </c>
      <c r="U3" s="165">
        <f t="shared" ref="U3:X34" si="7">INT($T3/$T$102*U$102)</f>
        <v>2</v>
      </c>
      <c r="V3" s="165">
        <f t="shared" si="7"/>
        <v>1</v>
      </c>
      <c r="W3" s="165">
        <f t="shared" si="7"/>
        <v>20</v>
      </c>
      <c r="X3" s="165">
        <f t="shared" si="7"/>
        <v>80</v>
      </c>
      <c r="Z3" s="141">
        <v>1</v>
      </c>
      <c r="AA3" s="141">
        <v>1</v>
      </c>
      <c r="AB3" s="141">
        <v>1</v>
      </c>
      <c r="AC3" s="141">
        <v>1</v>
      </c>
      <c r="AD3" s="141">
        <v>1</v>
      </c>
      <c r="AE3" s="141">
        <v>1</v>
      </c>
    </row>
    <row r="4" spans="1:31" ht="16.5" x14ac:dyDescent="0.3">
      <c r="A4" s="22" t="s">
        <v>35</v>
      </c>
      <c r="B4" s="22" t="s">
        <v>3443</v>
      </c>
      <c r="C4" s="22" t="s">
        <v>3444</v>
      </c>
      <c r="D4" s="22">
        <v>1</v>
      </c>
      <c r="E4" s="22" t="str">
        <f t="shared" ref="E4:E12" si="8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" s="22" t="s">
        <v>3446</v>
      </c>
      <c r="G4" s="33" t="s">
        <v>3445</v>
      </c>
      <c r="H4" s="22">
        <v>40</v>
      </c>
      <c r="I4" s="158">
        <v>2</v>
      </c>
      <c r="J4" s="158">
        <f t="shared" si="0"/>
        <v>1000</v>
      </c>
      <c r="K4" s="158">
        <f t="shared" si="1"/>
        <v>4000</v>
      </c>
      <c r="L4" s="158">
        <f t="shared" si="2"/>
        <v>100</v>
      </c>
      <c r="M4" s="158">
        <f t="shared" si="3"/>
        <v>50</v>
      </c>
      <c r="N4" s="158">
        <f>J4*属性价值参考!C$5+火龙元神!K4*属性价值参考!C$6+火龙元神!L4*(属性价值参考!C$7+属性价值参考!C$8)+火龙元神!M4*(属性价值参考!C$9+属性价值参考!C$10+属性价值参考!C$11+属性价值参考!C$12)</f>
        <v>21396</v>
      </c>
      <c r="O4" s="158">
        <f>AA4*属性价值参考!C$22*100+AB4*属性价值参考!C$24+AC4*属性价值参考!C$19+AD4*属性价值参考!C$15+AE4*属性价值参考!C$33</f>
        <v>1496.8400000000001</v>
      </c>
      <c r="P4" s="158">
        <f t="shared" si="4"/>
        <v>45.512604373757455</v>
      </c>
      <c r="Q4" s="158">
        <f t="shared" si="5"/>
        <v>136537.81312127237</v>
      </c>
      <c r="R4" s="158">
        <f>1/(0.4)/(0.4)</f>
        <v>6.25</v>
      </c>
      <c r="S4" s="158">
        <f t="shared" si="6"/>
        <v>18750</v>
      </c>
      <c r="T4" s="165">
        <v>2</v>
      </c>
      <c r="U4" s="165">
        <f t="shared" si="7"/>
        <v>4</v>
      </c>
      <c r="V4" s="165">
        <f t="shared" si="7"/>
        <v>2</v>
      </c>
      <c r="W4" s="165">
        <f t="shared" si="7"/>
        <v>40</v>
      </c>
      <c r="X4" s="165">
        <f t="shared" si="7"/>
        <v>160</v>
      </c>
      <c r="Z4" s="141">
        <v>2</v>
      </c>
      <c r="AA4" s="141">
        <v>2</v>
      </c>
      <c r="AB4" s="141">
        <v>2</v>
      </c>
      <c r="AC4" s="141">
        <v>2</v>
      </c>
      <c r="AD4" s="141">
        <v>2</v>
      </c>
      <c r="AE4" s="141">
        <v>2</v>
      </c>
    </row>
    <row r="5" spans="1:31" ht="16.5" x14ac:dyDescent="0.3">
      <c r="A5" s="22" t="s">
        <v>35</v>
      </c>
      <c r="B5" s="22" t="s">
        <v>3443</v>
      </c>
      <c r="C5" s="22" t="s">
        <v>3444</v>
      </c>
      <c r="D5" s="22">
        <v>2</v>
      </c>
      <c r="E5" s="22" t="str">
        <f t="shared" si="8"/>
        <v>3#1#120|3#2#480|3#3#12|3#4#12|3#5#12|3#6#12|3#7#12|3#8#12|3#9#6|3#10#6|3#11#6|3#12#6</v>
      </c>
      <c r="F5" s="22" t="s">
        <v>3447</v>
      </c>
      <c r="G5" s="33" t="s">
        <v>3445</v>
      </c>
      <c r="H5" s="22">
        <v>40</v>
      </c>
      <c r="I5" s="158">
        <v>3</v>
      </c>
      <c r="J5" s="158">
        <f t="shared" si="0"/>
        <v>1500</v>
      </c>
      <c r="K5" s="158">
        <f t="shared" si="1"/>
        <v>6000</v>
      </c>
      <c r="L5" s="158">
        <f t="shared" si="2"/>
        <v>150</v>
      </c>
      <c r="M5" s="158">
        <f t="shared" si="3"/>
        <v>75</v>
      </c>
      <c r="N5" s="158">
        <f>J5*属性价值参考!C$5+火龙元神!K5*属性价值参考!C$6+火龙元神!L5*(属性价值参考!C$7+属性价值参考!C$8)+火龙元神!M5*(属性价值参考!C$9+属性价值参考!C$10+属性价值参考!C$11+属性价值参考!C$12)</f>
        <v>32094</v>
      </c>
      <c r="O5" s="158">
        <f>AA5*属性价值参考!C$22*100+AB5*属性价值参考!C$24+AC5*属性价值参考!C$19+AD5*属性价值参考!C$15+AE5*属性价值参考!C$33</f>
        <v>2245.2599999999993</v>
      </c>
      <c r="P5" s="158">
        <f t="shared" si="4"/>
        <v>68.268906560636182</v>
      </c>
      <c r="Q5" s="158">
        <f t="shared" si="5"/>
        <v>204806.71968190855</v>
      </c>
      <c r="R5" s="158">
        <f>1/(0.4)/(0.4)/(0.4)</f>
        <v>15.625</v>
      </c>
      <c r="S5" s="158">
        <f t="shared" si="6"/>
        <v>46875</v>
      </c>
      <c r="T5" s="165">
        <v>3</v>
      </c>
      <c r="U5" s="165">
        <f t="shared" si="7"/>
        <v>6</v>
      </c>
      <c r="V5" s="165">
        <f t="shared" si="7"/>
        <v>3</v>
      </c>
      <c r="W5" s="165">
        <f t="shared" si="7"/>
        <v>60</v>
      </c>
      <c r="X5" s="165">
        <f t="shared" si="7"/>
        <v>240</v>
      </c>
      <c r="Z5" s="141">
        <v>3</v>
      </c>
      <c r="AA5" s="141">
        <v>3</v>
      </c>
      <c r="AB5" s="141">
        <v>3</v>
      </c>
      <c r="AC5" s="141">
        <v>3</v>
      </c>
      <c r="AD5" s="141">
        <v>3</v>
      </c>
      <c r="AE5" s="141">
        <v>3</v>
      </c>
    </row>
    <row r="6" spans="1:31" ht="16.5" x14ac:dyDescent="0.3">
      <c r="A6" s="22" t="s">
        <v>35</v>
      </c>
      <c r="B6" s="22" t="s">
        <v>3443</v>
      </c>
      <c r="C6" s="22" t="s">
        <v>3444</v>
      </c>
      <c r="D6" s="22">
        <v>3</v>
      </c>
      <c r="E6" s="22" t="str">
        <f t="shared" si="8"/>
        <v>3#1#180|3#2#720|3#3#18|3#4#18|3#5#18|3#6#18|3#7#18|3#8#18|3#9#9|3#10#9|3#11#9|3#12#9</v>
      </c>
      <c r="F6" s="22" t="s">
        <v>3448</v>
      </c>
      <c r="G6" s="33" t="s">
        <v>3449</v>
      </c>
      <c r="H6" s="22">
        <v>40</v>
      </c>
      <c r="I6" s="158">
        <v>4</v>
      </c>
      <c r="J6" s="158">
        <f t="shared" si="0"/>
        <v>2000</v>
      </c>
      <c r="K6" s="158">
        <f t="shared" si="1"/>
        <v>8000</v>
      </c>
      <c r="L6" s="158">
        <f t="shared" si="2"/>
        <v>200</v>
      </c>
      <c r="M6" s="158">
        <f t="shared" si="3"/>
        <v>100</v>
      </c>
      <c r="N6" s="158">
        <f>J6*属性价值参考!C$5+火龙元神!K6*属性价值参考!C$6+火龙元神!L6*(属性价值参考!C$7+属性价值参考!C$8)+火龙元神!M6*(属性价值参考!C$9+属性价值参考!C$10+属性价值参考!C$11+属性价值参考!C$12)</f>
        <v>42792</v>
      </c>
      <c r="O6" s="158">
        <f>AA6*属性价值参考!C$22*100+AB6*属性价值参考!C$24+AC6*属性价值参考!C$19+AD6*属性价值参考!C$15+AE6*属性价值参考!C$33</f>
        <v>2993.6800000000003</v>
      </c>
      <c r="P6" s="158">
        <f t="shared" si="4"/>
        <v>91.02520874751491</v>
      </c>
      <c r="Q6" s="158">
        <f t="shared" si="5"/>
        <v>273075.62624254473</v>
      </c>
      <c r="R6" s="158">
        <f>1/(0.4)/(0.4)/(0.4)/(0.4)</f>
        <v>39.0625</v>
      </c>
      <c r="S6" s="158">
        <f t="shared" si="6"/>
        <v>117187.5</v>
      </c>
      <c r="T6" s="165">
        <v>4</v>
      </c>
      <c r="U6" s="165">
        <f t="shared" si="7"/>
        <v>8</v>
      </c>
      <c r="V6" s="165">
        <f t="shared" si="7"/>
        <v>4</v>
      </c>
      <c r="W6" s="165">
        <f t="shared" si="7"/>
        <v>80</v>
      </c>
      <c r="X6" s="165">
        <f t="shared" si="7"/>
        <v>320</v>
      </c>
      <c r="Z6" s="141">
        <v>4</v>
      </c>
      <c r="AA6" s="141">
        <v>4</v>
      </c>
      <c r="AB6" s="141">
        <v>4</v>
      </c>
      <c r="AC6" s="141">
        <v>4</v>
      </c>
      <c r="AD6" s="141">
        <v>4</v>
      </c>
      <c r="AE6" s="141">
        <v>4</v>
      </c>
    </row>
    <row r="7" spans="1:31" ht="16.5" x14ac:dyDescent="0.3">
      <c r="A7" s="22" t="s">
        <v>35</v>
      </c>
      <c r="B7" s="22" t="s">
        <v>3443</v>
      </c>
      <c r="C7" s="22" t="s">
        <v>3444</v>
      </c>
      <c r="D7" s="22">
        <v>4</v>
      </c>
      <c r="E7" s="22" t="str">
        <f t="shared" si="8"/>
        <v>3#1#240|3#2#960|3#3#24|3#4#24|3#5#24|3#6#24|3#7#24|3#8#24|3#9#12|3#10#12|3#11#12|3#12#12</v>
      </c>
      <c r="F7" s="22" t="s">
        <v>3450</v>
      </c>
      <c r="G7" s="33" t="s">
        <v>3449</v>
      </c>
      <c r="H7" s="22">
        <v>40</v>
      </c>
      <c r="I7" s="158">
        <v>5</v>
      </c>
      <c r="J7" s="158">
        <f t="shared" si="0"/>
        <v>2500</v>
      </c>
      <c r="K7" s="158">
        <f t="shared" si="1"/>
        <v>10000</v>
      </c>
      <c r="L7" s="158">
        <f t="shared" si="2"/>
        <v>250</v>
      </c>
      <c r="M7" s="158">
        <f t="shared" si="3"/>
        <v>125</v>
      </c>
      <c r="N7" s="158">
        <f>J7*属性价值参考!C$5+火龙元神!K7*属性价值参考!C$6+火龙元神!L7*(属性价值参考!C$7+属性价值参考!C$8)+火龙元神!M7*(属性价值参考!C$9+属性价值参考!C$10+属性价值参考!C$11+属性价值参考!C$12)</f>
        <v>53490</v>
      </c>
      <c r="O7" s="158">
        <f>AA7*属性价值参考!C$22*100+AB7*属性价值参考!C$24+AC7*属性价值参考!C$19+AD7*属性价值参考!C$15+AE7*属性价值参考!C$33</f>
        <v>3742.1</v>
      </c>
      <c r="P7" s="158">
        <f t="shared" si="4"/>
        <v>113.78151093439364</v>
      </c>
      <c r="Q7" s="158">
        <f t="shared" si="5"/>
        <v>341344.53280318092</v>
      </c>
      <c r="R7" s="158">
        <f>1/(0.4)/(0.4)/(0.4)/(0.4)/(0.4)</f>
        <v>97.65625</v>
      </c>
      <c r="S7" s="158">
        <f t="shared" si="6"/>
        <v>292968.75</v>
      </c>
      <c r="T7" s="165">
        <v>5</v>
      </c>
      <c r="U7" s="165">
        <f t="shared" si="7"/>
        <v>10</v>
      </c>
      <c r="V7" s="165">
        <f t="shared" si="7"/>
        <v>5</v>
      </c>
      <c r="W7" s="165">
        <f t="shared" si="7"/>
        <v>100</v>
      </c>
      <c r="X7" s="165">
        <f t="shared" si="7"/>
        <v>400</v>
      </c>
      <c r="Z7" s="141">
        <v>5</v>
      </c>
      <c r="AA7" s="141">
        <v>5</v>
      </c>
      <c r="AB7" s="141">
        <v>5</v>
      </c>
      <c r="AC7" s="141">
        <v>5</v>
      </c>
      <c r="AD7" s="141">
        <v>5</v>
      </c>
      <c r="AE7" s="141">
        <v>5</v>
      </c>
    </row>
    <row r="8" spans="1:31" ht="16.5" x14ac:dyDescent="0.3">
      <c r="A8" s="22" t="s">
        <v>35</v>
      </c>
      <c r="B8" s="22" t="s">
        <v>3443</v>
      </c>
      <c r="C8" s="22" t="s">
        <v>3444</v>
      </c>
      <c r="D8" s="22">
        <v>5</v>
      </c>
      <c r="E8" s="22" t="str">
        <f t="shared" si="8"/>
        <v>3#1#300|3#2#1200|3#3#30|3#4#30|3#5#30|3#6#30|3#7#30|3#8#30|3#9#15|3#10#15|3#11#15|3#12#15</v>
      </c>
      <c r="F8" s="22" t="s">
        <v>3451</v>
      </c>
      <c r="G8" s="33" t="s">
        <v>3449</v>
      </c>
      <c r="H8" s="22">
        <v>40</v>
      </c>
      <c r="I8" s="158">
        <v>6</v>
      </c>
      <c r="J8" s="158">
        <f t="shared" si="0"/>
        <v>3000</v>
      </c>
      <c r="K8" s="158">
        <f t="shared" si="1"/>
        <v>12000</v>
      </c>
      <c r="L8" s="158">
        <f t="shared" si="2"/>
        <v>300</v>
      </c>
      <c r="M8" s="158">
        <f t="shared" si="3"/>
        <v>150</v>
      </c>
      <c r="N8" s="158">
        <f>J8*属性价值参考!C$5+火龙元神!K8*属性价值参考!C$6+火龙元神!L8*(属性价值参考!C$7+属性价值参考!C$8)+火龙元神!M8*(属性价值参考!C$9+属性价值参考!C$10+属性价值参考!C$11+属性价值参考!C$12)</f>
        <v>64188</v>
      </c>
      <c r="O8" s="158">
        <f>AA8*属性价值参考!C$22*100+AB8*属性价值参考!C$24+AC8*属性价值参考!C$19+AD8*属性价值参考!C$15+AE8*属性价值参考!C$33</f>
        <v>4490.5199999999986</v>
      </c>
      <c r="P8" s="158">
        <f t="shared" si="4"/>
        <v>136.53781312127236</v>
      </c>
      <c r="Q8" s="158">
        <f t="shared" si="5"/>
        <v>409613.4393638171</v>
      </c>
      <c r="R8" s="158">
        <f>1/(0.4)/(0.4)/(0.4)/(0.4)/(0.4)/(0.4)</f>
        <v>244.140625</v>
      </c>
      <c r="S8" s="158">
        <f t="shared" si="6"/>
        <v>732421.875</v>
      </c>
      <c r="T8" s="165">
        <v>6</v>
      </c>
      <c r="U8" s="165">
        <f t="shared" si="7"/>
        <v>12</v>
      </c>
      <c r="V8" s="165">
        <f t="shared" si="7"/>
        <v>6</v>
      </c>
      <c r="W8" s="165">
        <f t="shared" si="7"/>
        <v>120</v>
      </c>
      <c r="X8" s="165">
        <f t="shared" si="7"/>
        <v>480</v>
      </c>
      <c r="Z8" s="141">
        <v>6</v>
      </c>
      <c r="AA8" s="141">
        <v>6</v>
      </c>
      <c r="AB8" s="141">
        <v>6</v>
      </c>
      <c r="AC8" s="141">
        <v>6</v>
      </c>
      <c r="AD8" s="141">
        <v>6</v>
      </c>
      <c r="AE8" s="141">
        <v>6</v>
      </c>
    </row>
    <row r="9" spans="1:31" ht="16.5" x14ac:dyDescent="0.3">
      <c r="A9" s="22" t="s">
        <v>35</v>
      </c>
      <c r="B9" s="22" t="s">
        <v>3443</v>
      </c>
      <c r="C9" s="22" t="s">
        <v>3444</v>
      </c>
      <c r="D9" s="22">
        <v>6</v>
      </c>
      <c r="E9" s="22" t="str">
        <f t="shared" si="8"/>
        <v>3#1#360|3#2#1440|3#3#36|3#4#36|3#5#36|3#6#36|3#7#36|3#8#36|3#9#18|3#10#18|3#11#18|3#12#18</v>
      </c>
      <c r="F9" s="22" t="s">
        <v>3452</v>
      </c>
      <c r="G9" s="33" t="s">
        <v>3449</v>
      </c>
      <c r="H9" s="22">
        <v>40</v>
      </c>
      <c r="I9" s="158">
        <v>7</v>
      </c>
      <c r="J9" s="158">
        <f t="shared" si="0"/>
        <v>3500</v>
      </c>
      <c r="K9" s="158">
        <f t="shared" si="1"/>
        <v>14000</v>
      </c>
      <c r="L9" s="158">
        <f t="shared" si="2"/>
        <v>350</v>
      </c>
      <c r="M9" s="158">
        <f t="shared" si="3"/>
        <v>175</v>
      </c>
      <c r="N9" s="158">
        <f>J9*属性价值参考!C$5+火龙元神!K9*属性价值参考!C$6+火龙元神!L9*(属性价值参考!C$7+属性价值参考!C$8)+火龙元神!M9*(属性价值参考!C$9+属性价值参考!C$10+属性价值参考!C$11+属性价值参考!C$12)</f>
        <v>74886</v>
      </c>
      <c r="O9" s="158">
        <f>AA9*属性价值参考!C$22*100+AB9*属性价值参考!C$24+AC9*属性价值参考!C$19+AD9*属性价值参考!C$15+AE9*属性价值参考!C$33</f>
        <v>5238.9399999999996</v>
      </c>
      <c r="P9" s="158">
        <f t="shared" si="4"/>
        <v>159.29411530815111</v>
      </c>
      <c r="Q9" s="158">
        <f t="shared" si="5"/>
        <v>477882.34592445334</v>
      </c>
      <c r="R9" s="158">
        <f>1/(0.4)/(0.4)/(0.4)/(0.4)/(0.4)/(0.4)/(0.4)</f>
        <v>610.3515625</v>
      </c>
      <c r="S9" s="158">
        <f t="shared" si="6"/>
        <v>1831054.6875</v>
      </c>
      <c r="T9" s="165">
        <v>7</v>
      </c>
      <c r="U9" s="165">
        <f t="shared" si="7"/>
        <v>14</v>
      </c>
      <c r="V9" s="165">
        <f t="shared" si="7"/>
        <v>7</v>
      </c>
      <c r="W9" s="165">
        <f t="shared" si="7"/>
        <v>140</v>
      </c>
      <c r="X9" s="165">
        <f t="shared" si="7"/>
        <v>560</v>
      </c>
      <c r="Z9" s="141">
        <v>7</v>
      </c>
      <c r="AA9" s="141">
        <v>7</v>
      </c>
      <c r="AB9" s="141">
        <v>7</v>
      </c>
      <c r="AC9" s="141">
        <v>7</v>
      </c>
      <c r="AD9" s="141">
        <v>7</v>
      </c>
      <c r="AE9" s="141">
        <v>7</v>
      </c>
    </row>
    <row r="10" spans="1:31" ht="16.5" x14ac:dyDescent="0.3">
      <c r="A10" s="22" t="s">
        <v>35</v>
      </c>
      <c r="B10" s="22" t="s">
        <v>3443</v>
      </c>
      <c r="C10" s="22" t="s">
        <v>3444</v>
      </c>
      <c r="D10" s="22">
        <v>7</v>
      </c>
      <c r="E10" s="22" t="str">
        <f t="shared" si="8"/>
        <v>3#1#420|3#2#1680|3#3#42|3#4#42|3#5#42|3#6#42|3#7#42|3#8#42|3#9#21|3#10#21|3#11#21|3#12#21</v>
      </c>
      <c r="F10" s="22" t="s">
        <v>3453</v>
      </c>
      <c r="G10" s="33" t="s">
        <v>3449</v>
      </c>
      <c r="H10" s="22">
        <v>40</v>
      </c>
      <c r="I10" s="158">
        <v>8</v>
      </c>
      <c r="J10" s="158">
        <f t="shared" si="0"/>
        <v>4000</v>
      </c>
      <c r="K10" s="158">
        <f t="shared" si="1"/>
        <v>16000</v>
      </c>
      <c r="L10" s="158">
        <f t="shared" si="2"/>
        <v>400</v>
      </c>
      <c r="M10" s="158">
        <f t="shared" si="3"/>
        <v>200</v>
      </c>
      <c r="N10" s="158">
        <f>J10*属性价值参考!C$5+火龙元神!K10*属性价值参考!C$6+火龙元神!L10*(属性价值参考!C$7+属性价值参考!C$8)+火龙元神!M10*(属性价值参考!C$9+属性价值参考!C$10+属性价值参考!C$11+属性价值参考!C$12)</f>
        <v>85584</v>
      </c>
      <c r="O10" s="158">
        <f>AA10*属性价值参考!C$22*100+AB10*属性价值参考!C$24+AC10*属性价值参考!C$19+AD10*属性价值参考!C$15+AE10*属性价值参考!C$33</f>
        <v>5987.3600000000006</v>
      </c>
      <c r="P10" s="158">
        <f t="shared" si="4"/>
        <v>182.05041749502982</v>
      </c>
      <c r="Q10" s="158">
        <f t="shared" si="5"/>
        <v>546151.25248508947</v>
      </c>
      <c r="R10" s="158">
        <f>1/(0.4)/(0.4)/(0.4)/(0.4)/(0.4)/(0.4)/(0.4)/(0.4)</f>
        <v>1525.87890625</v>
      </c>
      <c r="S10" s="158">
        <f t="shared" si="6"/>
        <v>4577636.71875</v>
      </c>
      <c r="T10" s="165">
        <v>8</v>
      </c>
      <c r="U10" s="165">
        <f t="shared" si="7"/>
        <v>16</v>
      </c>
      <c r="V10" s="165">
        <f t="shared" si="7"/>
        <v>8</v>
      </c>
      <c r="W10" s="165">
        <f t="shared" si="7"/>
        <v>160</v>
      </c>
      <c r="X10" s="165">
        <f t="shared" si="7"/>
        <v>640</v>
      </c>
      <c r="Z10" s="141">
        <v>8</v>
      </c>
      <c r="AA10" s="141">
        <v>8</v>
      </c>
      <c r="AB10" s="141">
        <v>8</v>
      </c>
      <c r="AC10" s="141">
        <v>8</v>
      </c>
      <c r="AD10" s="141">
        <v>8</v>
      </c>
      <c r="AE10" s="141">
        <v>8</v>
      </c>
    </row>
    <row r="11" spans="1:31" ht="16.5" x14ac:dyDescent="0.3">
      <c r="A11" s="22" t="s">
        <v>35</v>
      </c>
      <c r="B11" s="22" t="s">
        <v>3443</v>
      </c>
      <c r="C11" s="22" t="s">
        <v>3444</v>
      </c>
      <c r="D11" s="22">
        <v>8</v>
      </c>
      <c r="E11" s="22" t="str">
        <f t="shared" si="8"/>
        <v>3#1#480|3#2#1920|3#3#48|3#4#48|3#5#48|3#6#48|3#7#48|3#8#48|3#9#24|3#10#24|3#11#24|3#12#24</v>
      </c>
      <c r="F11" s="22" t="s">
        <v>3454</v>
      </c>
      <c r="G11" s="33" t="s">
        <v>3449</v>
      </c>
      <c r="H11" s="22">
        <v>40</v>
      </c>
      <c r="I11" s="158">
        <v>9</v>
      </c>
      <c r="J11" s="158">
        <f>INT(I11/I$12*J$12)</f>
        <v>4500</v>
      </c>
      <c r="K11" s="158">
        <f>INT(I11/I$12*K$12)</f>
        <v>18000</v>
      </c>
      <c r="L11" s="158">
        <f>INT(I11/I$12*L$12)</f>
        <v>450</v>
      </c>
      <c r="M11" s="158">
        <f>INT(I11/I$12*M$12)</f>
        <v>225</v>
      </c>
      <c r="N11" s="158">
        <f>J11*属性价值参考!C$5+火龙元神!K11*属性价值参考!C$6+火龙元神!L11*(属性价值参考!C$7+属性价值参考!C$8)+火龙元神!M11*(属性价值参考!C$9+属性价值参考!C$10+属性价值参考!C$11+属性价值参考!C$12)</f>
        <v>96282</v>
      </c>
      <c r="O11" s="158">
        <f>AA11*属性价值参考!C$22*100+AB11*属性价值参考!C$24+AC11*属性价值参考!C$19+AD11*属性价值参考!C$15+AE11*属性价值参考!C$33</f>
        <v>6735.78</v>
      </c>
      <c r="P11" s="158">
        <f t="shared" si="4"/>
        <v>204.80671968190853</v>
      </c>
      <c r="Q11" s="158">
        <f t="shared" si="5"/>
        <v>614420.1590457256</v>
      </c>
      <c r="R11" s="158">
        <f>1/(0.4)/(0.4)/(0.4)/(0.4)/(0.4)/(0.4)/(0.4)/(0.4)/(0.4)</f>
        <v>3814.697265625</v>
      </c>
      <c r="S11" s="158">
        <f t="shared" si="6"/>
        <v>11444091.796875</v>
      </c>
      <c r="T11" s="165">
        <v>9</v>
      </c>
      <c r="U11" s="165">
        <f t="shared" si="7"/>
        <v>18</v>
      </c>
      <c r="V11" s="165">
        <f t="shared" si="7"/>
        <v>9</v>
      </c>
      <c r="W11" s="165">
        <f t="shared" si="7"/>
        <v>180</v>
      </c>
      <c r="X11" s="165">
        <f t="shared" si="7"/>
        <v>720</v>
      </c>
      <c r="Z11" s="141">
        <v>9</v>
      </c>
      <c r="AA11" s="141">
        <v>9</v>
      </c>
      <c r="AB11" s="141">
        <v>9</v>
      </c>
      <c r="AC11" s="141">
        <v>9</v>
      </c>
      <c r="AD11" s="141">
        <v>9</v>
      </c>
      <c r="AE11" s="141">
        <v>9</v>
      </c>
    </row>
    <row r="12" spans="1:31" ht="16.5" x14ac:dyDescent="0.3">
      <c r="A12" s="22" t="s">
        <v>35</v>
      </c>
      <c r="B12" s="22" t="s">
        <v>3443</v>
      </c>
      <c r="C12" s="22" t="s">
        <v>3444</v>
      </c>
      <c r="D12" s="22">
        <v>9</v>
      </c>
      <c r="E12" s="22" t="str">
        <f t="shared" si="8"/>
        <v>3#1#540|3#2#2160|3#3#54|3#4#54|3#5#54|3#6#54|3#7#54|3#8#54|3#9#27|3#10#27|3#11#27|3#12#27</v>
      </c>
      <c r="F12" s="22" t="s">
        <v>3455</v>
      </c>
      <c r="G12" s="33" t="s">
        <v>3449</v>
      </c>
      <c r="H12" s="22">
        <v>40</v>
      </c>
      <c r="I12" s="158">
        <v>10</v>
      </c>
      <c r="J12" s="158">
        <f>养成属性分配!AP31</f>
        <v>5000</v>
      </c>
      <c r="K12" s="158">
        <f>养成属性分配!AQ31</f>
        <v>20000</v>
      </c>
      <c r="L12" s="158">
        <f>养成属性分配!AR31</f>
        <v>500</v>
      </c>
      <c r="M12" s="158">
        <f>养成属性分配!AS31</f>
        <v>250</v>
      </c>
      <c r="N12" s="158">
        <f>J12*属性价值参考!C$5+火龙元神!K12*属性价值参考!C$6+火龙元神!L12*(属性价值参考!C$7+属性价值参考!C$8)+火龙元神!M12*(属性价值参考!C$9+属性价值参考!C$10+属性价值参考!C$11+属性价值参考!C$12)</f>
        <v>106980</v>
      </c>
      <c r="O12" s="158">
        <f>AA12*属性价值参考!C$22*100+AB12*属性价值参考!C$24+AC12*属性价值参考!C$19+AD12*属性价值参考!C$15+AE12*属性价值参考!C$33</f>
        <v>7484.2</v>
      </c>
      <c r="P12" s="158">
        <f>(N12+O12)/503*1</f>
        <v>227.56302186878727</v>
      </c>
      <c r="Q12" s="158">
        <f>(N12+O12)/503*3000</f>
        <v>682689.06560636184</v>
      </c>
      <c r="R12" s="158">
        <f>1/(0.4)/(0.4)/(0.4)/(0.4)/(0.4)/(0.4)/(0.4)/(0.4)/(0.4)/(0.4)</f>
        <v>9536.7431640625</v>
      </c>
      <c r="S12" s="158">
        <f>R12*3000</f>
        <v>28610229.4921875</v>
      </c>
      <c r="T12" s="165">
        <v>10</v>
      </c>
      <c r="U12" s="165">
        <f t="shared" si="7"/>
        <v>20</v>
      </c>
      <c r="V12" s="165">
        <f t="shared" si="7"/>
        <v>10</v>
      </c>
      <c r="W12" s="165">
        <f t="shared" si="7"/>
        <v>200</v>
      </c>
      <c r="X12" s="165">
        <f t="shared" si="7"/>
        <v>800</v>
      </c>
      <c r="Z12" s="141">
        <v>10</v>
      </c>
      <c r="AA12" s="141">
        <v>10</v>
      </c>
      <c r="AB12" s="141">
        <v>10</v>
      </c>
      <c r="AC12" s="141">
        <v>10</v>
      </c>
      <c r="AD12" s="141">
        <v>10</v>
      </c>
      <c r="AE12" s="141">
        <v>10</v>
      </c>
    </row>
    <row r="13" spans="1:31" ht="18" x14ac:dyDescent="0.3">
      <c r="A13" s="22" t="s">
        <v>35</v>
      </c>
      <c r="B13" s="22" t="s">
        <v>3443</v>
      </c>
      <c r="C13" s="22" t="s">
        <v>3444</v>
      </c>
      <c r="D13" s="22">
        <v>10</v>
      </c>
      <c r="E13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13" s="22" t="s">
        <v>3456</v>
      </c>
      <c r="G13" s="33"/>
      <c r="H13" s="22"/>
      <c r="I13" s="297" t="s">
        <v>3495</v>
      </c>
      <c r="J13" s="297"/>
      <c r="K13" s="297"/>
      <c r="L13" s="297"/>
      <c r="M13" s="297"/>
      <c r="N13" s="193"/>
      <c r="O13" s="193"/>
      <c r="P13" s="193"/>
      <c r="Q13" s="193"/>
      <c r="R13" s="193"/>
      <c r="T13" s="165">
        <v>11</v>
      </c>
      <c r="U13" s="165">
        <f t="shared" si="7"/>
        <v>22</v>
      </c>
      <c r="V13" s="165">
        <f t="shared" si="7"/>
        <v>11</v>
      </c>
      <c r="W13" s="165">
        <f t="shared" si="7"/>
        <v>220</v>
      </c>
      <c r="X13" s="165">
        <f t="shared" si="7"/>
        <v>880</v>
      </c>
    </row>
    <row r="14" spans="1:31" ht="18" x14ac:dyDescent="0.3">
      <c r="A14" s="22" t="s">
        <v>35</v>
      </c>
      <c r="B14" s="22" t="s">
        <v>3443</v>
      </c>
      <c r="C14" s="22" t="s">
        <v>3457</v>
      </c>
      <c r="D14" s="22">
        <v>0</v>
      </c>
      <c r="E14" s="2"/>
      <c r="F14" s="22"/>
      <c r="G14" s="33" t="s">
        <v>3445</v>
      </c>
      <c r="H14" s="22">
        <v>40</v>
      </c>
      <c r="I14" s="205" t="s">
        <v>55</v>
      </c>
      <c r="J14" s="205" t="s">
        <v>37</v>
      </c>
      <c r="K14" s="205" t="s">
        <v>38</v>
      </c>
      <c r="L14" s="205" t="s">
        <v>3</v>
      </c>
      <c r="M14" s="205" t="s">
        <v>2</v>
      </c>
      <c r="N14" s="193"/>
      <c r="O14" s="193"/>
      <c r="P14" s="193"/>
      <c r="Q14" s="193"/>
      <c r="R14" s="193"/>
      <c r="T14" s="165">
        <v>12</v>
      </c>
      <c r="U14" s="165">
        <f t="shared" si="7"/>
        <v>24</v>
      </c>
      <c r="V14" s="165">
        <f t="shared" si="7"/>
        <v>12</v>
      </c>
      <c r="W14" s="165">
        <f t="shared" si="7"/>
        <v>240</v>
      </c>
      <c r="X14" s="165">
        <f t="shared" si="7"/>
        <v>960</v>
      </c>
    </row>
    <row r="15" spans="1:31" ht="16.5" x14ac:dyDescent="0.3">
      <c r="A15" s="22" t="s">
        <v>35</v>
      </c>
      <c r="B15" s="22" t="s">
        <v>3443</v>
      </c>
      <c r="C15" s="22" t="s">
        <v>3457</v>
      </c>
      <c r="D15" s="22">
        <v>1</v>
      </c>
      <c r="E15" s="22" t="str">
        <f t="shared" ref="E15:E23" si="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15" s="22" t="s">
        <v>3458</v>
      </c>
      <c r="G15" s="33" t="s">
        <v>3445</v>
      </c>
      <c r="H15" s="22">
        <v>40</v>
      </c>
      <c r="I15" s="158">
        <v>1</v>
      </c>
      <c r="J15" s="158">
        <f t="shared" ref="J15:J22" si="10">INT(I15/I$24*J$24)</f>
        <v>300</v>
      </c>
      <c r="K15" s="158">
        <f t="shared" ref="K15:K22" si="11">INT(I15/I$24*K$24)</f>
        <v>1200</v>
      </c>
      <c r="L15" s="158">
        <f t="shared" ref="L15:L22" si="12">INT(I15/I$24*L$24)</f>
        <v>30</v>
      </c>
      <c r="M15" s="158">
        <f t="shared" ref="M15:M22" si="13">INT(I15/I$24*M$24)</f>
        <v>15</v>
      </c>
      <c r="N15" s="193"/>
      <c r="O15" s="193"/>
      <c r="P15" s="193"/>
      <c r="Q15" s="193"/>
      <c r="R15" s="193"/>
      <c r="T15" s="165">
        <v>13</v>
      </c>
      <c r="U15" s="165">
        <f t="shared" si="7"/>
        <v>26</v>
      </c>
      <c r="V15" s="165">
        <f t="shared" si="7"/>
        <v>13</v>
      </c>
      <c r="W15" s="165">
        <f t="shared" si="7"/>
        <v>260</v>
      </c>
      <c r="X15" s="165">
        <f t="shared" si="7"/>
        <v>1040</v>
      </c>
    </row>
    <row r="16" spans="1:31" ht="16.5" x14ac:dyDescent="0.3">
      <c r="A16" s="22" t="s">
        <v>35</v>
      </c>
      <c r="B16" s="22" t="s">
        <v>3443</v>
      </c>
      <c r="C16" s="22" t="s">
        <v>3457</v>
      </c>
      <c r="D16" s="22">
        <v>2</v>
      </c>
      <c r="E16" s="22" t="str">
        <f t="shared" si="9"/>
        <v>3#1#120|3#2#480|3#3#12|3#4#12|3#5#12|3#6#12|3#7#12|3#8#12|3#9#6|3#10#6|3#11#6|3#12#6</v>
      </c>
      <c r="F16" s="22" t="s">
        <v>3459</v>
      </c>
      <c r="G16" s="33" t="s">
        <v>3445</v>
      </c>
      <c r="H16" s="22">
        <v>40</v>
      </c>
      <c r="I16" s="158">
        <v>2</v>
      </c>
      <c r="J16" s="158">
        <f t="shared" si="10"/>
        <v>600</v>
      </c>
      <c r="K16" s="158">
        <f t="shared" si="11"/>
        <v>2400</v>
      </c>
      <c r="L16" s="158">
        <f t="shared" si="12"/>
        <v>60</v>
      </c>
      <c r="M16" s="158">
        <f t="shared" si="13"/>
        <v>30</v>
      </c>
      <c r="N16" s="193"/>
      <c r="O16" s="193"/>
      <c r="P16" s="193"/>
      <c r="Q16" s="193"/>
      <c r="R16" s="193"/>
      <c r="T16" s="165">
        <v>14</v>
      </c>
      <c r="U16" s="165">
        <f t="shared" si="7"/>
        <v>28</v>
      </c>
      <c r="V16" s="165">
        <f t="shared" si="7"/>
        <v>14</v>
      </c>
      <c r="W16" s="165">
        <f t="shared" si="7"/>
        <v>280</v>
      </c>
      <c r="X16" s="165">
        <f t="shared" si="7"/>
        <v>1120</v>
      </c>
    </row>
    <row r="17" spans="1:24" ht="16.5" x14ac:dyDescent="0.3">
      <c r="A17" s="22" t="s">
        <v>35</v>
      </c>
      <c r="B17" s="22" t="s">
        <v>3443</v>
      </c>
      <c r="C17" s="22" t="s">
        <v>3457</v>
      </c>
      <c r="D17" s="22">
        <v>3</v>
      </c>
      <c r="E17" s="22" t="str">
        <f t="shared" si="9"/>
        <v>3#1#180|3#2#720|3#3#18|3#4#18|3#5#18|3#6#18|3#7#18|3#8#18|3#9#9|3#10#9|3#11#9|3#12#9</v>
      </c>
      <c r="F17" s="22" t="s">
        <v>3460</v>
      </c>
      <c r="G17" s="33" t="s">
        <v>3449</v>
      </c>
      <c r="H17" s="22">
        <v>40</v>
      </c>
      <c r="I17" s="158">
        <v>3</v>
      </c>
      <c r="J17" s="158">
        <f t="shared" si="10"/>
        <v>900</v>
      </c>
      <c r="K17" s="158">
        <f t="shared" si="11"/>
        <v>3600</v>
      </c>
      <c r="L17" s="158">
        <f t="shared" si="12"/>
        <v>90</v>
      </c>
      <c r="M17" s="158">
        <f t="shared" si="13"/>
        <v>45</v>
      </c>
      <c r="N17" s="193"/>
      <c r="O17" s="193"/>
      <c r="P17" s="193"/>
      <c r="Q17" s="193"/>
      <c r="R17" s="193"/>
      <c r="T17" s="165">
        <v>15</v>
      </c>
      <c r="U17" s="165">
        <f t="shared" si="7"/>
        <v>30</v>
      </c>
      <c r="V17" s="165">
        <f t="shared" si="7"/>
        <v>15</v>
      </c>
      <c r="W17" s="165">
        <f t="shared" si="7"/>
        <v>300</v>
      </c>
      <c r="X17" s="165">
        <f t="shared" si="7"/>
        <v>1200</v>
      </c>
    </row>
    <row r="18" spans="1:24" ht="16.5" x14ac:dyDescent="0.3">
      <c r="A18" s="22" t="s">
        <v>35</v>
      </c>
      <c r="B18" s="22" t="s">
        <v>3443</v>
      </c>
      <c r="C18" s="22" t="s">
        <v>3457</v>
      </c>
      <c r="D18" s="22">
        <v>4</v>
      </c>
      <c r="E18" s="22" t="str">
        <f t="shared" si="9"/>
        <v>3#1#240|3#2#960|3#3#24|3#4#24|3#5#24|3#6#24|3#7#24|3#8#24|3#9#12|3#10#12|3#11#12|3#12#12</v>
      </c>
      <c r="F18" s="22" t="s">
        <v>3461</v>
      </c>
      <c r="G18" s="33" t="s">
        <v>3449</v>
      </c>
      <c r="H18" s="22">
        <v>40</v>
      </c>
      <c r="I18" s="158">
        <v>4</v>
      </c>
      <c r="J18" s="158">
        <f t="shared" si="10"/>
        <v>1200</v>
      </c>
      <c r="K18" s="158">
        <f t="shared" si="11"/>
        <v>4800</v>
      </c>
      <c r="L18" s="158">
        <f t="shared" si="12"/>
        <v>120</v>
      </c>
      <c r="M18" s="158">
        <f t="shared" si="13"/>
        <v>60</v>
      </c>
      <c r="N18" s="193"/>
      <c r="O18" s="193"/>
      <c r="P18" s="193"/>
      <c r="Q18" s="193"/>
      <c r="R18" s="193"/>
      <c r="T18" s="165">
        <v>16</v>
      </c>
      <c r="U18" s="165">
        <f t="shared" si="7"/>
        <v>32</v>
      </c>
      <c r="V18" s="165">
        <f t="shared" si="7"/>
        <v>16</v>
      </c>
      <c r="W18" s="165">
        <f t="shared" si="7"/>
        <v>320</v>
      </c>
      <c r="X18" s="165">
        <f t="shared" si="7"/>
        <v>1280</v>
      </c>
    </row>
    <row r="19" spans="1:24" ht="16.5" x14ac:dyDescent="0.3">
      <c r="A19" s="22" t="s">
        <v>35</v>
      </c>
      <c r="B19" s="22" t="s">
        <v>3443</v>
      </c>
      <c r="C19" s="22" t="s">
        <v>3457</v>
      </c>
      <c r="D19" s="22">
        <v>5</v>
      </c>
      <c r="E19" s="22" t="str">
        <f t="shared" si="9"/>
        <v>3#1#300|3#2#1200|3#3#30|3#4#30|3#5#30|3#6#30|3#7#30|3#8#30|3#9#15|3#10#15|3#11#15|3#12#15</v>
      </c>
      <c r="F19" s="22" t="s">
        <v>3462</v>
      </c>
      <c r="G19" s="33" t="s">
        <v>3449</v>
      </c>
      <c r="H19" s="22">
        <v>40</v>
      </c>
      <c r="I19" s="158">
        <v>5</v>
      </c>
      <c r="J19" s="158">
        <f t="shared" si="10"/>
        <v>1500</v>
      </c>
      <c r="K19" s="158">
        <f t="shared" si="11"/>
        <v>6000</v>
      </c>
      <c r="L19" s="158">
        <f t="shared" si="12"/>
        <v>150</v>
      </c>
      <c r="M19" s="158">
        <f t="shared" si="13"/>
        <v>75</v>
      </c>
      <c r="N19" s="193"/>
      <c r="O19" s="193"/>
      <c r="P19" s="193"/>
      <c r="Q19" s="193"/>
      <c r="R19" s="193"/>
      <c r="T19" s="165">
        <v>17</v>
      </c>
      <c r="U19" s="165">
        <f t="shared" si="7"/>
        <v>34</v>
      </c>
      <c r="V19" s="165">
        <f t="shared" si="7"/>
        <v>17</v>
      </c>
      <c r="W19" s="165">
        <f t="shared" si="7"/>
        <v>340</v>
      </c>
      <c r="X19" s="165">
        <f t="shared" si="7"/>
        <v>1360</v>
      </c>
    </row>
    <row r="20" spans="1:24" ht="16.5" x14ac:dyDescent="0.3">
      <c r="A20" s="22" t="s">
        <v>35</v>
      </c>
      <c r="B20" s="22" t="s">
        <v>3443</v>
      </c>
      <c r="C20" s="22" t="s">
        <v>3457</v>
      </c>
      <c r="D20" s="22">
        <v>6</v>
      </c>
      <c r="E20" s="22" t="str">
        <f t="shared" si="9"/>
        <v>3#1#360|3#2#1440|3#3#36|3#4#36|3#5#36|3#6#36|3#7#36|3#8#36|3#9#18|3#10#18|3#11#18|3#12#18</v>
      </c>
      <c r="F20" s="22" t="s">
        <v>3463</v>
      </c>
      <c r="G20" s="33" t="s">
        <v>3449</v>
      </c>
      <c r="H20" s="22">
        <v>40</v>
      </c>
      <c r="I20" s="158">
        <v>6</v>
      </c>
      <c r="J20" s="158">
        <f t="shared" si="10"/>
        <v>1800</v>
      </c>
      <c r="K20" s="158">
        <f t="shared" si="11"/>
        <v>7200</v>
      </c>
      <c r="L20" s="158">
        <f t="shared" si="12"/>
        <v>180</v>
      </c>
      <c r="M20" s="158">
        <f t="shared" si="13"/>
        <v>90</v>
      </c>
      <c r="N20" s="193"/>
      <c r="O20" s="193"/>
      <c r="P20" s="193"/>
      <c r="Q20" s="193"/>
      <c r="R20" s="193"/>
      <c r="T20" s="165">
        <v>18</v>
      </c>
      <c r="U20" s="165">
        <f t="shared" si="7"/>
        <v>36</v>
      </c>
      <c r="V20" s="165">
        <f t="shared" si="7"/>
        <v>18</v>
      </c>
      <c r="W20" s="165">
        <f t="shared" si="7"/>
        <v>360</v>
      </c>
      <c r="X20" s="165">
        <f t="shared" si="7"/>
        <v>1440</v>
      </c>
    </row>
    <row r="21" spans="1:24" ht="16.5" x14ac:dyDescent="0.3">
      <c r="A21" s="22" t="s">
        <v>35</v>
      </c>
      <c r="B21" s="22" t="s">
        <v>3443</v>
      </c>
      <c r="C21" s="22" t="s">
        <v>3457</v>
      </c>
      <c r="D21" s="22">
        <v>7</v>
      </c>
      <c r="E21" s="22" t="str">
        <f t="shared" si="9"/>
        <v>3#1#420|3#2#1680|3#3#42|3#4#42|3#5#42|3#6#42|3#7#42|3#8#42|3#9#21|3#10#21|3#11#21|3#12#21</v>
      </c>
      <c r="F21" s="22" t="s">
        <v>3464</v>
      </c>
      <c r="G21" s="33" t="s">
        <v>3449</v>
      </c>
      <c r="H21" s="22">
        <v>40</v>
      </c>
      <c r="I21" s="158">
        <v>7</v>
      </c>
      <c r="J21" s="158">
        <f t="shared" si="10"/>
        <v>2100</v>
      </c>
      <c r="K21" s="158">
        <f t="shared" si="11"/>
        <v>8400</v>
      </c>
      <c r="L21" s="158">
        <f t="shared" si="12"/>
        <v>210</v>
      </c>
      <c r="M21" s="158">
        <f t="shared" si="13"/>
        <v>105</v>
      </c>
      <c r="N21" s="193"/>
      <c r="O21" s="193"/>
      <c r="P21" s="193"/>
      <c r="Q21" s="193"/>
      <c r="R21" s="193"/>
      <c r="T21" s="165">
        <v>19</v>
      </c>
      <c r="U21" s="165">
        <f t="shared" si="7"/>
        <v>38</v>
      </c>
      <c r="V21" s="165">
        <f t="shared" si="7"/>
        <v>19</v>
      </c>
      <c r="W21" s="165">
        <f t="shared" si="7"/>
        <v>380</v>
      </c>
      <c r="X21" s="165">
        <f t="shared" si="7"/>
        <v>1520</v>
      </c>
    </row>
    <row r="22" spans="1:24" ht="16.5" x14ac:dyDescent="0.3">
      <c r="A22" s="22" t="s">
        <v>35</v>
      </c>
      <c r="B22" s="22" t="s">
        <v>3443</v>
      </c>
      <c r="C22" s="22" t="s">
        <v>3457</v>
      </c>
      <c r="D22" s="22">
        <v>8</v>
      </c>
      <c r="E22" s="22" t="str">
        <f t="shared" si="9"/>
        <v>3#1#480|3#2#1920|3#3#48|3#4#48|3#5#48|3#6#48|3#7#48|3#8#48|3#9#24|3#10#24|3#11#24|3#12#24</v>
      </c>
      <c r="F22" s="22" t="s">
        <v>3465</v>
      </c>
      <c r="G22" s="33" t="s">
        <v>3449</v>
      </c>
      <c r="H22" s="22">
        <v>40</v>
      </c>
      <c r="I22" s="158">
        <v>8</v>
      </c>
      <c r="J22" s="158">
        <f t="shared" si="10"/>
        <v>2400</v>
      </c>
      <c r="K22" s="158">
        <f t="shared" si="11"/>
        <v>9600</v>
      </c>
      <c r="L22" s="158">
        <f t="shared" si="12"/>
        <v>240</v>
      </c>
      <c r="M22" s="158">
        <f t="shared" si="13"/>
        <v>120</v>
      </c>
      <c r="N22" s="193"/>
      <c r="O22" s="193"/>
      <c r="P22" s="193"/>
      <c r="Q22" s="193"/>
      <c r="R22" s="193"/>
      <c r="T22" s="165">
        <v>20</v>
      </c>
      <c r="U22" s="165">
        <f t="shared" si="7"/>
        <v>40</v>
      </c>
      <c r="V22" s="165">
        <f t="shared" si="7"/>
        <v>20</v>
      </c>
      <c r="W22" s="165">
        <f t="shared" si="7"/>
        <v>400</v>
      </c>
      <c r="X22" s="165">
        <f t="shared" si="7"/>
        <v>1600</v>
      </c>
    </row>
    <row r="23" spans="1:24" ht="16.5" x14ac:dyDescent="0.3">
      <c r="A23" s="22" t="s">
        <v>35</v>
      </c>
      <c r="B23" s="22" t="s">
        <v>3443</v>
      </c>
      <c r="C23" s="22" t="s">
        <v>3457</v>
      </c>
      <c r="D23" s="22">
        <v>9</v>
      </c>
      <c r="E23" s="22" t="str">
        <f t="shared" si="9"/>
        <v>3#1#540|3#2#2160|3#3#54|3#4#54|3#5#54|3#6#54|3#7#54|3#8#54|3#9#27|3#10#27|3#11#27|3#12#27</v>
      </c>
      <c r="F23" s="22" t="s">
        <v>3466</v>
      </c>
      <c r="G23" s="33" t="s">
        <v>3449</v>
      </c>
      <c r="H23" s="22">
        <v>40</v>
      </c>
      <c r="I23" s="158">
        <v>9</v>
      </c>
      <c r="J23" s="158">
        <f>INT(I23/I$24*J$24)</f>
        <v>2700</v>
      </c>
      <c r="K23" s="158">
        <f>INT(I23/I$24*K$24)</f>
        <v>10800</v>
      </c>
      <c r="L23" s="158">
        <f>INT(I23/I$24*L$24)</f>
        <v>270</v>
      </c>
      <c r="M23" s="158">
        <f>INT(I23/I$24*M$24)</f>
        <v>135</v>
      </c>
      <c r="N23" s="193"/>
      <c r="O23" s="193"/>
      <c r="P23" s="193"/>
      <c r="Q23" s="193"/>
      <c r="R23" s="193"/>
      <c r="T23" s="165">
        <v>21</v>
      </c>
      <c r="U23" s="165">
        <f t="shared" si="7"/>
        <v>42</v>
      </c>
      <c r="V23" s="165">
        <f t="shared" si="7"/>
        <v>21</v>
      </c>
      <c r="W23" s="165">
        <f t="shared" si="7"/>
        <v>420</v>
      </c>
      <c r="X23" s="165">
        <f t="shared" si="7"/>
        <v>1680</v>
      </c>
    </row>
    <row r="24" spans="1:24" ht="16.5" x14ac:dyDescent="0.3">
      <c r="A24" s="22" t="s">
        <v>35</v>
      </c>
      <c r="B24" s="22" t="s">
        <v>3443</v>
      </c>
      <c r="C24" s="22" t="s">
        <v>3457</v>
      </c>
      <c r="D24" s="22">
        <v>10</v>
      </c>
      <c r="E24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24" s="22" t="s">
        <v>3467</v>
      </c>
      <c r="G24" s="33"/>
      <c r="H24" s="22"/>
      <c r="I24" s="158">
        <v>10</v>
      </c>
      <c r="J24" s="158">
        <f>INT(3/5*J12)</f>
        <v>3000</v>
      </c>
      <c r="K24" s="158">
        <f>INT(3/5*K12)</f>
        <v>12000</v>
      </c>
      <c r="L24" s="158">
        <f>INT(3/5*L12)</f>
        <v>300</v>
      </c>
      <c r="M24" s="158">
        <f>INT(3/5*M12)</f>
        <v>150</v>
      </c>
      <c r="N24" s="193"/>
      <c r="O24" s="193"/>
      <c r="P24" s="193"/>
      <c r="Q24" s="193"/>
      <c r="R24" s="193"/>
      <c r="T24" s="165">
        <v>22</v>
      </c>
      <c r="U24" s="165">
        <f t="shared" si="7"/>
        <v>44</v>
      </c>
      <c r="V24" s="165">
        <f t="shared" si="7"/>
        <v>22</v>
      </c>
      <c r="W24" s="165">
        <f t="shared" si="7"/>
        <v>440</v>
      </c>
      <c r="X24" s="165">
        <f t="shared" si="7"/>
        <v>1760</v>
      </c>
    </row>
    <row r="25" spans="1:24" ht="16.5" x14ac:dyDescent="0.3">
      <c r="A25" s="22" t="s">
        <v>35</v>
      </c>
      <c r="B25" s="22" t="s">
        <v>3443</v>
      </c>
      <c r="C25" s="22" t="s">
        <v>3468</v>
      </c>
      <c r="D25" s="22">
        <v>0</v>
      </c>
      <c r="E25" s="2"/>
      <c r="F25" s="22"/>
      <c r="G25" s="33" t="s">
        <v>3445</v>
      </c>
      <c r="H25" s="22">
        <v>40</v>
      </c>
      <c r="T25" s="165">
        <v>23</v>
      </c>
      <c r="U25" s="165">
        <f t="shared" si="7"/>
        <v>46</v>
      </c>
      <c r="V25" s="165">
        <f t="shared" si="7"/>
        <v>23</v>
      </c>
      <c r="W25" s="165">
        <f t="shared" si="7"/>
        <v>460</v>
      </c>
      <c r="X25" s="165">
        <f t="shared" si="7"/>
        <v>1840</v>
      </c>
    </row>
    <row r="26" spans="1:24" ht="16.5" x14ac:dyDescent="0.3">
      <c r="A26" s="22" t="s">
        <v>35</v>
      </c>
      <c r="B26" s="22" t="s">
        <v>3443</v>
      </c>
      <c r="C26" s="22" t="s">
        <v>3468</v>
      </c>
      <c r="D26" s="22">
        <v>1</v>
      </c>
      <c r="E26" s="22" t="str">
        <f t="shared" ref="E26:E34" si="14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26" s="22" t="s">
        <v>3469</v>
      </c>
      <c r="G26" s="33" t="s">
        <v>3445</v>
      </c>
      <c r="H26" s="22">
        <v>40</v>
      </c>
      <c r="T26" s="165">
        <v>24</v>
      </c>
      <c r="U26" s="165">
        <f t="shared" si="7"/>
        <v>48</v>
      </c>
      <c r="V26" s="165">
        <f t="shared" si="7"/>
        <v>24</v>
      </c>
      <c r="W26" s="165">
        <f t="shared" si="7"/>
        <v>480</v>
      </c>
      <c r="X26" s="165">
        <f t="shared" si="7"/>
        <v>1920</v>
      </c>
    </row>
    <row r="27" spans="1:24" ht="16.5" x14ac:dyDescent="0.3">
      <c r="A27" s="22" t="s">
        <v>35</v>
      </c>
      <c r="B27" s="22" t="s">
        <v>3443</v>
      </c>
      <c r="C27" s="22" t="s">
        <v>3468</v>
      </c>
      <c r="D27" s="22">
        <v>2</v>
      </c>
      <c r="E27" s="22" t="str">
        <f t="shared" si="14"/>
        <v>3#1#120|3#2#480|3#3#12|3#4#12|3#5#12|3#6#12|3#7#12|3#8#12|3#9#6|3#10#6|3#11#6|3#12#6</v>
      </c>
      <c r="F27" s="22" t="s">
        <v>3470</v>
      </c>
      <c r="G27" s="33" t="s">
        <v>3445</v>
      </c>
      <c r="H27" s="22">
        <v>40</v>
      </c>
      <c r="T27" s="165">
        <v>25</v>
      </c>
      <c r="U27" s="165">
        <f t="shared" si="7"/>
        <v>50</v>
      </c>
      <c r="V27" s="165">
        <f t="shared" si="7"/>
        <v>25</v>
      </c>
      <c r="W27" s="165">
        <f t="shared" si="7"/>
        <v>500</v>
      </c>
      <c r="X27" s="165">
        <f t="shared" si="7"/>
        <v>2000</v>
      </c>
    </row>
    <row r="28" spans="1:24" ht="16.5" x14ac:dyDescent="0.3">
      <c r="A28" s="22" t="s">
        <v>35</v>
      </c>
      <c r="B28" s="22" t="s">
        <v>3443</v>
      </c>
      <c r="C28" s="22" t="s">
        <v>3468</v>
      </c>
      <c r="D28" s="22">
        <v>3</v>
      </c>
      <c r="E28" s="22" t="str">
        <f t="shared" si="14"/>
        <v>3#1#180|3#2#720|3#3#18|3#4#18|3#5#18|3#6#18|3#7#18|3#8#18|3#9#9|3#10#9|3#11#9|3#12#9</v>
      </c>
      <c r="F28" s="22" t="s">
        <v>3471</v>
      </c>
      <c r="G28" s="33" t="s">
        <v>3449</v>
      </c>
      <c r="H28" s="22">
        <v>40</v>
      </c>
      <c r="T28" s="165">
        <v>26</v>
      </c>
      <c r="U28" s="165">
        <f t="shared" si="7"/>
        <v>52</v>
      </c>
      <c r="V28" s="165">
        <f t="shared" si="7"/>
        <v>26</v>
      </c>
      <c r="W28" s="165">
        <f t="shared" si="7"/>
        <v>520</v>
      </c>
      <c r="X28" s="165">
        <f t="shared" si="7"/>
        <v>2080</v>
      </c>
    </row>
    <row r="29" spans="1:24" ht="16.5" x14ac:dyDescent="0.3">
      <c r="A29" s="22" t="s">
        <v>35</v>
      </c>
      <c r="B29" s="22" t="s">
        <v>3443</v>
      </c>
      <c r="C29" s="22" t="s">
        <v>3468</v>
      </c>
      <c r="D29" s="22">
        <v>4</v>
      </c>
      <c r="E29" s="22" t="str">
        <f t="shared" si="14"/>
        <v>3#1#240|3#2#960|3#3#24|3#4#24|3#5#24|3#6#24|3#7#24|3#8#24|3#9#12|3#10#12|3#11#12|3#12#12</v>
      </c>
      <c r="F29" s="22" t="s">
        <v>3472</v>
      </c>
      <c r="G29" s="33" t="s">
        <v>3449</v>
      </c>
      <c r="H29" s="22">
        <v>40</v>
      </c>
      <c r="T29" s="165">
        <v>27</v>
      </c>
      <c r="U29" s="165">
        <f t="shared" si="7"/>
        <v>54</v>
      </c>
      <c r="V29" s="165">
        <f t="shared" si="7"/>
        <v>27</v>
      </c>
      <c r="W29" s="165">
        <f t="shared" si="7"/>
        <v>540</v>
      </c>
      <c r="X29" s="165">
        <f t="shared" si="7"/>
        <v>2160</v>
      </c>
    </row>
    <row r="30" spans="1:24" ht="16.5" x14ac:dyDescent="0.3">
      <c r="A30" s="22" t="s">
        <v>35</v>
      </c>
      <c r="B30" s="22" t="s">
        <v>3443</v>
      </c>
      <c r="C30" s="22" t="s">
        <v>3468</v>
      </c>
      <c r="D30" s="22">
        <v>5</v>
      </c>
      <c r="E30" s="22" t="str">
        <f t="shared" si="14"/>
        <v>3#1#300|3#2#1200|3#3#30|3#4#30|3#5#30|3#6#30|3#7#30|3#8#30|3#9#15|3#10#15|3#11#15|3#12#15</v>
      </c>
      <c r="F30" s="22" t="s">
        <v>3473</v>
      </c>
      <c r="G30" s="33" t="s">
        <v>3449</v>
      </c>
      <c r="H30" s="22">
        <v>40</v>
      </c>
      <c r="T30" s="165">
        <v>28</v>
      </c>
      <c r="U30" s="165">
        <f t="shared" si="7"/>
        <v>56</v>
      </c>
      <c r="V30" s="165">
        <f t="shared" si="7"/>
        <v>28</v>
      </c>
      <c r="W30" s="165">
        <f t="shared" si="7"/>
        <v>560</v>
      </c>
      <c r="X30" s="165">
        <f t="shared" si="7"/>
        <v>2240</v>
      </c>
    </row>
    <row r="31" spans="1:24" ht="16.5" x14ac:dyDescent="0.3">
      <c r="A31" s="22" t="s">
        <v>35</v>
      </c>
      <c r="B31" s="22" t="s">
        <v>3443</v>
      </c>
      <c r="C31" s="22" t="s">
        <v>3468</v>
      </c>
      <c r="D31" s="22">
        <v>6</v>
      </c>
      <c r="E31" s="22" t="str">
        <f t="shared" si="14"/>
        <v>3#1#360|3#2#1440|3#3#36|3#4#36|3#5#36|3#6#36|3#7#36|3#8#36|3#9#18|3#10#18|3#11#18|3#12#18</v>
      </c>
      <c r="F31" s="22" t="s">
        <v>3474</v>
      </c>
      <c r="G31" s="33" t="s">
        <v>3449</v>
      </c>
      <c r="H31" s="22">
        <v>40</v>
      </c>
      <c r="T31" s="165">
        <v>29</v>
      </c>
      <c r="U31" s="165">
        <f t="shared" si="7"/>
        <v>58</v>
      </c>
      <c r="V31" s="165">
        <f t="shared" si="7"/>
        <v>29</v>
      </c>
      <c r="W31" s="165">
        <f t="shared" si="7"/>
        <v>580</v>
      </c>
      <c r="X31" s="165">
        <f t="shared" si="7"/>
        <v>2320</v>
      </c>
    </row>
    <row r="32" spans="1:24" ht="16.5" x14ac:dyDescent="0.3">
      <c r="A32" s="22" t="s">
        <v>35</v>
      </c>
      <c r="B32" s="22" t="s">
        <v>3443</v>
      </c>
      <c r="C32" s="22" t="s">
        <v>3468</v>
      </c>
      <c r="D32" s="22">
        <v>7</v>
      </c>
      <c r="E32" s="22" t="str">
        <f t="shared" si="14"/>
        <v>3#1#420|3#2#1680|3#3#42|3#4#42|3#5#42|3#6#42|3#7#42|3#8#42|3#9#21|3#10#21|3#11#21|3#12#21</v>
      </c>
      <c r="F32" s="22" t="s">
        <v>3475</v>
      </c>
      <c r="G32" s="33" t="s">
        <v>3449</v>
      </c>
      <c r="H32" s="22">
        <v>40</v>
      </c>
      <c r="T32" s="165">
        <v>30</v>
      </c>
      <c r="U32" s="165">
        <f t="shared" si="7"/>
        <v>60</v>
      </c>
      <c r="V32" s="165">
        <f t="shared" si="7"/>
        <v>30</v>
      </c>
      <c r="W32" s="165">
        <f t="shared" si="7"/>
        <v>600</v>
      </c>
      <c r="X32" s="165">
        <f t="shared" si="7"/>
        <v>2400</v>
      </c>
    </row>
    <row r="33" spans="1:24" ht="16.5" x14ac:dyDescent="0.3">
      <c r="A33" s="22" t="s">
        <v>35</v>
      </c>
      <c r="B33" s="22" t="s">
        <v>3443</v>
      </c>
      <c r="C33" s="22" t="s">
        <v>3468</v>
      </c>
      <c r="D33" s="22">
        <v>8</v>
      </c>
      <c r="E33" s="22" t="str">
        <f t="shared" si="14"/>
        <v>3#1#480|3#2#1920|3#3#48|3#4#48|3#5#48|3#6#48|3#7#48|3#8#48|3#9#24|3#10#24|3#11#24|3#12#24</v>
      </c>
      <c r="F33" s="22" t="s">
        <v>3476</v>
      </c>
      <c r="G33" s="33" t="s">
        <v>3449</v>
      </c>
      <c r="H33" s="22">
        <v>40</v>
      </c>
      <c r="T33" s="165">
        <v>31</v>
      </c>
      <c r="U33" s="165">
        <f t="shared" si="7"/>
        <v>62</v>
      </c>
      <c r="V33" s="165">
        <f t="shared" si="7"/>
        <v>31</v>
      </c>
      <c r="W33" s="165">
        <f t="shared" si="7"/>
        <v>620</v>
      </c>
      <c r="X33" s="165">
        <f t="shared" si="7"/>
        <v>2480</v>
      </c>
    </row>
    <row r="34" spans="1:24" ht="16.5" x14ac:dyDescent="0.3">
      <c r="A34" s="22" t="s">
        <v>35</v>
      </c>
      <c r="B34" s="22" t="s">
        <v>3443</v>
      </c>
      <c r="C34" s="22" t="s">
        <v>3468</v>
      </c>
      <c r="D34" s="22">
        <v>9</v>
      </c>
      <c r="E34" s="22" t="str">
        <f t="shared" si="14"/>
        <v>3#1#540|3#2#2160|3#3#54|3#4#54|3#5#54|3#6#54|3#7#54|3#8#54|3#9#27|3#10#27|3#11#27|3#12#27</v>
      </c>
      <c r="F34" s="22" t="s">
        <v>3477</v>
      </c>
      <c r="G34" s="33" t="s">
        <v>3449</v>
      </c>
      <c r="H34" s="22">
        <v>40</v>
      </c>
      <c r="T34" s="165">
        <v>32</v>
      </c>
      <c r="U34" s="165">
        <f t="shared" si="7"/>
        <v>64</v>
      </c>
      <c r="V34" s="165">
        <f t="shared" si="7"/>
        <v>32</v>
      </c>
      <c r="W34" s="165">
        <f t="shared" si="7"/>
        <v>640</v>
      </c>
      <c r="X34" s="165">
        <f t="shared" si="7"/>
        <v>2560</v>
      </c>
    </row>
    <row r="35" spans="1:24" ht="16.5" x14ac:dyDescent="0.3">
      <c r="A35" s="22" t="s">
        <v>35</v>
      </c>
      <c r="B35" s="22" t="s">
        <v>3443</v>
      </c>
      <c r="C35" s="22" t="s">
        <v>3468</v>
      </c>
      <c r="D35" s="22">
        <v>10</v>
      </c>
      <c r="E35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35" s="22" t="s">
        <v>3478</v>
      </c>
      <c r="G35" s="33"/>
      <c r="H35" s="22"/>
      <c r="T35" s="165">
        <v>33</v>
      </c>
      <c r="U35" s="165">
        <f t="shared" ref="U35:X66" si="15">INT($T35/$T$102*U$102)</f>
        <v>66</v>
      </c>
      <c r="V35" s="165">
        <f t="shared" si="15"/>
        <v>33</v>
      </c>
      <c r="W35" s="165">
        <f t="shared" si="15"/>
        <v>660</v>
      </c>
      <c r="X35" s="165">
        <f t="shared" si="15"/>
        <v>2640</v>
      </c>
    </row>
    <row r="36" spans="1:24" ht="16.5" x14ac:dyDescent="0.3">
      <c r="A36" s="22" t="s">
        <v>35</v>
      </c>
      <c r="B36" s="22" t="s">
        <v>3443</v>
      </c>
      <c r="C36" s="22" t="s">
        <v>3479</v>
      </c>
      <c r="D36" s="22">
        <v>0</v>
      </c>
      <c r="E36" s="2"/>
      <c r="F36" s="22"/>
      <c r="G36" s="33" t="s">
        <v>3445</v>
      </c>
      <c r="H36" s="22">
        <v>40</v>
      </c>
      <c r="T36" s="165">
        <v>34</v>
      </c>
      <c r="U36" s="165">
        <f t="shared" si="15"/>
        <v>68</v>
      </c>
      <c r="V36" s="165">
        <f t="shared" si="15"/>
        <v>34</v>
      </c>
      <c r="W36" s="165">
        <f t="shared" si="15"/>
        <v>680</v>
      </c>
      <c r="X36" s="165">
        <f t="shared" si="15"/>
        <v>2720</v>
      </c>
    </row>
    <row r="37" spans="1:24" ht="16.5" x14ac:dyDescent="0.3">
      <c r="A37" s="22" t="s">
        <v>35</v>
      </c>
      <c r="B37" s="22" t="s">
        <v>3443</v>
      </c>
      <c r="C37" s="22" t="s">
        <v>3479</v>
      </c>
      <c r="D37" s="22">
        <v>1</v>
      </c>
      <c r="E37" s="22" t="str">
        <f t="shared" ref="E37:E45" si="16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37" s="22" t="s">
        <v>3262</v>
      </c>
      <c r="G37" s="33" t="s">
        <v>3445</v>
      </c>
      <c r="H37" s="22">
        <v>40</v>
      </c>
      <c r="T37" s="165">
        <v>35</v>
      </c>
      <c r="U37" s="165">
        <f t="shared" si="15"/>
        <v>70</v>
      </c>
      <c r="V37" s="165">
        <f t="shared" si="15"/>
        <v>35</v>
      </c>
      <c r="W37" s="165">
        <f t="shared" si="15"/>
        <v>700</v>
      </c>
      <c r="X37" s="165">
        <f t="shared" si="15"/>
        <v>2800</v>
      </c>
    </row>
    <row r="38" spans="1:24" ht="16.5" x14ac:dyDescent="0.3">
      <c r="A38" s="22" t="s">
        <v>35</v>
      </c>
      <c r="B38" s="22" t="s">
        <v>3443</v>
      </c>
      <c r="C38" s="22" t="s">
        <v>3479</v>
      </c>
      <c r="D38" s="22">
        <v>2</v>
      </c>
      <c r="E38" s="22" t="str">
        <f t="shared" si="16"/>
        <v>3#1#120|3#2#480|3#3#12|3#4#12|3#5#12|3#6#12|3#7#12|3#8#12|3#9#6|3#10#6|3#11#6|3#12#6</v>
      </c>
      <c r="F38" s="22" t="s">
        <v>3263</v>
      </c>
      <c r="G38" s="33" t="s">
        <v>3445</v>
      </c>
      <c r="H38" s="22">
        <v>40</v>
      </c>
      <c r="T38" s="165">
        <v>36</v>
      </c>
      <c r="U38" s="165">
        <f t="shared" si="15"/>
        <v>72</v>
      </c>
      <c r="V38" s="165">
        <f t="shared" si="15"/>
        <v>36</v>
      </c>
      <c r="W38" s="165">
        <f t="shared" si="15"/>
        <v>720</v>
      </c>
      <c r="X38" s="165">
        <f t="shared" si="15"/>
        <v>2880</v>
      </c>
    </row>
    <row r="39" spans="1:24" ht="16.5" x14ac:dyDescent="0.3">
      <c r="A39" s="22" t="s">
        <v>35</v>
      </c>
      <c r="B39" s="22" t="s">
        <v>3443</v>
      </c>
      <c r="C39" s="22" t="s">
        <v>3479</v>
      </c>
      <c r="D39" s="22">
        <v>3</v>
      </c>
      <c r="E39" s="22" t="str">
        <f t="shared" si="16"/>
        <v>3#1#180|3#2#720|3#3#18|3#4#18|3#5#18|3#6#18|3#7#18|3#8#18|3#9#9|3#10#9|3#11#9|3#12#9</v>
      </c>
      <c r="F39" s="22" t="s">
        <v>3264</v>
      </c>
      <c r="G39" s="33" t="s">
        <v>3449</v>
      </c>
      <c r="H39" s="22">
        <v>40</v>
      </c>
      <c r="T39" s="165">
        <v>37</v>
      </c>
      <c r="U39" s="165">
        <f t="shared" si="15"/>
        <v>74</v>
      </c>
      <c r="V39" s="165">
        <f t="shared" si="15"/>
        <v>37</v>
      </c>
      <c r="W39" s="165">
        <f t="shared" si="15"/>
        <v>740</v>
      </c>
      <c r="X39" s="165">
        <f t="shared" si="15"/>
        <v>2960</v>
      </c>
    </row>
    <row r="40" spans="1:24" ht="16.5" x14ac:dyDescent="0.3">
      <c r="A40" s="22" t="s">
        <v>35</v>
      </c>
      <c r="B40" s="22" t="s">
        <v>3443</v>
      </c>
      <c r="C40" s="22" t="s">
        <v>3479</v>
      </c>
      <c r="D40" s="22">
        <v>4</v>
      </c>
      <c r="E40" s="22" t="str">
        <f t="shared" si="16"/>
        <v>3#1#240|3#2#960|3#3#24|3#4#24|3#5#24|3#6#24|3#7#24|3#8#24|3#9#12|3#10#12|3#11#12|3#12#12</v>
      </c>
      <c r="F40" s="22" t="s">
        <v>3265</v>
      </c>
      <c r="G40" s="33" t="s">
        <v>3449</v>
      </c>
      <c r="H40" s="22">
        <v>40</v>
      </c>
      <c r="T40" s="165">
        <v>38</v>
      </c>
      <c r="U40" s="165">
        <f t="shared" si="15"/>
        <v>76</v>
      </c>
      <c r="V40" s="165">
        <f t="shared" si="15"/>
        <v>38</v>
      </c>
      <c r="W40" s="165">
        <f t="shared" si="15"/>
        <v>760</v>
      </c>
      <c r="X40" s="165">
        <f t="shared" si="15"/>
        <v>3040</v>
      </c>
    </row>
    <row r="41" spans="1:24" ht="16.5" x14ac:dyDescent="0.3">
      <c r="A41" s="22" t="s">
        <v>35</v>
      </c>
      <c r="B41" s="22" t="s">
        <v>3443</v>
      </c>
      <c r="C41" s="22" t="s">
        <v>3479</v>
      </c>
      <c r="D41" s="22">
        <v>5</v>
      </c>
      <c r="E41" s="22" t="str">
        <f t="shared" si="16"/>
        <v>3#1#300|3#2#1200|3#3#30|3#4#30|3#5#30|3#6#30|3#7#30|3#8#30|3#9#15|3#10#15|3#11#15|3#12#15</v>
      </c>
      <c r="F41" s="22" t="s">
        <v>3266</v>
      </c>
      <c r="G41" s="33" t="s">
        <v>3449</v>
      </c>
      <c r="H41" s="22">
        <v>40</v>
      </c>
      <c r="T41" s="165">
        <v>39</v>
      </c>
      <c r="U41" s="165">
        <f t="shared" si="15"/>
        <v>78</v>
      </c>
      <c r="V41" s="165">
        <f t="shared" si="15"/>
        <v>39</v>
      </c>
      <c r="W41" s="165">
        <f t="shared" si="15"/>
        <v>780</v>
      </c>
      <c r="X41" s="165">
        <f t="shared" si="15"/>
        <v>3120</v>
      </c>
    </row>
    <row r="42" spans="1:24" ht="16.5" x14ac:dyDescent="0.3">
      <c r="A42" s="22" t="s">
        <v>35</v>
      </c>
      <c r="B42" s="22" t="s">
        <v>3443</v>
      </c>
      <c r="C42" s="22" t="s">
        <v>3479</v>
      </c>
      <c r="D42" s="22">
        <v>6</v>
      </c>
      <c r="E42" s="22" t="str">
        <f t="shared" si="16"/>
        <v>3#1#360|3#2#1440|3#3#36|3#4#36|3#5#36|3#6#36|3#7#36|3#8#36|3#9#18|3#10#18|3#11#18|3#12#18</v>
      </c>
      <c r="F42" s="22" t="s">
        <v>3267</v>
      </c>
      <c r="G42" s="33" t="s">
        <v>3449</v>
      </c>
      <c r="H42" s="22">
        <v>40</v>
      </c>
      <c r="T42" s="165">
        <v>40</v>
      </c>
      <c r="U42" s="165">
        <f t="shared" si="15"/>
        <v>80</v>
      </c>
      <c r="V42" s="165">
        <f t="shared" si="15"/>
        <v>40</v>
      </c>
      <c r="W42" s="165">
        <f t="shared" si="15"/>
        <v>800</v>
      </c>
      <c r="X42" s="165">
        <f t="shared" si="15"/>
        <v>3200</v>
      </c>
    </row>
    <row r="43" spans="1:24" ht="16.5" x14ac:dyDescent="0.3">
      <c r="A43" s="22" t="s">
        <v>35</v>
      </c>
      <c r="B43" s="22" t="s">
        <v>3443</v>
      </c>
      <c r="C43" s="22" t="s">
        <v>3479</v>
      </c>
      <c r="D43" s="22">
        <v>7</v>
      </c>
      <c r="E43" s="22" t="str">
        <f t="shared" si="16"/>
        <v>3#1#420|3#2#1680|3#3#42|3#4#42|3#5#42|3#6#42|3#7#42|3#8#42|3#9#21|3#10#21|3#11#21|3#12#21</v>
      </c>
      <c r="F43" s="22" t="s">
        <v>3268</v>
      </c>
      <c r="G43" s="33" t="s">
        <v>3449</v>
      </c>
      <c r="H43" s="22">
        <v>40</v>
      </c>
      <c r="T43" s="165">
        <v>41</v>
      </c>
      <c r="U43" s="165">
        <f t="shared" si="15"/>
        <v>82</v>
      </c>
      <c r="V43" s="165">
        <f t="shared" si="15"/>
        <v>41</v>
      </c>
      <c r="W43" s="165">
        <f t="shared" si="15"/>
        <v>820</v>
      </c>
      <c r="X43" s="165">
        <f t="shared" si="15"/>
        <v>3280</v>
      </c>
    </row>
    <row r="44" spans="1:24" ht="16.5" x14ac:dyDescent="0.3">
      <c r="A44" s="22" t="s">
        <v>35</v>
      </c>
      <c r="B44" s="22" t="s">
        <v>3443</v>
      </c>
      <c r="C44" s="22" t="s">
        <v>3479</v>
      </c>
      <c r="D44" s="22">
        <v>8</v>
      </c>
      <c r="E44" s="22" t="str">
        <f t="shared" si="16"/>
        <v>3#1#480|3#2#1920|3#3#48|3#4#48|3#5#48|3#6#48|3#7#48|3#8#48|3#9#24|3#10#24|3#11#24|3#12#24</v>
      </c>
      <c r="F44" s="22" t="s">
        <v>3269</v>
      </c>
      <c r="G44" s="33" t="s">
        <v>3449</v>
      </c>
      <c r="H44" s="22">
        <v>40</v>
      </c>
      <c r="T44" s="165">
        <v>42</v>
      </c>
      <c r="U44" s="165">
        <f t="shared" si="15"/>
        <v>84</v>
      </c>
      <c r="V44" s="165">
        <f t="shared" si="15"/>
        <v>42</v>
      </c>
      <c r="W44" s="165">
        <f t="shared" si="15"/>
        <v>840</v>
      </c>
      <c r="X44" s="165">
        <f t="shared" si="15"/>
        <v>3360</v>
      </c>
    </row>
    <row r="45" spans="1:24" ht="16.5" x14ac:dyDescent="0.3">
      <c r="A45" s="22" t="s">
        <v>35</v>
      </c>
      <c r="B45" s="22" t="s">
        <v>3443</v>
      </c>
      <c r="C45" s="22" t="s">
        <v>3479</v>
      </c>
      <c r="D45" s="22">
        <v>9</v>
      </c>
      <c r="E45" s="22" t="str">
        <f t="shared" si="16"/>
        <v>3#1#540|3#2#2160|3#3#54|3#4#54|3#5#54|3#6#54|3#7#54|3#8#54|3#9#27|3#10#27|3#11#27|3#12#27</v>
      </c>
      <c r="F45" s="22" t="s">
        <v>3270</v>
      </c>
      <c r="G45" s="33" t="s">
        <v>3449</v>
      </c>
      <c r="H45" s="22">
        <v>40</v>
      </c>
      <c r="T45" s="165">
        <v>43</v>
      </c>
      <c r="U45" s="165">
        <f t="shared" si="15"/>
        <v>86</v>
      </c>
      <c r="V45" s="165">
        <f t="shared" si="15"/>
        <v>43</v>
      </c>
      <c r="W45" s="165">
        <f t="shared" si="15"/>
        <v>860</v>
      </c>
      <c r="X45" s="165">
        <f t="shared" si="15"/>
        <v>3440</v>
      </c>
    </row>
    <row r="46" spans="1:24" ht="16.5" x14ac:dyDescent="0.3">
      <c r="A46" s="22" t="s">
        <v>35</v>
      </c>
      <c r="B46" s="22" t="s">
        <v>3443</v>
      </c>
      <c r="C46" s="22" t="s">
        <v>3479</v>
      </c>
      <c r="D46" s="22">
        <v>10</v>
      </c>
      <c r="E46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46" s="22" t="s">
        <v>3271</v>
      </c>
      <c r="G46" s="33"/>
      <c r="H46" s="22"/>
      <c r="T46" s="165">
        <v>44</v>
      </c>
      <c r="U46" s="165">
        <f t="shared" si="15"/>
        <v>88</v>
      </c>
      <c r="V46" s="165">
        <f t="shared" si="15"/>
        <v>44</v>
      </c>
      <c r="W46" s="165">
        <f t="shared" si="15"/>
        <v>880</v>
      </c>
      <c r="X46" s="165">
        <f t="shared" si="15"/>
        <v>3520</v>
      </c>
    </row>
    <row r="47" spans="1:24" ht="16.5" x14ac:dyDescent="0.3">
      <c r="A47" s="22" t="s">
        <v>35</v>
      </c>
      <c r="B47" s="22" t="s">
        <v>3443</v>
      </c>
      <c r="C47" s="22" t="s">
        <v>3480</v>
      </c>
      <c r="D47" s="22">
        <v>0</v>
      </c>
      <c r="E47" s="2"/>
      <c r="F47" s="22"/>
      <c r="G47" s="33" t="s">
        <v>3445</v>
      </c>
      <c r="H47" s="22">
        <v>40</v>
      </c>
      <c r="T47" s="165">
        <v>45</v>
      </c>
      <c r="U47" s="165">
        <f t="shared" si="15"/>
        <v>90</v>
      </c>
      <c r="V47" s="165">
        <f t="shared" si="15"/>
        <v>45</v>
      </c>
      <c r="W47" s="165">
        <f t="shared" si="15"/>
        <v>900</v>
      </c>
      <c r="X47" s="165">
        <f t="shared" si="15"/>
        <v>3600</v>
      </c>
    </row>
    <row r="48" spans="1:24" ht="16.5" x14ac:dyDescent="0.3">
      <c r="A48" s="22" t="s">
        <v>35</v>
      </c>
      <c r="B48" s="22" t="s">
        <v>3443</v>
      </c>
      <c r="C48" s="22" t="s">
        <v>3480</v>
      </c>
      <c r="D48" s="22">
        <v>1</v>
      </c>
      <c r="E48" s="22" t="str">
        <f t="shared" ref="E48:E56" si="17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8" s="22" t="s">
        <v>3481</v>
      </c>
      <c r="G48" s="33" t="s">
        <v>3445</v>
      </c>
      <c r="H48" s="22">
        <v>40</v>
      </c>
      <c r="T48" s="165">
        <v>46</v>
      </c>
      <c r="U48" s="165">
        <f t="shared" si="15"/>
        <v>92</v>
      </c>
      <c r="V48" s="165">
        <f t="shared" si="15"/>
        <v>46</v>
      </c>
      <c r="W48" s="165">
        <f t="shared" si="15"/>
        <v>920</v>
      </c>
      <c r="X48" s="165">
        <f t="shared" si="15"/>
        <v>3680</v>
      </c>
    </row>
    <row r="49" spans="1:24" ht="16.5" x14ac:dyDescent="0.3">
      <c r="A49" s="22" t="s">
        <v>35</v>
      </c>
      <c r="B49" s="22" t="s">
        <v>3443</v>
      </c>
      <c r="C49" s="22" t="s">
        <v>3480</v>
      </c>
      <c r="D49" s="22">
        <v>2</v>
      </c>
      <c r="E49" s="22" t="str">
        <f t="shared" si="17"/>
        <v>3#1#120|3#2#480|3#3#12|3#4#12|3#5#12|3#6#12|3#7#12|3#8#12|3#9#6|3#10#6|3#11#6|3#12#6</v>
      </c>
      <c r="F49" s="22" t="s">
        <v>3482</v>
      </c>
      <c r="G49" s="33" t="s">
        <v>3445</v>
      </c>
      <c r="H49" s="22">
        <v>40</v>
      </c>
      <c r="T49" s="165">
        <v>47</v>
      </c>
      <c r="U49" s="165">
        <f t="shared" si="15"/>
        <v>94</v>
      </c>
      <c r="V49" s="165">
        <f t="shared" si="15"/>
        <v>47</v>
      </c>
      <c r="W49" s="165">
        <f t="shared" si="15"/>
        <v>940</v>
      </c>
      <c r="X49" s="165">
        <f t="shared" si="15"/>
        <v>3760</v>
      </c>
    </row>
    <row r="50" spans="1:24" ht="16.5" x14ac:dyDescent="0.3">
      <c r="A50" s="22" t="s">
        <v>35</v>
      </c>
      <c r="B50" s="22" t="s">
        <v>3443</v>
      </c>
      <c r="C50" s="22" t="s">
        <v>3480</v>
      </c>
      <c r="D50" s="22">
        <v>3</v>
      </c>
      <c r="E50" s="22" t="str">
        <f t="shared" si="17"/>
        <v>3#1#180|3#2#720|3#3#18|3#4#18|3#5#18|3#6#18|3#7#18|3#8#18|3#9#9|3#10#9|3#11#9|3#12#9</v>
      </c>
      <c r="F50" s="22" t="s">
        <v>3483</v>
      </c>
      <c r="G50" s="33" t="s">
        <v>3449</v>
      </c>
      <c r="H50" s="22">
        <v>40</v>
      </c>
      <c r="T50" s="165">
        <v>48</v>
      </c>
      <c r="U50" s="165">
        <f t="shared" si="15"/>
        <v>96</v>
      </c>
      <c r="V50" s="165">
        <f t="shared" si="15"/>
        <v>48</v>
      </c>
      <c r="W50" s="165">
        <f t="shared" si="15"/>
        <v>960</v>
      </c>
      <c r="X50" s="165">
        <f t="shared" si="15"/>
        <v>3840</v>
      </c>
    </row>
    <row r="51" spans="1:24" ht="16.5" x14ac:dyDescent="0.3">
      <c r="A51" s="22" t="s">
        <v>35</v>
      </c>
      <c r="B51" s="22" t="s">
        <v>3443</v>
      </c>
      <c r="C51" s="22" t="s">
        <v>3480</v>
      </c>
      <c r="D51" s="22">
        <v>4</v>
      </c>
      <c r="E51" s="22" t="str">
        <f t="shared" si="17"/>
        <v>3#1#240|3#2#960|3#3#24|3#4#24|3#5#24|3#6#24|3#7#24|3#8#24|3#9#12|3#10#12|3#11#12|3#12#12</v>
      </c>
      <c r="F51" s="22" t="s">
        <v>3484</v>
      </c>
      <c r="G51" s="33" t="s">
        <v>3449</v>
      </c>
      <c r="H51" s="22">
        <v>40</v>
      </c>
      <c r="T51" s="165">
        <v>49</v>
      </c>
      <c r="U51" s="165">
        <f t="shared" si="15"/>
        <v>98</v>
      </c>
      <c r="V51" s="165">
        <f t="shared" si="15"/>
        <v>49</v>
      </c>
      <c r="W51" s="165">
        <f t="shared" si="15"/>
        <v>980</v>
      </c>
      <c r="X51" s="165">
        <f t="shared" si="15"/>
        <v>3920</v>
      </c>
    </row>
    <row r="52" spans="1:24" ht="16.5" x14ac:dyDescent="0.3">
      <c r="A52" s="22" t="s">
        <v>35</v>
      </c>
      <c r="B52" s="22" t="s">
        <v>3443</v>
      </c>
      <c r="C52" s="22" t="s">
        <v>3480</v>
      </c>
      <c r="D52" s="22">
        <v>5</v>
      </c>
      <c r="E52" s="22" t="str">
        <f t="shared" si="17"/>
        <v>3#1#300|3#2#1200|3#3#30|3#4#30|3#5#30|3#6#30|3#7#30|3#8#30|3#9#15|3#10#15|3#11#15|3#12#15</v>
      </c>
      <c r="F52" s="22" t="s">
        <v>3485</v>
      </c>
      <c r="G52" s="33" t="s">
        <v>3449</v>
      </c>
      <c r="H52" s="22">
        <v>40</v>
      </c>
      <c r="T52" s="165">
        <v>50</v>
      </c>
      <c r="U52" s="165">
        <f t="shared" si="15"/>
        <v>100</v>
      </c>
      <c r="V52" s="165">
        <f t="shared" si="15"/>
        <v>50</v>
      </c>
      <c r="W52" s="165">
        <f t="shared" si="15"/>
        <v>1000</v>
      </c>
      <c r="X52" s="165">
        <f t="shared" si="15"/>
        <v>4000</v>
      </c>
    </row>
    <row r="53" spans="1:24" ht="16.5" x14ac:dyDescent="0.3">
      <c r="A53" s="22" t="s">
        <v>35</v>
      </c>
      <c r="B53" s="22" t="s">
        <v>3443</v>
      </c>
      <c r="C53" s="22" t="s">
        <v>3480</v>
      </c>
      <c r="D53" s="22">
        <v>6</v>
      </c>
      <c r="E53" s="22" t="str">
        <f t="shared" si="17"/>
        <v>3#1#360|3#2#1440|3#3#36|3#4#36|3#5#36|3#6#36|3#7#36|3#8#36|3#9#18|3#10#18|3#11#18|3#12#18</v>
      </c>
      <c r="F53" s="22" t="s">
        <v>3486</v>
      </c>
      <c r="G53" s="33" t="s">
        <v>3449</v>
      </c>
      <c r="H53" s="22">
        <v>40</v>
      </c>
      <c r="T53" s="165">
        <v>51</v>
      </c>
      <c r="U53" s="165">
        <f t="shared" si="15"/>
        <v>102</v>
      </c>
      <c r="V53" s="165">
        <f t="shared" si="15"/>
        <v>51</v>
      </c>
      <c r="W53" s="165">
        <f t="shared" si="15"/>
        <v>1020</v>
      </c>
      <c r="X53" s="165">
        <f t="shared" si="15"/>
        <v>4080</v>
      </c>
    </row>
    <row r="54" spans="1:24" ht="16.5" x14ac:dyDescent="0.3">
      <c r="A54" s="22" t="s">
        <v>35</v>
      </c>
      <c r="B54" s="22" t="s">
        <v>3443</v>
      </c>
      <c r="C54" s="22" t="s">
        <v>3480</v>
      </c>
      <c r="D54" s="22">
        <v>7</v>
      </c>
      <c r="E54" s="22" t="str">
        <f t="shared" si="17"/>
        <v>3#1#420|3#2#1680|3#3#42|3#4#42|3#5#42|3#6#42|3#7#42|3#8#42|3#9#21|3#10#21|3#11#21|3#12#21</v>
      </c>
      <c r="F54" s="22" t="s">
        <v>3487</v>
      </c>
      <c r="G54" s="33" t="s">
        <v>3449</v>
      </c>
      <c r="H54" s="22">
        <v>40</v>
      </c>
      <c r="T54" s="165">
        <v>52</v>
      </c>
      <c r="U54" s="165">
        <f t="shared" si="15"/>
        <v>104</v>
      </c>
      <c r="V54" s="165">
        <f t="shared" si="15"/>
        <v>52</v>
      </c>
      <c r="W54" s="165">
        <f t="shared" si="15"/>
        <v>1040</v>
      </c>
      <c r="X54" s="165">
        <f t="shared" si="15"/>
        <v>4160</v>
      </c>
    </row>
    <row r="55" spans="1:24" ht="16.5" x14ac:dyDescent="0.3">
      <c r="A55" s="22" t="s">
        <v>35</v>
      </c>
      <c r="B55" s="22" t="s">
        <v>3443</v>
      </c>
      <c r="C55" s="22" t="s">
        <v>3480</v>
      </c>
      <c r="D55" s="22">
        <v>8</v>
      </c>
      <c r="E55" s="22" t="str">
        <f t="shared" si="17"/>
        <v>3#1#480|3#2#1920|3#3#48|3#4#48|3#5#48|3#6#48|3#7#48|3#8#48|3#9#24|3#10#24|3#11#24|3#12#24</v>
      </c>
      <c r="F55" s="22" t="s">
        <v>3488</v>
      </c>
      <c r="G55" s="33" t="s">
        <v>3449</v>
      </c>
      <c r="H55" s="22">
        <v>40</v>
      </c>
      <c r="T55" s="165">
        <v>53</v>
      </c>
      <c r="U55" s="165">
        <f t="shared" si="15"/>
        <v>106</v>
      </c>
      <c r="V55" s="165">
        <f t="shared" si="15"/>
        <v>53</v>
      </c>
      <c r="W55" s="165">
        <f t="shared" si="15"/>
        <v>1060</v>
      </c>
      <c r="X55" s="165">
        <f t="shared" si="15"/>
        <v>4240</v>
      </c>
    </row>
    <row r="56" spans="1:24" ht="16.5" x14ac:dyDescent="0.3">
      <c r="A56" s="22" t="s">
        <v>35</v>
      </c>
      <c r="B56" s="22" t="s">
        <v>3443</v>
      </c>
      <c r="C56" s="22" t="s">
        <v>3480</v>
      </c>
      <c r="D56" s="22">
        <v>9</v>
      </c>
      <c r="E56" s="22" t="str">
        <f t="shared" si="17"/>
        <v>3#1#540|3#2#2160|3#3#54|3#4#54|3#5#54|3#6#54|3#7#54|3#8#54|3#9#27|3#10#27|3#11#27|3#12#27</v>
      </c>
      <c r="F56" s="22" t="s">
        <v>3489</v>
      </c>
      <c r="G56" s="33" t="s">
        <v>3449</v>
      </c>
      <c r="H56" s="22">
        <v>40</v>
      </c>
      <c r="T56" s="165">
        <v>54</v>
      </c>
      <c r="U56" s="165">
        <f t="shared" si="15"/>
        <v>108</v>
      </c>
      <c r="V56" s="165">
        <f t="shared" si="15"/>
        <v>54</v>
      </c>
      <c r="W56" s="165">
        <f t="shared" si="15"/>
        <v>1080</v>
      </c>
      <c r="X56" s="165">
        <f t="shared" si="15"/>
        <v>4320</v>
      </c>
    </row>
    <row r="57" spans="1:24" ht="16.5" x14ac:dyDescent="0.3">
      <c r="A57" s="22" t="s">
        <v>35</v>
      </c>
      <c r="B57" s="22" t="s">
        <v>3443</v>
      </c>
      <c r="C57" s="22" t="s">
        <v>3480</v>
      </c>
      <c r="D57" s="22">
        <v>10</v>
      </c>
      <c r="E57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57" s="22" t="s">
        <v>3490</v>
      </c>
      <c r="G57" s="33"/>
      <c r="H57" s="22"/>
      <c r="T57" s="165">
        <v>55</v>
      </c>
      <c r="U57" s="165">
        <f t="shared" si="15"/>
        <v>110</v>
      </c>
      <c r="V57" s="165">
        <f t="shared" si="15"/>
        <v>55</v>
      </c>
      <c r="W57" s="165">
        <f t="shared" si="15"/>
        <v>1100</v>
      </c>
      <c r="X57" s="165">
        <f t="shared" si="15"/>
        <v>4400</v>
      </c>
    </row>
    <row r="58" spans="1:24" ht="16.5" x14ac:dyDescent="0.2">
      <c r="T58" s="165">
        <v>56</v>
      </c>
      <c r="U58" s="165">
        <f t="shared" si="15"/>
        <v>112</v>
      </c>
      <c r="V58" s="165">
        <f t="shared" si="15"/>
        <v>56</v>
      </c>
      <c r="W58" s="165">
        <f t="shared" si="15"/>
        <v>1120</v>
      </c>
      <c r="X58" s="165">
        <f t="shared" si="15"/>
        <v>4480</v>
      </c>
    </row>
    <row r="59" spans="1:24" ht="16.5" x14ac:dyDescent="0.2">
      <c r="T59" s="165">
        <v>57</v>
      </c>
      <c r="U59" s="165">
        <f t="shared" si="15"/>
        <v>114</v>
      </c>
      <c r="V59" s="165">
        <f t="shared" si="15"/>
        <v>57</v>
      </c>
      <c r="W59" s="165">
        <f t="shared" si="15"/>
        <v>1140</v>
      </c>
      <c r="X59" s="165">
        <f t="shared" si="15"/>
        <v>4560</v>
      </c>
    </row>
    <row r="60" spans="1:24" ht="16.5" x14ac:dyDescent="0.2">
      <c r="T60" s="165">
        <v>58</v>
      </c>
      <c r="U60" s="165">
        <f t="shared" si="15"/>
        <v>116</v>
      </c>
      <c r="V60" s="165">
        <f t="shared" si="15"/>
        <v>58</v>
      </c>
      <c r="W60" s="165">
        <f t="shared" si="15"/>
        <v>1160</v>
      </c>
      <c r="X60" s="165">
        <f t="shared" si="15"/>
        <v>4640</v>
      </c>
    </row>
    <row r="61" spans="1:24" ht="16.5" x14ac:dyDescent="0.2">
      <c r="T61" s="165">
        <v>59</v>
      </c>
      <c r="U61" s="165">
        <f t="shared" si="15"/>
        <v>118</v>
      </c>
      <c r="V61" s="165">
        <f t="shared" si="15"/>
        <v>59</v>
      </c>
      <c r="W61" s="165">
        <f t="shared" si="15"/>
        <v>1180</v>
      </c>
      <c r="X61" s="165">
        <f t="shared" si="15"/>
        <v>4720</v>
      </c>
    </row>
    <row r="62" spans="1:24" ht="16.5" x14ac:dyDescent="0.2">
      <c r="T62" s="165">
        <v>60</v>
      </c>
      <c r="U62" s="165">
        <f t="shared" si="15"/>
        <v>120</v>
      </c>
      <c r="V62" s="165">
        <f t="shared" si="15"/>
        <v>60</v>
      </c>
      <c r="W62" s="165">
        <f t="shared" si="15"/>
        <v>1200</v>
      </c>
      <c r="X62" s="165">
        <f t="shared" si="15"/>
        <v>4800</v>
      </c>
    </row>
    <row r="63" spans="1:24" ht="16.5" x14ac:dyDescent="0.2">
      <c r="T63" s="165">
        <v>61</v>
      </c>
      <c r="U63" s="165">
        <f t="shared" si="15"/>
        <v>122</v>
      </c>
      <c r="V63" s="165">
        <f t="shared" si="15"/>
        <v>61</v>
      </c>
      <c r="W63" s="165">
        <f t="shared" si="15"/>
        <v>1220</v>
      </c>
      <c r="X63" s="165">
        <f t="shared" si="15"/>
        <v>4880</v>
      </c>
    </row>
    <row r="64" spans="1:24" ht="16.5" x14ac:dyDescent="0.2">
      <c r="T64" s="165">
        <v>62</v>
      </c>
      <c r="U64" s="165">
        <f t="shared" si="15"/>
        <v>124</v>
      </c>
      <c r="V64" s="165">
        <f t="shared" si="15"/>
        <v>62</v>
      </c>
      <c r="W64" s="165">
        <f t="shared" si="15"/>
        <v>1240</v>
      </c>
      <c r="X64" s="165">
        <f t="shared" si="15"/>
        <v>4960</v>
      </c>
    </row>
    <row r="65" spans="20:24" ht="16.5" x14ac:dyDescent="0.2">
      <c r="T65" s="165">
        <v>63</v>
      </c>
      <c r="U65" s="165">
        <f t="shared" si="15"/>
        <v>126</v>
      </c>
      <c r="V65" s="165">
        <f t="shared" si="15"/>
        <v>63</v>
      </c>
      <c r="W65" s="165">
        <f t="shared" si="15"/>
        <v>1260</v>
      </c>
      <c r="X65" s="165">
        <f t="shared" si="15"/>
        <v>5040</v>
      </c>
    </row>
    <row r="66" spans="20:24" ht="16.5" x14ac:dyDescent="0.2">
      <c r="T66" s="165">
        <v>64</v>
      </c>
      <c r="U66" s="165">
        <f t="shared" si="15"/>
        <v>128</v>
      </c>
      <c r="V66" s="165">
        <f t="shared" si="15"/>
        <v>64</v>
      </c>
      <c r="W66" s="165">
        <f t="shared" si="15"/>
        <v>1280</v>
      </c>
      <c r="X66" s="165">
        <f t="shared" si="15"/>
        <v>5120</v>
      </c>
    </row>
    <row r="67" spans="20:24" ht="16.5" x14ac:dyDescent="0.2">
      <c r="T67" s="165">
        <v>65</v>
      </c>
      <c r="U67" s="165">
        <f t="shared" ref="U67:X100" si="18">INT($T67/$T$102*U$102)</f>
        <v>130</v>
      </c>
      <c r="V67" s="165">
        <f t="shared" si="18"/>
        <v>65</v>
      </c>
      <c r="W67" s="165">
        <f t="shared" si="18"/>
        <v>1300</v>
      </c>
      <c r="X67" s="165">
        <f t="shared" si="18"/>
        <v>5200</v>
      </c>
    </row>
    <row r="68" spans="20:24" ht="16.5" x14ac:dyDescent="0.2">
      <c r="T68" s="165">
        <v>66</v>
      </c>
      <c r="U68" s="165">
        <f t="shared" si="18"/>
        <v>132</v>
      </c>
      <c r="V68" s="165">
        <f t="shared" si="18"/>
        <v>66</v>
      </c>
      <c r="W68" s="165">
        <f t="shared" si="18"/>
        <v>1320</v>
      </c>
      <c r="X68" s="165">
        <f t="shared" si="18"/>
        <v>5280</v>
      </c>
    </row>
    <row r="69" spans="20:24" ht="16.5" x14ac:dyDescent="0.2">
      <c r="T69" s="165">
        <v>67</v>
      </c>
      <c r="U69" s="165">
        <f t="shared" si="18"/>
        <v>134</v>
      </c>
      <c r="V69" s="165">
        <f t="shared" si="18"/>
        <v>67</v>
      </c>
      <c r="W69" s="165">
        <f t="shared" si="18"/>
        <v>1340</v>
      </c>
      <c r="X69" s="165">
        <f t="shared" si="18"/>
        <v>5360</v>
      </c>
    </row>
    <row r="70" spans="20:24" ht="16.5" x14ac:dyDescent="0.2">
      <c r="T70" s="165">
        <v>68</v>
      </c>
      <c r="U70" s="165">
        <f t="shared" si="18"/>
        <v>136</v>
      </c>
      <c r="V70" s="165">
        <f t="shared" si="18"/>
        <v>68</v>
      </c>
      <c r="W70" s="165">
        <f t="shared" si="18"/>
        <v>1360</v>
      </c>
      <c r="X70" s="165">
        <f t="shared" si="18"/>
        <v>5440</v>
      </c>
    </row>
    <row r="71" spans="20:24" ht="16.5" x14ac:dyDescent="0.2">
      <c r="T71" s="165">
        <v>69</v>
      </c>
      <c r="U71" s="165">
        <f t="shared" si="18"/>
        <v>138</v>
      </c>
      <c r="V71" s="165">
        <f t="shared" si="18"/>
        <v>69</v>
      </c>
      <c r="W71" s="165">
        <f t="shared" si="18"/>
        <v>1380</v>
      </c>
      <c r="X71" s="165">
        <f t="shared" si="18"/>
        <v>5520</v>
      </c>
    </row>
    <row r="72" spans="20:24" ht="16.5" x14ac:dyDescent="0.2">
      <c r="T72" s="165">
        <v>70</v>
      </c>
      <c r="U72" s="165">
        <f t="shared" si="18"/>
        <v>140</v>
      </c>
      <c r="V72" s="165">
        <f t="shared" si="18"/>
        <v>70</v>
      </c>
      <c r="W72" s="165">
        <f t="shared" si="18"/>
        <v>1400</v>
      </c>
      <c r="X72" s="165">
        <f t="shared" si="18"/>
        <v>5600</v>
      </c>
    </row>
    <row r="73" spans="20:24" ht="16.5" x14ac:dyDescent="0.2">
      <c r="T73" s="165">
        <v>71</v>
      </c>
      <c r="U73" s="165">
        <f t="shared" si="18"/>
        <v>142</v>
      </c>
      <c r="V73" s="165">
        <f t="shared" si="18"/>
        <v>71</v>
      </c>
      <c r="W73" s="165">
        <f t="shared" si="18"/>
        <v>1420</v>
      </c>
      <c r="X73" s="165">
        <f t="shared" si="18"/>
        <v>5680</v>
      </c>
    </row>
    <row r="74" spans="20:24" ht="16.5" x14ac:dyDescent="0.2">
      <c r="T74" s="165">
        <v>72</v>
      </c>
      <c r="U74" s="165">
        <f t="shared" si="18"/>
        <v>144</v>
      </c>
      <c r="V74" s="165">
        <f t="shared" si="18"/>
        <v>72</v>
      </c>
      <c r="W74" s="165">
        <f t="shared" si="18"/>
        <v>1440</v>
      </c>
      <c r="X74" s="165">
        <f t="shared" si="18"/>
        <v>5760</v>
      </c>
    </row>
    <row r="75" spans="20:24" ht="16.5" x14ac:dyDescent="0.2">
      <c r="T75" s="165">
        <v>73</v>
      </c>
      <c r="U75" s="165">
        <f t="shared" si="18"/>
        <v>146</v>
      </c>
      <c r="V75" s="165">
        <f t="shared" si="18"/>
        <v>73</v>
      </c>
      <c r="W75" s="165">
        <f t="shared" si="18"/>
        <v>1460</v>
      </c>
      <c r="X75" s="165">
        <f t="shared" si="18"/>
        <v>5840</v>
      </c>
    </row>
    <row r="76" spans="20:24" ht="16.5" x14ac:dyDescent="0.2">
      <c r="T76" s="165">
        <v>74</v>
      </c>
      <c r="U76" s="165">
        <f t="shared" si="18"/>
        <v>148</v>
      </c>
      <c r="V76" s="165">
        <f t="shared" si="18"/>
        <v>74</v>
      </c>
      <c r="W76" s="165">
        <f t="shared" si="18"/>
        <v>1480</v>
      </c>
      <c r="X76" s="165">
        <f t="shared" si="18"/>
        <v>5920</v>
      </c>
    </row>
    <row r="77" spans="20:24" ht="16.5" x14ac:dyDescent="0.2">
      <c r="T77" s="165">
        <v>75</v>
      </c>
      <c r="U77" s="165">
        <f t="shared" si="18"/>
        <v>150</v>
      </c>
      <c r="V77" s="165">
        <f t="shared" si="18"/>
        <v>75</v>
      </c>
      <c r="W77" s="165">
        <f t="shared" si="18"/>
        <v>1500</v>
      </c>
      <c r="X77" s="165">
        <f t="shared" si="18"/>
        <v>6000</v>
      </c>
    </row>
    <row r="78" spans="20:24" ht="16.5" x14ac:dyDescent="0.2">
      <c r="T78" s="165">
        <v>76</v>
      </c>
      <c r="U78" s="165">
        <f t="shared" si="18"/>
        <v>152</v>
      </c>
      <c r="V78" s="165">
        <f t="shared" si="18"/>
        <v>76</v>
      </c>
      <c r="W78" s="165">
        <f t="shared" si="18"/>
        <v>1520</v>
      </c>
      <c r="X78" s="165">
        <f t="shared" si="18"/>
        <v>6080</v>
      </c>
    </row>
    <row r="79" spans="20:24" ht="16.5" x14ac:dyDescent="0.2">
      <c r="T79" s="165">
        <v>77</v>
      </c>
      <c r="U79" s="165">
        <f t="shared" si="18"/>
        <v>154</v>
      </c>
      <c r="V79" s="165">
        <f t="shared" si="18"/>
        <v>77</v>
      </c>
      <c r="W79" s="165">
        <f t="shared" si="18"/>
        <v>1540</v>
      </c>
      <c r="X79" s="165">
        <f t="shared" si="18"/>
        <v>6160</v>
      </c>
    </row>
    <row r="80" spans="20:24" ht="16.5" x14ac:dyDescent="0.2">
      <c r="T80" s="165">
        <v>78</v>
      </c>
      <c r="U80" s="165">
        <f t="shared" si="18"/>
        <v>156</v>
      </c>
      <c r="V80" s="165">
        <f t="shared" si="18"/>
        <v>78</v>
      </c>
      <c r="W80" s="165">
        <f t="shared" si="18"/>
        <v>1560</v>
      </c>
      <c r="X80" s="165">
        <f t="shared" si="18"/>
        <v>6240</v>
      </c>
    </row>
    <row r="81" spans="20:24" ht="16.5" x14ac:dyDescent="0.2">
      <c r="T81" s="165">
        <v>79</v>
      </c>
      <c r="U81" s="165">
        <f t="shared" si="18"/>
        <v>158</v>
      </c>
      <c r="V81" s="165">
        <f t="shared" si="18"/>
        <v>79</v>
      </c>
      <c r="W81" s="165">
        <f t="shared" si="18"/>
        <v>1580</v>
      </c>
      <c r="X81" s="165">
        <f t="shared" si="18"/>
        <v>6320</v>
      </c>
    </row>
    <row r="82" spans="20:24" ht="16.5" x14ac:dyDescent="0.2">
      <c r="T82" s="165">
        <v>80</v>
      </c>
      <c r="U82" s="165">
        <f t="shared" si="18"/>
        <v>160</v>
      </c>
      <c r="V82" s="165">
        <f t="shared" si="18"/>
        <v>80</v>
      </c>
      <c r="W82" s="165">
        <f t="shared" si="18"/>
        <v>1600</v>
      </c>
      <c r="X82" s="165">
        <f t="shared" si="18"/>
        <v>6400</v>
      </c>
    </row>
    <row r="83" spans="20:24" ht="16.5" x14ac:dyDescent="0.2">
      <c r="T83" s="165">
        <v>81</v>
      </c>
      <c r="U83" s="165">
        <f t="shared" si="18"/>
        <v>162</v>
      </c>
      <c r="V83" s="165">
        <f t="shared" si="18"/>
        <v>81</v>
      </c>
      <c r="W83" s="165">
        <f t="shared" si="18"/>
        <v>1620</v>
      </c>
      <c r="X83" s="165">
        <f t="shared" si="18"/>
        <v>6480</v>
      </c>
    </row>
    <row r="84" spans="20:24" ht="16.5" x14ac:dyDescent="0.2">
      <c r="T84" s="165">
        <v>82</v>
      </c>
      <c r="U84" s="165">
        <f t="shared" si="18"/>
        <v>164</v>
      </c>
      <c r="V84" s="165">
        <f t="shared" si="18"/>
        <v>82</v>
      </c>
      <c r="W84" s="165">
        <f t="shared" si="18"/>
        <v>1640</v>
      </c>
      <c r="X84" s="165">
        <f t="shared" si="18"/>
        <v>6560</v>
      </c>
    </row>
    <row r="85" spans="20:24" ht="16.5" x14ac:dyDescent="0.2">
      <c r="T85" s="165">
        <v>83</v>
      </c>
      <c r="U85" s="165">
        <f t="shared" si="18"/>
        <v>166</v>
      </c>
      <c r="V85" s="165">
        <f t="shared" si="18"/>
        <v>83</v>
      </c>
      <c r="W85" s="165">
        <f t="shared" si="18"/>
        <v>1660</v>
      </c>
      <c r="X85" s="165">
        <f t="shared" si="18"/>
        <v>6640</v>
      </c>
    </row>
    <row r="86" spans="20:24" ht="16.5" x14ac:dyDescent="0.2">
      <c r="T86" s="165">
        <v>84</v>
      </c>
      <c r="U86" s="165">
        <f t="shared" si="18"/>
        <v>168</v>
      </c>
      <c r="V86" s="165">
        <f t="shared" si="18"/>
        <v>84</v>
      </c>
      <c r="W86" s="165">
        <f t="shared" si="18"/>
        <v>1680</v>
      </c>
      <c r="X86" s="165">
        <f t="shared" si="18"/>
        <v>6720</v>
      </c>
    </row>
    <row r="87" spans="20:24" ht="16.5" x14ac:dyDescent="0.2">
      <c r="T87" s="165">
        <v>85</v>
      </c>
      <c r="U87" s="165">
        <f t="shared" si="18"/>
        <v>170</v>
      </c>
      <c r="V87" s="165">
        <f t="shared" si="18"/>
        <v>85</v>
      </c>
      <c r="W87" s="165">
        <f t="shared" si="18"/>
        <v>1700</v>
      </c>
      <c r="X87" s="165">
        <f t="shared" si="18"/>
        <v>6800</v>
      </c>
    </row>
    <row r="88" spans="20:24" ht="16.5" x14ac:dyDescent="0.2">
      <c r="T88" s="165">
        <v>86</v>
      </c>
      <c r="U88" s="165">
        <f t="shared" si="18"/>
        <v>172</v>
      </c>
      <c r="V88" s="165">
        <f t="shared" si="18"/>
        <v>86</v>
      </c>
      <c r="W88" s="165">
        <f t="shared" si="18"/>
        <v>1720</v>
      </c>
      <c r="X88" s="165">
        <f t="shared" si="18"/>
        <v>6880</v>
      </c>
    </row>
    <row r="89" spans="20:24" ht="16.5" x14ac:dyDescent="0.2">
      <c r="T89" s="165">
        <v>87</v>
      </c>
      <c r="U89" s="165">
        <f t="shared" si="18"/>
        <v>174</v>
      </c>
      <c r="V89" s="165">
        <f t="shared" si="18"/>
        <v>87</v>
      </c>
      <c r="W89" s="165">
        <f t="shared" si="18"/>
        <v>1740</v>
      </c>
      <c r="X89" s="165">
        <f t="shared" si="18"/>
        <v>6960</v>
      </c>
    </row>
    <row r="90" spans="20:24" ht="16.5" x14ac:dyDescent="0.2">
      <c r="T90" s="165">
        <v>88</v>
      </c>
      <c r="U90" s="165">
        <f t="shared" si="18"/>
        <v>176</v>
      </c>
      <c r="V90" s="165">
        <f t="shared" si="18"/>
        <v>88</v>
      </c>
      <c r="W90" s="165">
        <f t="shared" si="18"/>
        <v>1760</v>
      </c>
      <c r="X90" s="165">
        <f t="shared" si="18"/>
        <v>7040</v>
      </c>
    </row>
    <row r="91" spans="20:24" ht="16.5" x14ac:dyDescent="0.2">
      <c r="T91" s="165">
        <v>89</v>
      </c>
      <c r="U91" s="165">
        <f t="shared" si="18"/>
        <v>178</v>
      </c>
      <c r="V91" s="165">
        <f t="shared" si="18"/>
        <v>89</v>
      </c>
      <c r="W91" s="165">
        <f t="shared" si="18"/>
        <v>1780</v>
      </c>
      <c r="X91" s="165">
        <f t="shared" si="18"/>
        <v>7120</v>
      </c>
    </row>
    <row r="92" spans="20:24" ht="16.5" x14ac:dyDescent="0.2">
      <c r="T92" s="165">
        <v>90</v>
      </c>
      <c r="U92" s="165">
        <f t="shared" si="18"/>
        <v>180</v>
      </c>
      <c r="V92" s="165">
        <f t="shared" si="18"/>
        <v>90</v>
      </c>
      <c r="W92" s="165">
        <f t="shared" si="18"/>
        <v>1800</v>
      </c>
      <c r="X92" s="165">
        <f t="shared" si="18"/>
        <v>7200</v>
      </c>
    </row>
    <row r="93" spans="20:24" ht="16.5" x14ac:dyDescent="0.2">
      <c r="T93" s="165">
        <v>91</v>
      </c>
      <c r="U93" s="165">
        <f t="shared" si="18"/>
        <v>182</v>
      </c>
      <c r="V93" s="165">
        <f t="shared" si="18"/>
        <v>91</v>
      </c>
      <c r="W93" s="165">
        <f t="shared" si="18"/>
        <v>1820</v>
      </c>
      <c r="X93" s="165">
        <f t="shared" si="18"/>
        <v>7280</v>
      </c>
    </row>
    <row r="94" spans="20:24" ht="16.5" x14ac:dyDescent="0.2">
      <c r="T94" s="165">
        <v>92</v>
      </c>
      <c r="U94" s="165">
        <f t="shared" si="18"/>
        <v>184</v>
      </c>
      <c r="V94" s="165">
        <f t="shared" si="18"/>
        <v>92</v>
      </c>
      <c r="W94" s="165">
        <f t="shared" si="18"/>
        <v>1840</v>
      </c>
      <c r="X94" s="165">
        <f t="shared" si="18"/>
        <v>7360</v>
      </c>
    </row>
    <row r="95" spans="20:24" ht="16.5" x14ac:dyDescent="0.2">
      <c r="T95" s="165">
        <v>93</v>
      </c>
      <c r="U95" s="165">
        <f t="shared" si="18"/>
        <v>186</v>
      </c>
      <c r="V95" s="165">
        <f t="shared" si="18"/>
        <v>93</v>
      </c>
      <c r="W95" s="165">
        <f t="shared" si="18"/>
        <v>1860</v>
      </c>
      <c r="X95" s="165">
        <f t="shared" si="18"/>
        <v>7440</v>
      </c>
    </row>
    <row r="96" spans="20:24" ht="16.5" x14ac:dyDescent="0.2">
      <c r="T96" s="165">
        <v>94</v>
      </c>
      <c r="U96" s="165">
        <f t="shared" si="18"/>
        <v>188</v>
      </c>
      <c r="V96" s="165">
        <f t="shared" si="18"/>
        <v>94</v>
      </c>
      <c r="W96" s="165">
        <f t="shared" si="18"/>
        <v>1880</v>
      </c>
      <c r="X96" s="165">
        <f t="shared" si="18"/>
        <v>7520</v>
      </c>
    </row>
    <row r="97" spans="20:24" ht="16.5" x14ac:dyDescent="0.2">
      <c r="T97" s="165">
        <v>95</v>
      </c>
      <c r="U97" s="165">
        <f t="shared" si="18"/>
        <v>190</v>
      </c>
      <c r="V97" s="165">
        <f t="shared" si="18"/>
        <v>95</v>
      </c>
      <c r="W97" s="165">
        <f t="shared" si="18"/>
        <v>1900</v>
      </c>
      <c r="X97" s="165">
        <f t="shared" si="18"/>
        <v>7600</v>
      </c>
    </row>
    <row r="98" spans="20:24" ht="16.5" x14ac:dyDescent="0.2">
      <c r="T98" s="165">
        <v>96</v>
      </c>
      <c r="U98" s="165">
        <f t="shared" si="18"/>
        <v>192</v>
      </c>
      <c r="V98" s="165">
        <f t="shared" si="18"/>
        <v>96</v>
      </c>
      <c r="W98" s="165">
        <f t="shared" si="18"/>
        <v>1920</v>
      </c>
      <c r="X98" s="165">
        <f t="shared" si="18"/>
        <v>7680</v>
      </c>
    </row>
    <row r="99" spans="20:24" ht="16.5" x14ac:dyDescent="0.2">
      <c r="T99" s="165">
        <v>97</v>
      </c>
      <c r="U99" s="165">
        <f t="shared" si="18"/>
        <v>194</v>
      </c>
      <c r="V99" s="165">
        <f t="shared" si="18"/>
        <v>97</v>
      </c>
      <c r="W99" s="165">
        <f t="shared" si="18"/>
        <v>1940</v>
      </c>
      <c r="X99" s="165">
        <f t="shared" si="18"/>
        <v>7760</v>
      </c>
    </row>
    <row r="100" spans="20:24" ht="16.5" x14ac:dyDescent="0.2">
      <c r="T100" s="165">
        <v>98</v>
      </c>
      <c r="U100" s="165">
        <f t="shared" si="18"/>
        <v>196</v>
      </c>
      <c r="V100" s="165">
        <f t="shared" si="18"/>
        <v>98</v>
      </c>
      <c r="W100" s="165">
        <f t="shared" si="18"/>
        <v>1960</v>
      </c>
      <c r="X100" s="165">
        <f t="shared" si="18"/>
        <v>7840</v>
      </c>
    </row>
    <row r="101" spans="20:24" ht="16.5" x14ac:dyDescent="0.2">
      <c r="T101" s="165">
        <v>99</v>
      </c>
      <c r="U101" s="165">
        <f>INT($T101/$T$102*U$102)</f>
        <v>198</v>
      </c>
      <c r="V101" s="165">
        <f>INT($T101/$T$102*V$102)</f>
        <v>99</v>
      </c>
      <c r="W101" s="165">
        <f>INT($T101/$T$102*W$102)</f>
        <v>1980</v>
      </c>
      <c r="X101" s="165">
        <f>INT($T101/$T$102*X$102)</f>
        <v>7920</v>
      </c>
    </row>
    <row r="102" spans="20:24" ht="16.5" x14ac:dyDescent="0.2">
      <c r="T102" s="165">
        <v>100</v>
      </c>
      <c r="U102" s="165">
        <f>INT(2/5*L12)</f>
        <v>200</v>
      </c>
      <c r="V102" s="165">
        <f>INT(2/5*M12)</f>
        <v>100</v>
      </c>
      <c r="W102" s="165">
        <f>INT(2/5*J12)</f>
        <v>2000</v>
      </c>
      <c r="X102" s="165">
        <f>INT(2/5*K12)</f>
        <v>8000</v>
      </c>
    </row>
  </sheetData>
  <mergeCells count="7">
    <mergeCell ref="I13:M13"/>
    <mergeCell ref="I1:M1"/>
    <mergeCell ref="T1:X1"/>
    <mergeCell ref="Z1:AE1"/>
    <mergeCell ref="N1:O1"/>
    <mergeCell ref="P1:Q1"/>
    <mergeCell ref="R1:S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C993"/>
  <sheetViews>
    <sheetView topLeftCell="I1" zoomScaleNormal="100" workbookViewId="0">
      <selection activeCell="U12" sqref="U12"/>
    </sheetView>
  </sheetViews>
  <sheetFormatPr defaultRowHeight="14.25" x14ac:dyDescent="0.2"/>
  <cols>
    <col min="1" max="4" width="9" style="2"/>
    <col min="5" max="5" width="0" style="2" hidden="1" customWidth="1"/>
    <col min="6" max="6" width="15.5" style="2" hidden="1" customWidth="1"/>
    <col min="7" max="7" width="58.5" style="2" bestFit="1" customWidth="1"/>
    <col min="8" max="8" width="37.875" style="2" customWidth="1"/>
    <col min="11" max="15" width="9" style="159"/>
    <col min="20" max="20" width="11.25" bestFit="1" customWidth="1"/>
    <col min="21" max="21" width="15.375" bestFit="1" customWidth="1"/>
    <col min="22" max="22" width="14.375" customWidth="1"/>
    <col min="23" max="23" width="16.25" customWidth="1"/>
    <col min="24" max="24" width="13.25" bestFit="1" customWidth="1"/>
    <col min="25" max="25" width="11.25" bestFit="1" customWidth="1"/>
    <col min="26" max="26" width="9.375" customWidth="1"/>
    <col min="27" max="27" width="12.625" customWidth="1"/>
    <col min="28" max="28" width="13.25" bestFit="1" customWidth="1"/>
    <col min="29" max="29" width="11.25" bestFit="1" customWidth="1"/>
  </cols>
  <sheetData>
    <row r="1" spans="1:29" ht="15" x14ac:dyDescent="0.2">
      <c r="I1" s="245" t="s">
        <v>3873</v>
      </c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 t="s">
        <v>3773</v>
      </c>
      <c r="U1" s="245"/>
      <c r="V1" s="245" t="s">
        <v>3782</v>
      </c>
      <c r="W1" s="245"/>
      <c r="X1" s="245"/>
      <c r="Y1" s="245"/>
      <c r="Z1" s="245" t="s">
        <v>3806</v>
      </c>
      <c r="AA1" s="245"/>
      <c r="AB1" s="245"/>
      <c r="AC1" s="245"/>
    </row>
    <row r="2" spans="1:29" ht="18" x14ac:dyDescent="0.2">
      <c r="A2" s="21" t="s">
        <v>50</v>
      </c>
      <c r="B2" s="21" t="s">
        <v>51</v>
      </c>
      <c r="C2" s="21" t="s">
        <v>54</v>
      </c>
      <c r="D2" s="21" t="s">
        <v>55</v>
      </c>
      <c r="E2" s="21" t="s">
        <v>56</v>
      </c>
      <c r="F2" s="21" t="s">
        <v>57</v>
      </c>
      <c r="G2" s="103" t="s">
        <v>172</v>
      </c>
      <c r="H2" s="21" t="s">
        <v>62</v>
      </c>
      <c r="I2" s="18" t="s">
        <v>55</v>
      </c>
      <c r="J2" s="18" t="s">
        <v>3798</v>
      </c>
      <c r="K2" s="157" t="s">
        <v>3</v>
      </c>
      <c r="L2" s="157" t="s">
        <v>2</v>
      </c>
      <c r="M2" s="157" t="s">
        <v>3336</v>
      </c>
      <c r="N2" s="157" t="s">
        <v>3598</v>
      </c>
      <c r="O2" s="157" t="s">
        <v>3599</v>
      </c>
      <c r="P2" s="18" t="s">
        <v>3600</v>
      </c>
      <c r="Q2" s="18" t="s">
        <v>3601</v>
      </c>
      <c r="R2" s="18" t="s">
        <v>3335</v>
      </c>
      <c r="S2" s="18" t="s">
        <v>3602</v>
      </c>
      <c r="T2" s="18" t="s">
        <v>3758</v>
      </c>
      <c r="U2" s="18" t="s">
        <v>3771</v>
      </c>
      <c r="V2" s="18" t="s">
        <v>3788</v>
      </c>
      <c r="W2" s="18" t="s">
        <v>3789</v>
      </c>
      <c r="X2" s="18" t="s">
        <v>3790</v>
      </c>
      <c r="Y2" s="18" t="s">
        <v>3791</v>
      </c>
      <c r="Z2" s="18" t="s">
        <v>3788</v>
      </c>
      <c r="AA2" s="18" t="s">
        <v>3789</v>
      </c>
      <c r="AB2" s="18" t="s">
        <v>3790</v>
      </c>
      <c r="AC2" s="18" t="s">
        <v>3791</v>
      </c>
    </row>
    <row r="3" spans="1:29" ht="18" x14ac:dyDescent="0.3">
      <c r="A3" s="21"/>
      <c r="B3" s="21"/>
      <c r="C3" s="21"/>
      <c r="D3" s="21"/>
      <c r="E3" s="21"/>
      <c r="F3" s="21"/>
      <c r="G3" s="21"/>
      <c r="H3" s="21"/>
      <c r="I3" s="10">
        <v>1</v>
      </c>
      <c r="J3" s="10">
        <f>材料产出!C21</f>
        <v>4.3</v>
      </c>
      <c r="K3" s="165">
        <f t="shared" ref="K3:L10" si="0">INT($I3/$I$12*K$12)</f>
        <v>50</v>
      </c>
      <c r="L3" s="165">
        <f t="shared" si="0"/>
        <v>25</v>
      </c>
      <c r="M3" s="165">
        <f>参数调整!AA3</f>
        <v>0.5</v>
      </c>
      <c r="N3" s="165">
        <f t="shared" ref="N3:N11" si="1">K3</f>
        <v>50</v>
      </c>
      <c r="O3" s="165">
        <f t="shared" ref="O3:O11" si="2">L3</f>
        <v>25</v>
      </c>
      <c r="P3" s="10">
        <f t="shared" ref="P3:P11" si="3">INT(N3*M3)</f>
        <v>25</v>
      </c>
      <c r="Q3" s="10">
        <f t="shared" ref="Q3:Q11" si="4">INT(O3*M3)</f>
        <v>12</v>
      </c>
      <c r="R3" s="10">
        <f t="shared" ref="R3:R11" si="5">INT(1/11*P3)</f>
        <v>2</v>
      </c>
      <c r="S3" s="10">
        <f t="shared" ref="S3:S11" si="6">INT(1/11*Q3)</f>
        <v>1</v>
      </c>
      <c r="T3" s="10">
        <f>K3*(属性价值参考!C$7+属性价值参考!C$8)+天尊洗炼!L3*(属性价值参考!C$9+属性价值参考!C$10+属性价值参考!C$11+属性价值参考!C$12)</f>
        <v>6030</v>
      </c>
      <c r="U3" s="10"/>
      <c r="V3" s="8">
        <f t="shared" ref="V3:V11" si="7">T3/1825*1</f>
        <v>3.3041095890410959</v>
      </c>
      <c r="W3" s="8">
        <f t="shared" ref="W3:W11" si="8">T3/1825*2.5</f>
        <v>8.2602739726027394</v>
      </c>
      <c r="X3" s="8">
        <f t="shared" ref="X3:X11" si="9">T3/1825*2.5</f>
        <v>8.2602739726027394</v>
      </c>
      <c r="Y3" s="8">
        <f t="shared" ref="Y3:Y11" si="10">T3/1825*25</f>
        <v>82.602739726027394</v>
      </c>
      <c r="Z3" s="8">
        <f>ROUND(1/10*V$12*J3/11,0)</f>
        <v>1</v>
      </c>
      <c r="AA3" s="8">
        <f>ROUND(1/10*W$12*J3/11,0)</f>
        <v>3</v>
      </c>
      <c r="AB3" s="8">
        <f>ROUND(1/10*X$12*J3/11,0)</f>
        <v>3</v>
      </c>
      <c r="AC3" s="8">
        <f>ROUND(1/10*Y$12*J3/11,0)</f>
        <v>32</v>
      </c>
    </row>
    <row r="4" spans="1:29" ht="16.5" x14ac:dyDescent="0.3">
      <c r="A4" s="35" t="s">
        <v>3498</v>
      </c>
      <c r="B4" s="35" t="s">
        <v>3499</v>
      </c>
      <c r="C4" s="41" t="s">
        <v>3500</v>
      </c>
      <c r="D4" s="35">
        <v>0</v>
      </c>
      <c r="E4" s="111"/>
      <c r="F4" s="35"/>
      <c r="G4" s="113"/>
      <c r="H4" s="37" t="str">
        <f>"火龙精魄"&amp;Z3&amp;"/武器碎片"&amp;AA3&amp;"/烈焰玄铁"&amp;AB3&amp;"/火龙币"&amp;AC3</f>
        <v>火龙精魄1/武器碎片3/烈焰玄铁3/火龙币32</v>
      </c>
      <c r="I4" s="10">
        <v>2</v>
      </c>
      <c r="J4" s="10">
        <f>材料产出!C22</f>
        <v>4.5999999999999996</v>
      </c>
      <c r="K4" s="165">
        <f t="shared" si="0"/>
        <v>100</v>
      </c>
      <c r="L4" s="165">
        <f t="shared" si="0"/>
        <v>50</v>
      </c>
      <c r="M4" s="165">
        <f>参数调整!AA4</f>
        <v>0.55000000000000004</v>
      </c>
      <c r="N4" s="165">
        <f t="shared" si="1"/>
        <v>100</v>
      </c>
      <c r="O4" s="165">
        <f t="shared" si="2"/>
        <v>50</v>
      </c>
      <c r="P4" s="10">
        <f t="shared" si="3"/>
        <v>55</v>
      </c>
      <c r="Q4" s="10">
        <f t="shared" si="4"/>
        <v>27</v>
      </c>
      <c r="R4" s="10">
        <f t="shared" si="5"/>
        <v>5</v>
      </c>
      <c r="S4" s="10">
        <f t="shared" si="6"/>
        <v>2</v>
      </c>
      <c r="T4" s="10">
        <f>K4*(属性价值参考!C$7+属性价值参考!C$8)+天尊洗炼!L4*(属性价值参考!C$9+属性价值参考!C$10+属性价值参考!C$11+属性价值参考!C$12)</f>
        <v>12060</v>
      </c>
      <c r="U4" s="10"/>
      <c r="V4" s="8">
        <f t="shared" si="7"/>
        <v>6.6082191780821917</v>
      </c>
      <c r="W4" s="8">
        <f t="shared" si="8"/>
        <v>16.520547945205479</v>
      </c>
      <c r="X4" s="8">
        <f t="shared" si="9"/>
        <v>16.520547945205479</v>
      </c>
      <c r="Y4" s="8">
        <f t="shared" si="10"/>
        <v>165.20547945205479</v>
      </c>
      <c r="Z4" s="8">
        <f t="shared" ref="Z4:Z11" si="11">ROUND(1/10*V$12*J4/11,0)</f>
        <v>1</v>
      </c>
      <c r="AA4" s="8">
        <f t="shared" ref="AA4:AA12" si="12">ROUND(1/10*W$12*J4/11,0)</f>
        <v>3</v>
      </c>
      <c r="AB4" s="8">
        <f t="shared" ref="AB4:AB12" si="13">ROUND(1/10*X$12*J4/11,0)</f>
        <v>3</v>
      </c>
      <c r="AC4" s="8">
        <f t="shared" ref="AC4:AC12" si="14">ROUND(1/10*Y$12*J4/11,0)</f>
        <v>35</v>
      </c>
    </row>
    <row r="5" spans="1:29" ht="16.5" x14ac:dyDescent="0.3">
      <c r="A5" s="35" t="s">
        <v>3498</v>
      </c>
      <c r="B5" s="35" t="s">
        <v>3499</v>
      </c>
      <c r="C5" s="41" t="s">
        <v>3500</v>
      </c>
      <c r="D5" s="35">
        <v>1</v>
      </c>
      <c r="E5" s="111"/>
      <c r="F5" s="35"/>
      <c r="G5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5" s="37" t="str">
        <f t="shared" ref="H5:H13" si="15">"火龙精魄"&amp;Z4&amp;"/武器碎片"&amp;AA4&amp;"/烈焰玄铁"&amp;AB4&amp;"/火龙币"&amp;AC4</f>
        <v>火龙精魄1/武器碎片3/烈焰玄铁3/火龙币35</v>
      </c>
      <c r="I5" s="10">
        <v>3</v>
      </c>
      <c r="J5" s="10">
        <f>材料产出!C23</f>
        <v>4.9000000000000004</v>
      </c>
      <c r="K5" s="165">
        <f t="shared" si="0"/>
        <v>150</v>
      </c>
      <c r="L5" s="165">
        <f t="shared" si="0"/>
        <v>75</v>
      </c>
      <c r="M5" s="165">
        <f>参数调整!AA5</f>
        <v>0.6</v>
      </c>
      <c r="N5" s="165">
        <f t="shared" si="1"/>
        <v>150</v>
      </c>
      <c r="O5" s="165">
        <f t="shared" si="2"/>
        <v>75</v>
      </c>
      <c r="P5" s="10">
        <f t="shared" si="3"/>
        <v>90</v>
      </c>
      <c r="Q5" s="10">
        <f t="shared" si="4"/>
        <v>45</v>
      </c>
      <c r="R5" s="10">
        <f t="shared" si="5"/>
        <v>8</v>
      </c>
      <c r="S5" s="10">
        <f t="shared" si="6"/>
        <v>4</v>
      </c>
      <c r="T5" s="10">
        <f>K5*(属性价值参考!C$7+属性价值参考!C$8)+天尊洗炼!L5*(属性价值参考!C$9+属性价值参考!C$10+属性价值参考!C$11+属性价值参考!C$12)</f>
        <v>18090</v>
      </c>
      <c r="U5" s="10"/>
      <c r="V5" s="8">
        <f t="shared" si="7"/>
        <v>9.912328767123288</v>
      </c>
      <c r="W5" s="8">
        <f t="shared" si="8"/>
        <v>24.780821917808218</v>
      </c>
      <c r="X5" s="8">
        <f t="shared" si="9"/>
        <v>24.780821917808218</v>
      </c>
      <c r="Y5" s="8">
        <f t="shared" si="10"/>
        <v>247.8082191780822</v>
      </c>
      <c r="Z5" s="8">
        <f>ROUND(1/10*V$12*J5/11,0)</f>
        <v>1</v>
      </c>
      <c r="AA5" s="8">
        <f t="shared" si="12"/>
        <v>4</v>
      </c>
      <c r="AB5" s="8">
        <f t="shared" si="13"/>
        <v>4</v>
      </c>
      <c r="AC5" s="8">
        <f t="shared" si="14"/>
        <v>37</v>
      </c>
    </row>
    <row r="6" spans="1:29" ht="16.5" x14ac:dyDescent="0.3">
      <c r="A6" s="35" t="s">
        <v>3498</v>
      </c>
      <c r="B6" s="35" t="s">
        <v>3499</v>
      </c>
      <c r="C6" s="41" t="s">
        <v>3500</v>
      </c>
      <c r="D6" s="35">
        <v>2</v>
      </c>
      <c r="E6" s="111"/>
      <c r="F6" s="35"/>
      <c r="G6" s="35" t="str">
        <f t="shared" ref="G6:G14" si="1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" s="37" t="str">
        <f t="shared" si="15"/>
        <v>火龙精魄1/武器碎片4/烈焰玄铁4/火龙币37</v>
      </c>
      <c r="I6" s="10">
        <v>4</v>
      </c>
      <c r="J6" s="10">
        <f>材料产出!C24</f>
        <v>5.2</v>
      </c>
      <c r="K6" s="165">
        <f t="shared" si="0"/>
        <v>200</v>
      </c>
      <c r="L6" s="165">
        <f t="shared" si="0"/>
        <v>100</v>
      </c>
      <c r="M6" s="165">
        <f>参数调整!AA6</f>
        <v>0.65</v>
      </c>
      <c r="N6" s="165">
        <f t="shared" si="1"/>
        <v>200</v>
      </c>
      <c r="O6" s="165">
        <f t="shared" si="2"/>
        <v>100</v>
      </c>
      <c r="P6" s="10">
        <f t="shared" si="3"/>
        <v>130</v>
      </c>
      <c r="Q6" s="10">
        <f t="shared" si="4"/>
        <v>65</v>
      </c>
      <c r="R6" s="10">
        <f t="shared" si="5"/>
        <v>11</v>
      </c>
      <c r="S6" s="10">
        <f t="shared" si="6"/>
        <v>5</v>
      </c>
      <c r="T6" s="10">
        <f>K6*(属性价值参考!C$7+属性价值参考!C$8)+天尊洗炼!L6*(属性价值参考!C$9+属性价值参考!C$10+属性价值参考!C$11+属性价值参考!C$12)</f>
        <v>24120</v>
      </c>
      <c r="U6" s="10"/>
      <c r="V6" s="8">
        <f t="shared" si="7"/>
        <v>13.216438356164383</v>
      </c>
      <c r="W6" s="8">
        <f t="shared" si="8"/>
        <v>33.041095890410958</v>
      </c>
      <c r="X6" s="8">
        <f t="shared" si="9"/>
        <v>33.041095890410958</v>
      </c>
      <c r="Y6" s="8">
        <f t="shared" si="10"/>
        <v>330.41095890410958</v>
      </c>
      <c r="Z6" s="8">
        <f t="shared" si="11"/>
        <v>2</v>
      </c>
      <c r="AA6" s="8">
        <f t="shared" si="12"/>
        <v>4</v>
      </c>
      <c r="AB6" s="8">
        <f t="shared" si="13"/>
        <v>4</v>
      </c>
      <c r="AC6" s="8">
        <f t="shared" si="14"/>
        <v>39</v>
      </c>
    </row>
    <row r="7" spans="1:29" ht="16.5" x14ac:dyDescent="0.3">
      <c r="A7" s="35" t="s">
        <v>3498</v>
      </c>
      <c r="B7" s="35" t="s">
        <v>3499</v>
      </c>
      <c r="C7" s="41" t="s">
        <v>3500</v>
      </c>
      <c r="D7" s="35">
        <v>3</v>
      </c>
      <c r="E7" s="111"/>
      <c r="F7" s="35"/>
      <c r="G7" s="35" t="str">
        <f t="shared" si="16"/>
        <v>3#3#8|3#4#8|3#5#8|3#6#8|3#7#8|3#8#8|3#9#4|3#10#4|3#11#4|3#12#4</v>
      </c>
      <c r="H7" s="37" t="str">
        <f t="shared" si="15"/>
        <v>火龙精魄2/武器碎片4/烈焰玄铁4/火龙币39</v>
      </c>
      <c r="I7" s="10">
        <v>5</v>
      </c>
      <c r="J7" s="10">
        <f>材料产出!C25</f>
        <v>5.5</v>
      </c>
      <c r="K7" s="165">
        <f t="shared" si="0"/>
        <v>250</v>
      </c>
      <c r="L7" s="165">
        <f t="shared" si="0"/>
        <v>125</v>
      </c>
      <c r="M7" s="165">
        <f>参数调整!AA7</f>
        <v>0.7</v>
      </c>
      <c r="N7" s="165">
        <f t="shared" si="1"/>
        <v>250</v>
      </c>
      <c r="O7" s="165">
        <f t="shared" si="2"/>
        <v>125</v>
      </c>
      <c r="P7" s="10">
        <f t="shared" si="3"/>
        <v>175</v>
      </c>
      <c r="Q7" s="10">
        <f t="shared" si="4"/>
        <v>87</v>
      </c>
      <c r="R7" s="10">
        <f t="shared" si="5"/>
        <v>15</v>
      </c>
      <c r="S7" s="10">
        <f t="shared" si="6"/>
        <v>7</v>
      </c>
      <c r="T7" s="10">
        <f>K7*(属性价值参考!C$7+属性价值参考!C$8)+天尊洗炼!L7*(属性价值参考!C$9+属性价值参考!C$10+属性价值参考!C$11+属性价值参考!C$12)</f>
        <v>30150</v>
      </c>
      <c r="U7" s="10"/>
      <c r="V7" s="8">
        <f t="shared" si="7"/>
        <v>16.520547945205479</v>
      </c>
      <c r="W7" s="8">
        <f t="shared" si="8"/>
        <v>41.301369863013697</v>
      </c>
      <c r="X7" s="8">
        <f t="shared" si="9"/>
        <v>41.301369863013697</v>
      </c>
      <c r="Y7" s="8">
        <f t="shared" si="10"/>
        <v>413.01369863013696</v>
      </c>
      <c r="Z7" s="8">
        <f t="shared" si="11"/>
        <v>2</v>
      </c>
      <c r="AA7" s="8">
        <f t="shared" si="12"/>
        <v>4</v>
      </c>
      <c r="AB7" s="8">
        <f t="shared" si="13"/>
        <v>4</v>
      </c>
      <c r="AC7" s="8">
        <f t="shared" si="14"/>
        <v>41</v>
      </c>
    </row>
    <row r="8" spans="1:29" ht="16.5" x14ac:dyDescent="0.3">
      <c r="A8" s="35" t="s">
        <v>3498</v>
      </c>
      <c r="B8" s="35" t="s">
        <v>3499</v>
      </c>
      <c r="C8" s="41" t="s">
        <v>3500</v>
      </c>
      <c r="D8" s="35">
        <v>4</v>
      </c>
      <c r="E8" s="111"/>
      <c r="F8" s="35"/>
      <c r="G8" s="35" t="str">
        <f t="shared" si="16"/>
        <v>3#3#11|3#4#11|3#5#11|3#6#11|3#7#11|3#8#11|3#9#5|3#10#5|3#11#5|3#12#5</v>
      </c>
      <c r="H8" s="37" t="str">
        <f t="shared" si="15"/>
        <v>火龙精魄2/武器碎片4/烈焰玄铁4/火龙币41</v>
      </c>
      <c r="I8" s="10">
        <v>6</v>
      </c>
      <c r="J8" s="10">
        <f>材料产出!C26</f>
        <v>5.8</v>
      </c>
      <c r="K8" s="165">
        <f t="shared" si="0"/>
        <v>300</v>
      </c>
      <c r="L8" s="165">
        <f t="shared" si="0"/>
        <v>150</v>
      </c>
      <c r="M8" s="165">
        <f>参数调整!AA8</f>
        <v>0.75</v>
      </c>
      <c r="N8" s="165">
        <f t="shared" si="1"/>
        <v>300</v>
      </c>
      <c r="O8" s="165">
        <f t="shared" si="2"/>
        <v>150</v>
      </c>
      <c r="P8" s="10">
        <f t="shared" si="3"/>
        <v>225</v>
      </c>
      <c r="Q8" s="10">
        <f t="shared" si="4"/>
        <v>112</v>
      </c>
      <c r="R8" s="10">
        <f t="shared" si="5"/>
        <v>20</v>
      </c>
      <c r="S8" s="10">
        <f t="shared" si="6"/>
        <v>10</v>
      </c>
      <c r="T8" s="10">
        <f>K8*(属性价值参考!C$7+属性价值参考!C$8)+天尊洗炼!L8*(属性价值参考!C$9+属性价值参考!C$10+属性价值参考!C$11+属性价值参考!C$12)</f>
        <v>36180</v>
      </c>
      <c r="U8" s="10"/>
      <c r="V8" s="8">
        <f t="shared" si="7"/>
        <v>19.824657534246576</v>
      </c>
      <c r="W8" s="8">
        <f t="shared" si="8"/>
        <v>49.561643835616437</v>
      </c>
      <c r="X8" s="8">
        <f t="shared" si="9"/>
        <v>49.561643835616437</v>
      </c>
      <c r="Y8" s="8">
        <f t="shared" si="10"/>
        <v>495.61643835616439</v>
      </c>
      <c r="Z8" s="8">
        <f t="shared" si="11"/>
        <v>2</v>
      </c>
      <c r="AA8" s="8">
        <f t="shared" si="12"/>
        <v>4</v>
      </c>
      <c r="AB8" s="8">
        <f t="shared" si="13"/>
        <v>4</v>
      </c>
      <c r="AC8" s="8">
        <f t="shared" si="14"/>
        <v>44</v>
      </c>
    </row>
    <row r="9" spans="1:29" ht="16.5" x14ac:dyDescent="0.3">
      <c r="A9" s="35" t="s">
        <v>3498</v>
      </c>
      <c r="B9" s="35" t="s">
        <v>3499</v>
      </c>
      <c r="C9" s="41" t="s">
        <v>3500</v>
      </c>
      <c r="D9" s="35">
        <v>5</v>
      </c>
      <c r="E9" s="111"/>
      <c r="F9" s="35"/>
      <c r="G9" s="35" t="str">
        <f t="shared" si="16"/>
        <v>3#3#15|3#4#15|3#5#15|3#6#15|3#7#15|3#8#15|3#9#7|3#10#7|3#11#7|3#12#7</v>
      </c>
      <c r="H9" s="37" t="str">
        <f t="shared" si="15"/>
        <v>火龙精魄2/武器碎片4/烈焰玄铁4/火龙币44</v>
      </c>
      <c r="I9" s="10">
        <v>7</v>
      </c>
      <c r="J9" s="10">
        <f>材料产出!C27</f>
        <v>6.1</v>
      </c>
      <c r="K9" s="165">
        <f t="shared" si="0"/>
        <v>350</v>
      </c>
      <c r="L9" s="165">
        <f t="shared" si="0"/>
        <v>175</v>
      </c>
      <c r="M9" s="165">
        <f>参数调整!AA9</f>
        <v>0.8</v>
      </c>
      <c r="N9" s="165">
        <f t="shared" si="1"/>
        <v>350</v>
      </c>
      <c r="O9" s="165">
        <f t="shared" si="2"/>
        <v>175</v>
      </c>
      <c r="P9" s="10">
        <f t="shared" si="3"/>
        <v>280</v>
      </c>
      <c r="Q9" s="10">
        <f t="shared" si="4"/>
        <v>140</v>
      </c>
      <c r="R9" s="10">
        <f t="shared" si="5"/>
        <v>25</v>
      </c>
      <c r="S9" s="10">
        <f t="shared" si="6"/>
        <v>12</v>
      </c>
      <c r="T9" s="10">
        <f>K9*(属性价值参考!C$7+属性价值参考!C$8)+天尊洗炼!L9*(属性价值参考!C$9+属性价值参考!C$10+属性价值参考!C$11+属性价值参考!C$12)</f>
        <v>42210.000000000007</v>
      </c>
      <c r="U9" s="10"/>
      <c r="V9" s="8">
        <f t="shared" si="7"/>
        <v>23.128767123287677</v>
      </c>
      <c r="W9" s="8">
        <f t="shared" si="8"/>
        <v>57.82191780821919</v>
      </c>
      <c r="X9" s="8">
        <f t="shared" si="9"/>
        <v>57.82191780821919</v>
      </c>
      <c r="Y9" s="8">
        <f t="shared" si="10"/>
        <v>578.21917808219189</v>
      </c>
      <c r="Z9" s="8">
        <f t="shared" si="11"/>
        <v>2</v>
      </c>
      <c r="AA9" s="8">
        <f t="shared" si="12"/>
        <v>5</v>
      </c>
      <c r="AB9" s="8">
        <f t="shared" si="13"/>
        <v>5</v>
      </c>
      <c r="AC9" s="8">
        <f t="shared" si="14"/>
        <v>46</v>
      </c>
    </row>
    <row r="10" spans="1:29" ht="16.5" x14ac:dyDescent="0.3">
      <c r="A10" s="35" t="s">
        <v>3498</v>
      </c>
      <c r="B10" s="35" t="s">
        <v>3499</v>
      </c>
      <c r="C10" s="41" t="s">
        <v>3500</v>
      </c>
      <c r="D10" s="35">
        <v>6</v>
      </c>
      <c r="E10" s="111"/>
      <c r="F10" s="35"/>
      <c r="G10" s="35" t="str">
        <f t="shared" si="16"/>
        <v>3#3#20|3#4#20|3#5#20|3#6#20|3#7#20|3#8#20|3#9#10|3#10#10|3#11#10|3#12#10</v>
      </c>
      <c r="H10" s="37" t="str">
        <f t="shared" si="15"/>
        <v>火龙精魄2/武器碎片5/烈焰玄铁5/火龙币46</v>
      </c>
      <c r="I10" s="10">
        <v>8</v>
      </c>
      <c r="J10" s="10">
        <f>材料产出!C28</f>
        <v>6.4</v>
      </c>
      <c r="K10" s="165">
        <f t="shared" si="0"/>
        <v>400</v>
      </c>
      <c r="L10" s="165">
        <f>INT($I10/$I$12*L$12)</f>
        <v>200</v>
      </c>
      <c r="M10" s="165">
        <f>参数调整!AA10</f>
        <v>0.85</v>
      </c>
      <c r="N10" s="165">
        <f t="shared" si="1"/>
        <v>400</v>
      </c>
      <c r="O10" s="165">
        <f t="shared" si="2"/>
        <v>200</v>
      </c>
      <c r="P10" s="10">
        <f t="shared" si="3"/>
        <v>340</v>
      </c>
      <c r="Q10" s="10">
        <f t="shared" si="4"/>
        <v>170</v>
      </c>
      <c r="R10" s="10">
        <f t="shared" si="5"/>
        <v>30</v>
      </c>
      <c r="S10" s="10">
        <f t="shared" si="6"/>
        <v>15</v>
      </c>
      <c r="T10" s="10">
        <f>K10*(属性价值参考!C$7+属性价值参考!C$8)+天尊洗炼!L10*(属性价值参考!C$9+属性价值参考!C$10+属性价值参考!C$11+属性价值参考!C$12)</f>
        <v>48240</v>
      </c>
      <c r="U10" s="10"/>
      <c r="V10" s="8">
        <f t="shared" si="7"/>
        <v>26.432876712328767</v>
      </c>
      <c r="W10" s="8">
        <f t="shared" si="8"/>
        <v>66.082191780821915</v>
      </c>
      <c r="X10" s="8">
        <f t="shared" si="9"/>
        <v>66.082191780821915</v>
      </c>
      <c r="Y10" s="8">
        <f t="shared" si="10"/>
        <v>660.82191780821915</v>
      </c>
      <c r="Z10" s="8">
        <f t="shared" si="11"/>
        <v>2</v>
      </c>
      <c r="AA10" s="8">
        <f t="shared" si="12"/>
        <v>5</v>
      </c>
      <c r="AB10" s="8">
        <f t="shared" si="13"/>
        <v>5</v>
      </c>
      <c r="AC10" s="8">
        <f t="shared" si="14"/>
        <v>48</v>
      </c>
    </row>
    <row r="11" spans="1:29" ht="16.5" x14ac:dyDescent="0.3">
      <c r="A11" s="35" t="s">
        <v>3498</v>
      </c>
      <c r="B11" s="35" t="s">
        <v>3499</v>
      </c>
      <c r="C11" s="41" t="s">
        <v>3500</v>
      </c>
      <c r="D11" s="35">
        <v>7</v>
      </c>
      <c r="E11" s="111"/>
      <c r="F11" s="35"/>
      <c r="G11" s="35" t="str">
        <f t="shared" si="16"/>
        <v>3#3#25|3#4#25|3#5#25|3#6#25|3#7#25|3#8#25|3#9#12|3#10#12|3#11#12|3#12#12</v>
      </c>
      <c r="H11" s="37" t="str">
        <f t="shared" si="15"/>
        <v>火龙精魄2/武器碎片5/烈焰玄铁5/火龙币48</v>
      </c>
      <c r="I11" s="10">
        <v>9</v>
      </c>
      <c r="J11" s="10">
        <f>材料产出!C29</f>
        <v>6.7</v>
      </c>
      <c r="K11" s="165">
        <f>INT($I11/$I$12*K$12)</f>
        <v>450</v>
      </c>
      <c r="L11" s="165">
        <f>INT($I11/$I$12*L$12)</f>
        <v>225</v>
      </c>
      <c r="M11" s="165">
        <f>参数调整!AA11</f>
        <v>0.9</v>
      </c>
      <c r="N11" s="165">
        <f t="shared" si="1"/>
        <v>450</v>
      </c>
      <c r="O11" s="165">
        <f t="shared" si="2"/>
        <v>225</v>
      </c>
      <c r="P11" s="10">
        <f t="shared" si="3"/>
        <v>405</v>
      </c>
      <c r="Q11" s="10">
        <f t="shared" si="4"/>
        <v>202</v>
      </c>
      <c r="R11" s="10">
        <f t="shared" si="5"/>
        <v>36</v>
      </c>
      <c r="S11" s="10">
        <f t="shared" si="6"/>
        <v>18</v>
      </c>
      <c r="T11" s="10">
        <f>K11*(属性价值参考!C$7+属性价值参考!C$8)+天尊洗炼!L11*(属性价值参考!C$9+属性价值参考!C$10+属性价值参考!C$11+属性价值参考!C$12)</f>
        <v>54270</v>
      </c>
      <c r="U11" s="10"/>
      <c r="V11" s="8">
        <f t="shared" si="7"/>
        <v>29.736986301369864</v>
      </c>
      <c r="W11" s="8">
        <f t="shared" si="8"/>
        <v>74.342465753424662</v>
      </c>
      <c r="X11" s="8">
        <f t="shared" si="9"/>
        <v>74.342465753424662</v>
      </c>
      <c r="Y11" s="8">
        <f t="shared" si="10"/>
        <v>743.42465753424665</v>
      </c>
      <c r="Z11" s="8">
        <f t="shared" si="11"/>
        <v>2</v>
      </c>
      <c r="AA11" s="8">
        <f t="shared" si="12"/>
        <v>5</v>
      </c>
      <c r="AB11" s="8">
        <f t="shared" si="13"/>
        <v>5</v>
      </c>
      <c r="AC11" s="8">
        <f t="shared" si="14"/>
        <v>50</v>
      </c>
    </row>
    <row r="12" spans="1:29" ht="16.5" x14ac:dyDescent="0.3">
      <c r="A12" s="35" t="s">
        <v>3498</v>
      </c>
      <c r="B12" s="35" t="s">
        <v>3499</v>
      </c>
      <c r="C12" s="41" t="s">
        <v>3500</v>
      </c>
      <c r="D12" s="35">
        <v>8</v>
      </c>
      <c r="E12" s="111"/>
      <c r="F12" s="35"/>
      <c r="G12" s="35" t="str">
        <f t="shared" si="16"/>
        <v>3#3#30|3#4#30|3#5#30|3#6#30|3#7#30|3#8#30|3#9#15|3#10#15|3#11#15|3#12#15</v>
      </c>
      <c r="H12" s="37" t="str">
        <f t="shared" si="15"/>
        <v>火龙精魄2/武器碎片5/烈焰玄铁5/火龙币50</v>
      </c>
      <c r="I12" s="10">
        <v>10</v>
      </c>
      <c r="J12" s="10">
        <f>材料产出!C30</f>
        <v>7</v>
      </c>
      <c r="K12" s="165">
        <f>养成属性分配!AT31</f>
        <v>500</v>
      </c>
      <c r="L12" s="165">
        <f>养成属性分配!AU31</f>
        <v>250</v>
      </c>
      <c r="M12" s="165">
        <f>参数调整!AA12</f>
        <v>1</v>
      </c>
      <c r="N12" s="165">
        <f>K12</f>
        <v>500</v>
      </c>
      <c r="O12" s="165">
        <f>L12</f>
        <v>250</v>
      </c>
      <c r="P12" s="10">
        <f>INT(N12*M12)</f>
        <v>500</v>
      </c>
      <c r="Q12" s="10">
        <f>INT(O12*M12)</f>
        <v>250</v>
      </c>
      <c r="R12" s="10">
        <f>INT(1/11*P12)</f>
        <v>45</v>
      </c>
      <c r="S12" s="10">
        <f>INT(1/11*Q12)</f>
        <v>22</v>
      </c>
      <c r="T12" s="10">
        <f>K12*(属性价值参考!C$7+属性价值参考!C$8)+天尊洗炼!L12*(属性价值参考!C$9+属性价值参考!C$10+属性价值参考!C$11+属性价值参考!C$12)</f>
        <v>60300</v>
      </c>
      <c r="U12" s="10"/>
      <c r="V12" s="8">
        <f>T12/1825*1</f>
        <v>33.041095890410958</v>
      </c>
      <c r="W12" s="8">
        <f>T12/1825*2.5</f>
        <v>82.602739726027394</v>
      </c>
      <c r="X12" s="8">
        <f>T12/1825*2.5</f>
        <v>82.602739726027394</v>
      </c>
      <c r="Y12" s="8">
        <f>T12/1825*25</f>
        <v>826.02739726027391</v>
      </c>
      <c r="Z12" s="8">
        <f>ROUND(1/10*V$12*J12/11,0)</f>
        <v>2</v>
      </c>
      <c r="AA12" s="8">
        <f t="shared" si="12"/>
        <v>5</v>
      </c>
      <c r="AB12" s="8">
        <f t="shared" si="13"/>
        <v>5</v>
      </c>
      <c r="AC12" s="8">
        <f t="shared" si="14"/>
        <v>53</v>
      </c>
    </row>
    <row r="13" spans="1:29" ht="15.75" x14ac:dyDescent="0.3">
      <c r="A13" s="35" t="s">
        <v>3498</v>
      </c>
      <c r="B13" s="35" t="s">
        <v>3499</v>
      </c>
      <c r="C13" s="41" t="s">
        <v>3500</v>
      </c>
      <c r="D13" s="35">
        <v>9</v>
      </c>
      <c r="E13" s="111"/>
      <c r="F13" s="35"/>
      <c r="G13" s="35" t="str">
        <f t="shared" si="16"/>
        <v>3#3#36|3#4#36|3#5#36|3#6#36|3#7#36|3#8#36|3#9#18|3#10#18|3#11#18|3#12#18</v>
      </c>
      <c r="H13" s="37" t="str">
        <f t="shared" si="15"/>
        <v>火龙精魄2/武器碎片5/烈焰玄铁5/火龙币53</v>
      </c>
    </row>
    <row r="14" spans="1:29" ht="15.75" x14ac:dyDescent="0.3">
      <c r="A14" s="35" t="s">
        <v>3498</v>
      </c>
      <c r="B14" s="35" t="s">
        <v>3499</v>
      </c>
      <c r="C14" s="41" t="s">
        <v>3500</v>
      </c>
      <c r="D14" s="35">
        <v>10</v>
      </c>
      <c r="E14" s="111"/>
      <c r="F14" s="35"/>
      <c r="G14" s="35" t="str">
        <f t="shared" si="16"/>
        <v>3#3#45|3#4#45|3#5#45|3#6#45|3#7#45|3#8#45|3#9#22|3#10#22|3#11#22|3#12#22</v>
      </c>
      <c r="H14" s="37"/>
    </row>
    <row r="15" spans="1:29" ht="15.75" x14ac:dyDescent="0.3">
      <c r="A15" s="35" t="s">
        <v>3498</v>
      </c>
      <c r="B15" s="35" t="s">
        <v>3499</v>
      </c>
      <c r="C15" s="41" t="s">
        <v>3501</v>
      </c>
      <c r="D15" s="35">
        <v>0</v>
      </c>
      <c r="E15" s="111"/>
      <c r="F15" s="35"/>
      <c r="G15" s="113"/>
      <c r="H15" s="37" t="str">
        <f>"火龙精魄"&amp;Z3&amp;"/武器碎片"&amp;AA3&amp;"/烈焰玄铁"&amp;AB3&amp;"/火龙币"&amp;AC3</f>
        <v>火龙精魄1/武器碎片3/烈焰玄铁3/火龙币32</v>
      </c>
    </row>
    <row r="16" spans="1:29" ht="15.75" x14ac:dyDescent="0.3">
      <c r="A16" s="35" t="s">
        <v>3498</v>
      </c>
      <c r="B16" s="35" t="s">
        <v>3499</v>
      </c>
      <c r="C16" s="41" t="s">
        <v>3501</v>
      </c>
      <c r="D16" s="35">
        <v>1</v>
      </c>
      <c r="E16" s="111"/>
      <c r="F16" s="35"/>
      <c r="G16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6" s="37" t="str">
        <f t="shared" ref="H16:H24" si="17">"火龙精魄"&amp;Z4&amp;"/武器碎片"&amp;AA4&amp;"/烈焰玄铁"&amp;AB4&amp;"/火龙币"&amp;AC4</f>
        <v>火龙精魄1/武器碎片3/烈焰玄铁3/火龙币35</v>
      </c>
    </row>
    <row r="17" spans="1:8" ht="15.75" x14ac:dyDescent="0.3">
      <c r="A17" s="35" t="s">
        <v>3498</v>
      </c>
      <c r="B17" s="35" t="s">
        <v>3499</v>
      </c>
      <c r="C17" s="41" t="s">
        <v>3501</v>
      </c>
      <c r="D17" s="35">
        <v>2</v>
      </c>
      <c r="E17" s="111"/>
      <c r="F17" s="35"/>
      <c r="G17" s="35" t="str">
        <f t="shared" ref="G17:G25" si="1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" s="37" t="str">
        <f t="shared" si="17"/>
        <v>火龙精魄1/武器碎片4/烈焰玄铁4/火龙币37</v>
      </c>
    </row>
    <row r="18" spans="1:8" ht="15.75" x14ac:dyDescent="0.3">
      <c r="A18" s="35" t="s">
        <v>3498</v>
      </c>
      <c r="B18" s="35" t="s">
        <v>3499</v>
      </c>
      <c r="C18" s="41" t="s">
        <v>3501</v>
      </c>
      <c r="D18" s="35">
        <v>3</v>
      </c>
      <c r="E18" s="111"/>
      <c r="F18" s="35"/>
      <c r="G18" s="35" t="str">
        <f t="shared" si="18"/>
        <v>3#3#8|3#4#8|3#5#8|3#6#8|3#7#8|3#8#8|3#9#4|3#10#4|3#11#4|3#12#4</v>
      </c>
      <c r="H18" s="37" t="str">
        <f t="shared" si="17"/>
        <v>火龙精魄2/武器碎片4/烈焰玄铁4/火龙币39</v>
      </c>
    </row>
    <row r="19" spans="1:8" ht="15.75" x14ac:dyDescent="0.3">
      <c r="A19" s="35" t="s">
        <v>3498</v>
      </c>
      <c r="B19" s="35" t="s">
        <v>3499</v>
      </c>
      <c r="C19" s="41" t="s">
        <v>3501</v>
      </c>
      <c r="D19" s="35">
        <v>4</v>
      </c>
      <c r="E19" s="111"/>
      <c r="F19" s="35"/>
      <c r="G19" s="35" t="str">
        <f t="shared" si="18"/>
        <v>3#3#11|3#4#11|3#5#11|3#6#11|3#7#11|3#8#11|3#9#5|3#10#5|3#11#5|3#12#5</v>
      </c>
      <c r="H19" s="37" t="str">
        <f t="shared" si="17"/>
        <v>火龙精魄2/武器碎片4/烈焰玄铁4/火龙币41</v>
      </c>
    </row>
    <row r="20" spans="1:8" ht="15.75" x14ac:dyDescent="0.3">
      <c r="A20" s="35" t="s">
        <v>3498</v>
      </c>
      <c r="B20" s="35" t="s">
        <v>3499</v>
      </c>
      <c r="C20" s="41" t="s">
        <v>3501</v>
      </c>
      <c r="D20" s="35">
        <v>5</v>
      </c>
      <c r="E20" s="111"/>
      <c r="F20" s="35"/>
      <c r="G20" s="35" t="str">
        <f t="shared" si="18"/>
        <v>3#3#15|3#4#15|3#5#15|3#6#15|3#7#15|3#8#15|3#9#7|3#10#7|3#11#7|3#12#7</v>
      </c>
      <c r="H20" s="37" t="str">
        <f t="shared" si="17"/>
        <v>火龙精魄2/武器碎片4/烈焰玄铁4/火龙币44</v>
      </c>
    </row>
    <row r="21" spans="1:8" ht="15.75" x14ac:dyDescent="0.3">
      <c r="A21" s="35" t="s">
        <v>3498</v>
      </c>
      <c r="B21" s="35" t="s">
        <v>3499</v>
      </c>
      <c r="C21" s="41" t="s">
        <v>3501</v>
      </c>
      <c r="D21" s="35">
        <v>6</v>
      </c>
      <c r="E21" s="111"/>
      <c r="F21" s="35"/>
      <c r="G21" s="35" t="str">
        <f t="shared" si="18"/>
        <v>3#3#20|3#4#20|3#5#20|3#6#20|3#7#20|3#8#20|3#9#10|3#10#10|3#11#10|3#12#10</v>
      </c>
      <c r="H21" s="37" t="str">
        <f t="shared" si="17"/>
        <v>火龙精魄2/武器碎片5/烈焰玄铁5/火龙币46</v>
      </c>
    </row>
    <row r="22" spans="1:8" ht="15.75" x14ac:dyDescent="0.3">
      <c r="A22" s="35" t="s">
        <v>3498</v>
      </c>
      <c r="B22" s="35" t="s">
        <v>3499</v>
      </c>
      <c r="C22" s="41" t="s">
        <v>3501</v>
      </c>
      <c r="D22" s="35">
        <v>7</v>
      </c>
      <c r="E22" s="111"/>
      <c r="F22" s="35"/>
      <c r="G22" s="35" t="str">
        <f t="shared" si="18"/>
        <v>3#3#25|3#4#25|3#5#25|3#6#25|3#7#25|3#8#25|3#9#12|3#10#12|3#11#12|3#12#12</v>
      </c>
      <c r="H22" s="37" t="str">
        <f t="shared" si="17"/>
        <v>火龙精魄2/武器碎片5/烈焰玄铁5/火龙币48</v>
      </c>
    </row>
    <row r="23" spans="1:8" ht="15.75" x14ac:dyDescent="0.3">
      <c r="A23" s="35" t="s">
        <v>3498</v>
      </c>
      <c r="B23" s="35" t="s">
        <v>3499</v>
      </c>
      <c r="C23" s="41" t="s">
        <v>3501</v>
      </c>
      <c r="D23" s="35">
        <v>8</v>
      </c>
      <c r="E23" s="111"/>
      <c r="F23" s="35"/>
      <c r="G23" s="35" t="str">
        <f t="shared" si="18"/>
        <v>3#3#30|3#4#30|3#5#30|3#6#30|3#7#30|3#8#30|3#9#15|3#10#15|3#11#15|3#12#15</v>
      </c>
      <c r="H23" s="37" t="str">
        <f t="shared" si="17"/>
        <v>火龙精魄2/武器碎片5/烈焰玄铁5/火龙币50</v>
      </c>
    </row>
    <row r="24" spans="1:8" ht="15.75" x14ac:dyDescent="0.3">
      <c r="A24" s="35" t="s">
        <v>3498</v>
      </c>
      <c r="B24" s="35" t="s">
        <v>3499</v>
      </c>
      <c r="C24" s="41" t="s">
        <v>3501</v>
      </c>
      <c r="D24" s="35">
        <v>9</v>
      </c>
      <c r="E24" s="111"/>
      <c r="F24" s="35"/>
      <c r="G24" s="35" t="str">
        <f t="shared" si="18"/>
        <v>3#3#36|3#4#36|3#5#36|3#6#36|3#7#36|3#8#36|3#9#18|3#10#18|3#11#18|3#12#18</v>
      </c>
      <c r="H24" s="37" t="str">
        <f t="shared" si="17"/>
        <v>火龙精魄2/武器碎片5/烈焰玄铁5/火龙币53</v>
      </c>
    </row>
    <row r="25" spans="1:8" ht="15.75" x14ac:dyDescent="0.3">
      <c r="A25" s="35" t="s">
        <v>3498</v>
      </c>
      <c r="B25" s="35" t="s">
        <v>3499</v>
      </c>
      <c r="C25" s="41" t="s">
        <v>3501</v>
      </c>
      <c r="D25" s="35">
        <v>10</v>
      </c>
      <c r="E25" s="111"/>
      <c r="F25" s="35"/>
      <c r="G25" s="35" t="str">
        <f t="shared" si="18"/>
        <v>3#3#45|3#4#45|3#5#45|3#6#45|3#7#45|3#8#45|3#9#22|3#10#22|3#11#22|3#12#22</v>
      </c>
      <c r="H25" s="37"/>
    </row>
    <row r="26" spans="1:8" ht="15.75" x14ac:dyDescent="0.3">
      <c r="A26" s="35" t="s">
        <v>3498</v>
      </c>
      <c r="B26" s="35" t="s">
        <v>3499</v>
      </c>
      <c r="C26" s="41" t="s">
        <v>3502</v>
      </c>
      <c r="D26" s="35">
        <v>0</v>
      </c>
      <c r="E26" s="111"/>
      <c r="F26" s="35"/>
      <c r="G26" s="113"/>
      <c r="H26" s="37" t="str">
        <f>"火龙精魄"&amp;Z3&amp;"/武器碎片"&amp;AA3&amp;"/烈焰玄铁"&amp;AB3&amp;"/火龙币"&amp;AC3</f>
        <v>火龙精魄1/武器碎片3/烈焰玄铁3/火龙币32</v>
      </c>
    </row>
    <row r="27" spans="1:8" ht="15.75" x14ac:dyDescent="0.3">
      <c r="A27" s="35" t="s">
        <v>3498</v>
      </c>
      <c r="B27" s="35" t="s">
        <v>3499</v>
      </c>
      <c r="C27" s="41" t="s">
        <v>3502</v>
      </c>
      <c r="D27" s="35">
        <v>1</v>
      </c>
      <c r="E27" s="111"/>
      <c r="F27" s="35"/>
      <c r="G27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7" s="37" t="str">
        <f t="shared" ref="H27:H35" si="19">"火龙精魄"&amp;Z4&amp;"/武器碎片"&amp;AA4&amp;"/烈焰玄铁"&amp;AB4&amp;"/火龙币"&amp;AC4</f>
        <v>火龙精魄1/武器碎片3/烈焰玄铁3/火龙币35</v>
      </c>
    </row>
    <row r="28" spans="1:8" ht="15.75" x14ac:dyDescent="0.3">
      <c r="A28" s="35" t="s">
        <v>3498</v>
      </c>
      <c r="B28" s="35" t="s">
        <v>3499</v>
      </c>
      <c r="C28" s="41" t="s">
        <v>3502</v>
      </c>
      <c r="D28" s="35">
        <v>2</v>
      </c>
      <c r="E28" s="111"/>
      <c r="F28" s="35"/>
      <c r="G28" s="35" t="str">
        <f t="shared" ref="G28:G36" si="2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" s="37" t="str">
        <f t="shared" si="19"/>
        <v>火龙精魄1/武器碎片4/烈焰玄铁4/火龙币37</v>
      </c>
    </row>
    <row r="29" spans="1:8" ht="15.75" x14ac:dyDescent="0.3">
      <c r="A29" s="35" t="s">
        <v>3498</v>
      </c>
      <c r="B29" s="35" t="s">
        <v>3499</v>
      </c>
      <c r="C29" s="41" t="s">
        <v>3502</v>
      </c>
      <c r="D29" s="35">
        <v>3</v>
      </c>
      <c r="E29" s="111"/>
      <c r="F29" s="35"/>
      <c r="G29" s="35" t="str">
        <f t="shared" si="20"/>
        <v>3#3#8|3#4#8|3#5#8|3#6#8|3#7#8|3#8#8|3#9#4|3#10#4|3#11#4|3#12#4</v>
      </c>
      <c r="H29" s="37" t="str">
        <f t="shared" si="19"/>
        <v>火龙精魄2/武器碎片4/烈焰玄铁4/火龙币39</v>
      </c>
    </row>
    <row r="30" spans="1:8" ht="15.75" x14ac:dyDescent="0.3">
      <c r="A30" s="35" t="s">
        <v>3498</v>
      </c>
      <c r="B30" s="35" t="s">
        <v>3499</v>
      </c>
      <c r="C30" s="41" t="s">
        <v>3502</v>
      </c>
      <c r="D30" s="35">
        <v>4</v>
      </c>
      <c r="E30" s="111"/>
      <c r="F30" s="35"/>
      <c r="G30" s="35" t="str">
        <f t="shared" si="20"/>
        <v>3#3#11|3#4#11|3#5#11|3#6#11|3#7#11|3#8#11|3#9#5|3#10#5|3#11#5|3#12#5</v>
      </c>
      <c r="H30" s="37" t="str">
        <f t="shared" si="19"/>
        <v>火龙精魄2/武器碎片4/烈焰玄铁4/火龙币41</v>
      </c>
    </row>
    <row r="31" spans="1:8" ht="15.75" x14ac:dyDescent="0.3">
      <c r="A31" s="35" t="s">
        <v>3498</v>
      </c>
      <c r="B31" s="35" t="s">
        <v>3499</v>
      </c>
      <c r="C31" s="41" t="s">
        <v>3502</v>
      </c>
      <c r="D31" s="35">
        <v>5</v>
      </c>
      <c r="E31" s="111"/>
      <c r="F31" s="35"/>
      <c r="G31" s="35" t="str">
        <f t="shared" si="20"/>
        <v>3#3#15|3#4#15|3#5#15|3#6#15|3#7#15|3#8#15|3#9#7|3#10#7|3#11#7|3#12#7</v>
      </c>
      <c r="H31" s="37" t="str">
        <f t="shared" si="19"/>
        <v>火龙精魄2/武器碎片4/烈焰玄铁4/火龙币44</v>
      </c>
    </row>
    <row r="32" spans="1:8" ht="15.75" x14ac:dyDescent="0.3">
      <c r="A32" s="35" t="s">
        <v>3498</v>
      </c>
      <c r="B32" s="35" t="s">
        <v>3499</v>
      </c>
      <c r="C32" s="41" t="s">
        <v>3502</v>
      </c>
      <c r="D32" s="35">
        <v>6</v>
      </c>
      <c r="E32" s="111"/>
      <c r="F32" s="35"/>
      <c r="G32" s="35" t="str">
        <f t="shared" si="20"/>
        <v>3#3#20|3#4#20|3#5#20|3#6#20|3#7#20|3#8#20|3#9#10|3#10#10|3#11#10|3#12#10</v>
      </c>
      <c r="H32" s="37" t="str">
        <f t="shared" si="19"/>
        <v>火龙精魄2/武器碎片5/烈焰玄铁5/火龙币46</v>
      </c>
    </row>
    <row r="33" spans="1:8" ht="15.75" x14ac:dyDescent="0.3">
      <c r="A33" s="35" t="s">
        <v>3498</v>
      </c>
      <c r="B33" s="35" t="s">
        <v>3499</v>
      </c>
      <c r="C33" s="41" t="s">
        <v>3502</v>
      </c>
      <c r="D33" s="35">
        <v>7</v>
      </c>
      <c r="E33" s="111"/>
      <c r="F33" s="35"/>
      <c r="G33" s="35" t="str">
        <f t="shared" si="20"/>
        <v>3#3#25|3#4#25|3#5#25|3#6#25|3#7#25|3#8#25|3#9#12|3#10#12|3#11#12|3#12#12</v>
      </c>
      <c r="H33" s="37" t="str">
        <f t="shared" si="19"/>
        <v>火龙精魄2/武器碎片5/烈焰玄铁5/火龙币48</v>
      </c>
    </row>
    <row r="34" spans="1:8" ht="15.75" x14ac:dyDescent="0.3">
      <c r="A34" s="35" t="s">
        <v>3498</v>
      </c>
      <c r="B34" s="35" t="s">
        <v>3499</v>
      </c>
      <c r="C34" s="41" t="s">
        <v>3502</v>
      </c>
      <c r="D34" s="35">
        <v>8</v>
      </c>
      <c r="E34" s="111"/>
      <c r="F34" s="35"/>
      <c r="G34" s="35" t="str">
        <f t="shared" si="20"/>
        <v>3#3#30|3#4#30|3#5#30|3#6#30|3#7#30|3#8#30|3#9#15|3#10#15|3#11#15|3#12#15</v>
      </c>
      <c r="H34" s="37" t="str">
        <f t="shared" si="19"/>
        <v>火龙精魄2/武器碎片5/烈焰玄铁5/火龙币50</v>
      </c>
    </row>
    <row r="35" spans="1:8" ht="15.75" x14ac:dyDescent="0.3">
      <c r="A35" s="35" t="s">
        <v>3498</v>
      </c>
      <c r="B35" s="35" t="s">
        <v>3499</v>
      </c>
      <c r="C35" s="41" t="s">
        <v>3502</v>
      </c>
      <c r="D35" s="35">
        <v>9</v>
      </c>
      <c r="E35" s="111"/>
      <c r="F35" s="35"/>
      <c r="G35" s="35" t="str">
        <f t="shared" si="20"/>
        <v>3#3#36|3#4#36|3#5#36|3#6#36|3#7#36|3#8#36|3#9#18|3#10#18|3#11#18|3#12#18</v>
      </c>
      <c r="H35" s="37" t="str">
        <f t="shared" si="19"/>
        <v>火龙精魄2/武器碎片5/烈焰玄铁5/火龙币53</v>
      </c>
    </row>
    <row r="36" spans="1:8" ht="15.75" x14ac:dyDescent="0.3">
      <c r="A36" s="35" t="s">
        <v>3498</v>
      </c>
      <c r="B36" s="35" t="s">
        <v>3499</v>
      </c>
      <c r="C36" s="41" t="s">
        <v>3502</v>
      </c>
      <c r="D36" s="35">
        <v>10</v>
      </c>
      <c r="E36" s="111"/>
      <c r="F36" s="35"/>
      <c r="G36" s="35" t="str">
        <f t="shared" si="20"/>
        <v>3#3#45|3#4#45|3#5#45|3#6#45|3#7#45|3#8#45|3#9#22|3#10#22|3#11#22|3#12#22</v>
      </c>
      <c r="H36" s="37"/>
    </row>
    <row r="37" spans="1:8" ht="15.75" x14ac:dyDescent="0.3">
      <c r="A37" s="35" t="s">
        <v>3498</v>
      </c>
      <c r="B37" s="35" t="s">
        <v>3499</v>
      </c>
      <c r="C37" s="41" t="s">
        <v>3503</v>
      </c>
      <c r="D37" s="35">
        <v>0</v>
      </c>
      <c r="E37" s="111"/>
      <c r="F37" s="35"/>
      <c r="G37" s="113"/>
      <c r="H37" s="37" t="str">
        <f>"火龙精魄"&amp;Z3&amp;"/武器碎片"&amp;AA3&amp;"/烈焰玄铁"&amp;AB3&amp;"/火龙币"&amp;AC3</f>
        <v>火龙精魄1/武器碎片3/烈焰玄铁3/火龙币32</v>
      </c>
    </row>
    <row r="38" spans="1:8" ht="15.75" x14ac:dyDescent="0.3">
      <c r="A38" s="35" t="s">
        <v>3498</v>
      </c>
      <c r="B38" s="35" t="s">
        <v>3499</v>
      </c>
      <c r="C38" s="41" t="s">
        <v>3503</v>
      </c>
      <c r="D38" s="35">
        <v>1</v>
      </c>
      <c r="E38" s="111"/>
      <c r="F38" s="35"/>
      <c r="G38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8" s="37" t="str">
        <f t="shared" ref="H38:H46" si="21">"火龙精魄"&amp;Z4&amp;"/武器碎片"&amp;AA4&amp;"/烈焰玄铁"&amp;AB4&amp;"/火龙币"&amp;AC4</f>
        <v>火龙精魄1/武器碎片3/烈焰玄铁3/火龙币35</v>
      </c>
    </row>
    <row r="39" spans="1:8" ht="15.75" x14ac:dyDescent="0.3">
      <c r="A39" s="35" t="s">
        <v>3498</v>
      </c>
      <c r="B39" s="35" t="s">
        <v>3499</v>
      </c>
      <c r="C39" s="41" t="s">
        <v>3503</v>
      </c>
      <c r="D39" s="35">
        <v>2</v>
      </c>
      <c r="E39" s="111"/>
      <c r="F39" s="35"/>
      <c r="G39" s="35" t="str">
        <f t="shared" ref="G39:G47" si="2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9" s="37" t="str">
        <f t="shared" si="21"/>
        <v>火龙精魄1/武器碎片4/烈焰玄铁4/火龙币37</v>
      </c>
    </row>
    <row r="40" spans="1:8" ht="15.75" x14ac:dyDescent="0.3">
      <c r="A40" s="35" t="s">
        <v>3498</v>
      </c>
      <c r="B40" s="35" t="s">
        <v>3499</v>
      </c>
      <c r="C40" s="41" t="s">
        <v>3503</v>
      </c>
      <c r="D40" s="35">
        <v>3</v>
      </c>
      <c r="E40" s="111"/>
      <c r="F40" s="35"/>
      <c r="G40" s="35" t="str">
        <f t="shared" si="22"/>
        <v>3#3#8|3#4#8|3#5#8|3#6#8|3#7#8|3#8#8|3#9#4|3#10#4|3#11#4|3#12#4</v>
      </c>
      <c r="H40" s="37" t="str">
        <f t="shared" si="21"/>
        <v>火龙精魄2/武器碎片4/烈焰玄铁4/火龙币39</v>
      </c>
    </row>
    <row r="41" spans="1:8" ht="15.75" x14ac:dyDescent="0.3">
      <c r="A41" s="35" t="s">
        <v>3498</v>
      </c>
      <c r="B41" s="35" t="s">
        <v>3499</v>
      </c>
      <c r="C41" s="41" t="s">
        <v>3503</v>
      </c>
      <c r="D41" s="35">
        <v>4</v>
      </c>
      <c r="E41" s="111"/>
      <c r="F41" s="35"/>
      <c r="G41" s="35" t="str">
        <f t="shared" si="22"/>
        <v>3#3#11|3#4#11|3#5#11|3#6#11|3#7#11|3#8#11|3#9#5|3#10#5|3#11#5|3#12#5</v>
      </c>
      <c r="H41" s="37" t="str">
        <f t="shared" si="21"/>
        <v>火龙精魄2/武器碎片4/烈焰玄铁4/火龙币41</v>
      </c>
    </row>
    <row r="42" spans="1:8" ht="15.75" x14ac:dyDescent="0.3">
      <c r="A42" s="35" t="s">
        <v>3498</v>
      </c>
      <c r="B42" s="35" t="s">
        <v>3499</v>
      </c>
      <c r="C42" s="41" t="s">
        <v>3503</v>
      </c>
      <c r="D42" s="35">
        <v>5</v>
      </c>
      <c r="E42" s="111"/>
      <c r="F42" s="35"/>
      <c r="G42" s="35" t="str">
        <f t="shared" si="22"/>
        <v>3#3#15|3#4#15|3#5#15|3#6#15|3#7#15|3#8#15|3#9#7|3#10#7|3#11#7|3#12#7</v>
      </c>
      <c r="H42" s="37" t="str">
        <f t="shared" si="21"/>
        <v>火龙精魄2/武器碎片4/烈焰玄铁4/火龙币44</v>
      </c>
    </row>
    <row r="43" spans="1:8" ht="15.75" x14ac:dyDescent="0.3">
      <c r="A43" s="35" t="s">
        <v>3498</v>
      </c>
      <c r="B43" s="35" t="s">
        <v>3499</v>
      </c>
      <c r="C43" s="41" t="s">
        <v>3503</v>
      </c>
      <c r="D43" s="35">
        <v>6</v>
      </c>
      <c r="E43" s="111"/>
      <c r="F43" s="35"/>
      <c r="G43" s="35" t="str">
        <f t="shared" si="22"/>
        <v>3#3#20|3#4#20|3#5#20|3#6#20|3#7#20|3#8#20|3#9#10|3#10#10|3#11#10|3#12#10</v>
      </c>
      <c r="H43" s="37" t="str">
        <f t="shared" si="21"/>
        <v>火龙精魄2/武器碎片5/烈焰玄铁5/火龙币46</v>
      </c>
    </row>
    <row r="44" spans="1:8" ht="15.75" x14ac:dyDescent="0.3">
      <c r="A44" s="35" t="s">
        <v>3498</v>
      </c>
      <c r="B44" s="35" t="s">
        <v>3499</v>
      </c>
      <c r="C44" s="41" t="s">
        <v>3503</v>
      </c>
      <c r="D44" s="35">
        <v>7</v>
      </c>
      <c r="E44" s="111"/>
      <c r="F44" s="35"/>
      <c r="G44" s="35" t="str">
        <f t="shared" si="22"/>
        <v>3#3#25|3#4#25|3#5#25|3#6#25|3#7#25|3#8#25|3#9#12|3#10#12|3#11#12|3#12#12</v>
      </c>
      <c r="H44" s="37" t="str">
        <f t="shared" si="21"/>
        <v>火龙精魄2/武器碎片5/烈焰玄铁5/火龙币48</v>
      </c>
    </row>
    <row r="45" spans="1:8" ht="15.75" x14ac:dyDescent="0.3">
      <c r="A45" s="35" t="s">
        <v>3498</v>
      </c>
      <c r="B45" s="35" t="s">
        <v>3499</v>
      </c>
      <c r="C45" s="41" t="s">
        <v>3503</v>
      </c>
      <c r="D45" s="35">
        <v>8</v>
      </c>
      <c r="E45" s="111"/>
      <c r="F45" s="35"/>
      <c r="G45" s="35" t="str">
        <f t="shared" si="22"/>
        <v>3#3#30|3#4#30|3#5#30|3#6#30|3#7#30|3#8#30|3#9#15|3#10#15|3#11#15|3#12#15</v>
      </c>
      <c r="H45" s="37" t="str">
        <f t="shared" si="21"/>
        <v>火龙精魄2/武器碎片5/烈焰玄铁5/火龙币50</v>
      </c>
    </row>
    <row r="46" spans="1:8" ht="15.75" x14ac:dyDescent="0.3">
      <c r="A46" s="35" t="s">
        <v>3498</v>
      </c>
      <c r="B46" s="35" t="s">
        <v>3499</v>
      </c>
      <c r="C46" s="41" t="s">
        <v>3503</v>
      </c>
      <c r="D46" s="35">
        <v>9</v>
      </c>
      <c r="E46" s="111"/>
      <c r="F46" s="35"/>
      <c r="G46" s="35" t="str">
        <f t="shared" si="22"/>
        <v>3#3#36|3#4#36|3#5#36|3#6#36|3#7#36|3#8#36|3#9#18|3#10#18|3#11#18|3#12#18</v>
      </c>
      <c r="H46" s="37" t="str">
        <f t="shared" si="21"/>
        <v>火龙精魄2/武器碎片5/烈焰玄铁5/火龙币53</v>
      </c>
    </row>
    <row r="47" spans="1:8" ht="15.75" x14ac:dyDescent="0.3">
      <c r="A47" s="35" t="s">
        <v>3498</v>
      </c>
      <c r="B47" s="35" t="s">
        <v>3499</v>
      </c>
      <c r="C47" s="41" t="s">
        <v>3503</v>
      </c>
      <c r="D47" s="35">
        <v>10</v>
      </c>
      <c r="E47" s="111"/>
      <c r="F47" s="35"/>
      <c r="G47" s="35" t="str">
        <f t="shared" si="22"/>
        <v>3#3#45|3#4#45|3#5#45|3#6#45|3#7#45|3#8#45|3#9#22|3#10#22|3#11#22|3#12#22</v>
      </c>
      <c r="H47" s="37"/>
    </row>
    <row r="48" spans="1:8" ht="15.75" x14ac:dyDescent="0.3">
      <c r="A48" s="35" t="s">
        <v>3498</v>
      </c>
      <c r="B48" s="35" t="s">
        <v>3499</v>
      </c>
      <c r="C48" s="41" t="s">
        <v>3504</v>
      </c>
      <c r="D48" s="35">
        <v>0</v>
      </c>
      <c r="E48" s="111"/>
      <c r="F48" s="35"/>
      <c r="G48" s="113"/>
      <c r="H48" s="37" t="str">
        <f>"火龙精魄"&amp;Z3&amp;"/武器碎片"&amp;AA3&amp;"/烈焰玄铁"&amp;AB3&amp;"/火龙币"&amp;AC3</f>
        <v>火龙精魄1/武器碎片3/烈焰玄铁3/火龙币32</v>
      </c>
    </row>
    <row r="49" spans="1:8" ht="15.75" x14ac:dyDescent="0.3">
      <c r="A49" s="35" t="s">
        <v>3498</v>
      </c>
      <c r="B49" s="35" t="s">
        <v>3499</v>
      </c>
      <c r="C49" s="41" t="s">
        <v>3504</v>
      </c>
      <c r="D49" s="35">
        <v>1</v>
      </c>
      <c r="E49" s="111"/>
      <c r="F49" s="35"/>
      <c r="G49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49" s="37" t="str">
        <f t="shared" ref="H49:H57" si="23">"火龙精魄"&amp;Z4&amp;"/武器碎片"&amp;AA4&amp;"/烈焰玄铁"&amp;AB4&amp;"/火龙币"&amp;AC4</f>
        <v>火龙精魄1/武器碎片3/烈焰玄铁3/火龙币35</v>
      </c>
    </row>
    <row r="50" spans="1:8" ht="15.75" x14ac:dyDescent="0.3">
      <c r="A50" s="35" t="s">
        <v>3498</v>
      </c>
      <c r="B50" s="35" t="s">
        <v>3499</v>
      </c>
      <c r="C50" s="41" t="s">
        <v>3504</v>
      </c>
      <c r="D50" s="35">
        <v>2</v>
      </c>
      <c r="E50" s="111"/>
      <c r="F50" s="35"/>
      <c r="G50" s="35" t="str">
        <f t="shared" ref="G50:G58" si="2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50" s="37" t="str">
        <f t="shared" si="23"/>
        <v>火龙精魄1/武器碎片4/烈焰玄铁4/火龙币37</v>
      </c>
    </row>
    <row r="51" spans="1:8" ht="15.75" x14ac:dyDescent="0.3">
      <c r="A51" s="35" t="s">
        <v>3498</v>
      </c>
      <c r="B51" s="35" t="s">
        <v>3499</v>
      </c>
      <c r="C51" s="41" t="s">
        <v>3504</v>
      </c>
      <c r="D51" s="35">
        <v>3</v>
      </c>
      <c r="E51" s="111"/>
      <c r="F51" s="35"/>
      <c r="G51" s="35" t="str">
        <f t="shared" si="24"/>
        <v>3#3#8|3#4#8|3#5#8|3#6#8|3#7#8|3#8#8|3#9#4|3#10#4|3#11#4|3#12#4</v>
      </c>
      <c r="H51" s="37" t="str">
        <f t="shared" si="23"/>
        <v>火龙精魄2/武器碎片4/烈焰玄铁4/火龙币39</v>
      </c>
    </row>
    <row r="52" spans="1:8" ht="15.75" x14ac:dyDescent="0.3">
      <c r="A52" s="35" t="s">
        <v>3498</v>
      </c>
      <c r="B52" s="35" t="s">
        <v>3499</v>
      </c>
      <c r="C52" s="41" t="s">
        <v>3504</v>
      </c>
      <c r="D52" s="35">
        <v>4</v>
      </c>
      <c r="E52" s="111"/>
      <c r="F52" s="35"/>
      <c r="G52" s="35" t="str">
        <f t="shared" si="24"/>
        <v>3#3#11|3#4#11|3#5#11|3#6#11|3#7#11|3#8#11|3#9#5|3#10#5|3#11#5|3#12#5</v>
      </c>
      <c r="H52" s="37" t="str">
        <f t="shared" si="23"/>
        <v>火龙精魄2/武器碎片4/烈焰玄铁4/火龙币41</v>
      </c>
    </row>
    <row r="53" spans="1:8" ht="15.75" x14ac:dyDescent="0.3">
      <c r="A53" s="35" t="s">
        <v>3498</v>
      </c>
      <c r="B53" s="35" t="s">
        <v>3499</v>
      </c>
      <c r="C53" s="41" t="s">
        <v>3504</v>
      </c>
      <c r="D53" s="35">
        <v>5</v>
      </c>
      <c r="E53" s="111"/>
      <c r="F53" s="35"/>
      <c r="G53" s="35" t="str">
        <f t="shared" si="24"/>
        <v>3#3#15|3#4#15|3#5#15|3#6#15|3#7#15|3#8#15|3#9#7|3#10#7|3#11#7|3#12#7</v>
      </c>
      <c r="H53" s="37" t="str">
        <f t="shared" si="23"/>
        <v>火龙精魄2/武器碎片4/烈焰玄铁4/火龙币44</v>
      </c>
    </row>
    <row r="54" spans="1:8" ht="15.75" x14ac:dyDescent="0.3">
      <c r="A54" s="35" t="s">
        <v>3498</v>
      </c>
      <c r="B54" s="35" t="s">
        <v>3499</v>
      </c>
      <c r="C54" s="41" t="s">
        <v>3504</v>
      </c>
      <c r="D54" s="35">
        <v>6</v>
      </c>
      <c r="E54" s="111"/>
      <c r="F54" s="35"/>
      <c r="G54" s="35" t="str">
        <f t="shared" si="24"/>
        <v>3#3#20|3#4#20|3#5#20|3#6#20|3#7#20|3#8#20|3#9#10|3#10#10|3#11#10|3#12#10</v>
      </c>
      <c r="H54" s="37" t="str">
        <f t="shared" si="23"/>
        <v>火龙精魄2/武器碎片5/烈焰玄铁5/火龙币46</v>
      </c>
    </row>
    <row r="55" spans="1:8" ht="15.75" x14ac:dyDescent="0.3">
      <c r="A55" s="35" t="s">
        <v>3498</v>
      </c>
      <c r="B55" s="35" t="s">
        <v>3499</v>
      </c>
      <c r="C55" s="41" t="s">
        <v>3504</v>
      </c>
      <c r="D55" s="35">
        <v>7</v>
      </c>
      <c r="E55" s="111"/>
      <c r="F55" s="35"/>
      <c r="G55" s="35" t="str">
        <f t="shared" si="24"/>
        <v>3#3#25|3#4#25|3#5#25|3#6#25|3#7#25|3#8#25|3#9#12|3#10#12|3#11#12|3#12#12</v>
      </c>
      <c r="H55" s="37" t="str">
        <f t="shared" si="23"/>
        <v>火龙精魄2/武器碎片5/烈焰玄铁5/火龙币48</v>
      </c>
    </row>
    <row r="56" spans="1:8" ht="15.75" x14ac:dyDescent="0.3">
      <c r="A56" s="35" t="s">
        <v>3498</v>
      </c>
      <c r="B56" s="35" t="s">
        <v>3499</v>
      </c>
      <c r="C56" s="41" t="s">
        <v>3504</v>
      </c>
      <c r="D56" s="35">
        <v>8</v>
      </c>
      <c r="E56" s="111"/>
      <c r="F56" s="35"/>
      <c r="G56" s="35" t="str">
        <f t="shared" si="24"/>
        <v>3#3#30|3#4#30|3#5#30|3#6#30|3#7#30|3#8#30|3#9#15|3#10#15|3#11#15|3#12#15</v>
      </c>
      <c r="H56" s="37" t="str">
        <f t="shared" si="23"/>
        <v>火龙精魄2/武器碎片5/烈焰玄铁5/火龙币50</v>
      </c>
    </row>
    <row r="57" spans="1:8" ht="15.75" x14ac:dyDescent="0.3">
      <c r="A57" s="35" t="s">
        <v>3498</v>
      </c>
      <c r="B57" s="35" t="s">
        <v>3499</v>
      </c>
      <c r="C57" s="41" t="s">
        <v>3504</v>
      </c>
      <c r="D57" s="35">
        <v>9</v>
      </c>
      <c r="E57" s="111"/>
      <c r="F57" s="35"/>
      <c r="G57" s="35" t="str">
        <f t="shared" si="24"/>
        <v>3#3#36|3#4#36|3#5#36|3#6#36|3#7#36|3#8#36|3#9#18|3#10#18|3#11#18|3#12#18</v>
      </c>
      <c r="H57" s="37" t="str">
        <f t="shared" si="23"/>
        <v>火龙精魄2/武器碎片5/烈焰玄铁5/火龙币53</v>
      </c>
    </row>
    <row r="58" spans="1:8" ht="15.75" x14ac:dyDescent="0.3">
      <c r="A58" s="35" t="s">
        <v>3498</v>
      </c>
      <c r="B58" s="35" t="s">
        <v>3499</v>
      </c>
      <c r="C58" s="41" t="s">
        <v>3504</v>
      </c>
      <c r="D58" s="35">
        <v>10</v>
      </c>
      <c r="E58" s="111"/>
      <c r="F58" s="35"/>
      <c r="G58" s="35" t="str">
        <f t="shared" si="24"/>
        <v>3#3#45|3#4#45|3#5#45|3#6#45|3#7#45|3#8#45|3#9#22|3#10#22|3#11#22|3#12#22</v>
      </c>
      <c r="H58" s="37"/>
    </row>
    <row r="59" spans="1:8" ht="15.75" x14ac:dyDescent="0.3">
      <c r="A59" s="35" t="s">
        <v>3498</v>
      </c>
      <c r="B59" s="35" t="s">
        <v>3499</v>
      </c>
      <c r="C59" s="41" t="s">
        <v>3505</v>
      </c>
      <c r="D59" s="35">
        <v>0</v>
      </c>
      <c r="E59" s="111"/>
      <c r="F59" s="35"/>
      <c r="G59" s="113"/>
      <c r="H59" s="37" t="str">
        <f>"火龙精魄"&amp;Z3&amp;"/武器碎片"&amp;AA3&amp;"/烈焰玄铁"&amp;AB3&amp;"/火龙币"&amp;AC3</f>
        <v>火龙精魄1/武器碎片3/烈焰玄铁3/火龙币32</v>
      </c>
    </row>
    <row r="60" spans="1:8" ht="15.75" x14ac:dyDescent="0.3">
      <c r="A60" s="35" t="s">
        <v>3498</v>
      </c>
      <c r="B60" s="35" t="s">
        <v>3499</v>
      </c>
      <c r="C60" s="41" t="s">
        <v>3505</v>
      </c>
      <c r="D60" s="35">
        <v>1</v>
      </c>
      <c r="E60" s="111"/>
      <c r="F60" s="35"/>
      <c r="G60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60" s="37" t="str">
        <f t="shared" ref="H60:H68" si="25">"火龙精魄"&amp;Z4&amp;"/武器碎片"&amp;AA4&amp;"/烈焰玄铁"&amp;AB4&amp;"/火龙币"&amp;AC4</f>
        <v>火龙精魄1/武器碎片3/烈焰玄铁3/火龙币35</v>
      </c>
    </row>
    <row r="61" spans="1:8" ht="15.75" x14ac:dyDescent="0.3">
      <c r="A61" s="35" t="s">
        <v>3498</v>
      </c>
      <c r="B61" s="35" t="s">
        <v>3499</v>
      </c>
      <c r="C61" s="41" t="s">
        <v>3505</v>
      </c>
      <c r="D61" s="35">
        <v>2</v>
      </c>
      <c r="E61" s="111"/>
      <c r="F61" s="35"/>
      <c r="G61" s="35" t="str">
        <f t="shared" ref="G61:G69" si="2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1" s="37" t="str">
        <f t="shared" si="25"/>
        <v>火龙精魄1/武器碎片4/烈焰玄铁4/火龙币37</v>
      </c>
    </row>
    <row r="62" spans="1:8" ht="15.75" x14ac:dyDescent="0.3">
      <c r="A62" s="35" t="s">
        <v>3498</v>
      </c>
      <c r="B62" s="35" t="s">
        <v>3499</v>
      </c>
      <c r="C62" s="41" t="s">
        <v>3505</v>
      </c>
      <c r="D62" s="35">
        <v>3</v>
      </c>
      <c r="E62" s="111"/>
      <c r="F62" s="35"/>
      <c r="G62" s="35" t="str">
        <f t="shared" si="26"/>
        <v>3#3#8|3#4#8|3#5#8|3#6#8|3#7#8|3#8#8|3#9#4|3#10#4|3#11#4|3#12#4</v>
      </c>
      <c r="H62" s="37" t="str">
        <f t="shared" si="25"/>
        <v>火龙精魄2/武器碎片4/烈焰玄铁4/火龙币39</v>
      </c>
    </row>
    <row r="63" spans="1:8" ht="15.75" x14ac:dyDescent="0.3">
      <c r="A63" s="35" t="s">
        <v>3498</v>
      </c>
      <c r="B63" s="35" t="s">
        <v>3499</v>
      </c>
      <c r="C63" s="41" t="s">
        <v>3505</v>
      </c>
      <c r="D63" s="35">
        <v>4</v>
      </c>
      <c r="E63" s="111"/>
      <c r="F63" s="35"/>
      <c r="G63" s="35" t="str">
        <f t="shared" si="26"/>
        <v>3#3#11|3#4#11|3#5#11|3#6#11|3#7#11|3#8#11|3#9#5|3#10#5|3#11#5|3#12#5</v>
      </c>
      <c r="H63" s="37" t="str">
        <f t="shared" si="25"/>
        <v>火龙精魄2/武器碎片4/烈焰玄铁4/火龙币41</v>
      </c>
    </row>
    <row r="64" spans="1:8" ht="15.75" x14ac:dyDescent="0.3">
      <c r="A64" s="35" t="s">
        <v>3498</v>
      </c>
      <c r="B64" s="35" t="s">
        <v>3499</v>
      </c>
      <c r="C64" s="41" t="s">
        <v>3505</v>
      </c>
      <c r="D64" s="35">
        <v>5</v>
      </c>
      <c r="E64" s="111"/>
      <c r="F64" s="35"/>
      <c r="G64" s="35" t="str">
        <f t="shared" si="26"/>
        <v>3#3#15|3#4#15|3#5#15|3#6#15|3#7#15|3#8#15|3#9#7|3#10#7|3#11#7|3#12#7</v>
      </c>
      <c r="H64" s="37" t="str">
        <f t="shared" si="25"/>
        <v>火龙精魄2/武器碎片4/烈焰玄铁4/火龙币44</v>
      </c>
    </row>
    <row r="65" spans="1:8" ht="15.75" x14ac:dyDescent="0.3">
      <c r="A65" s="35" t="s">
        <v>3498</v>
      </c>
      <c r="B65" s="35" t="s">
        <v>3499</v>
      </c>
      <c r="C65" s="41" t="s">
        <v>3505</v>
      </c>
      <c r="D65" s="35">
        <v>6</v>
      </c>
      <c r="E65" s="111"/>
      <c r="F65" s="35"/>
      <c r="G65" s="35" t="str">
        <f t="shared" si="26"/>
        <v>3#3#20|3#4#20|3#5#20|3#6#20|3#7#20|3#8#20|3#9#10|3#10#10|3#11#10|3#12#10</v>
      </c>
      <c r="H65" s="37" t="str">
        <f t="shared" si="25"/>
        <v>火龙精魄2/武器碎片5/烈焰玄铁5/火龙币46</v>
      </c>
    </row>
    <row r="66" spans="1:8" ht="15.75" x14ac:dyDescent="0.3">
      <c r="A66" s="35" t="s">
        <v>3498</v>
      </c>
      <c r="B66" s="35" t="s">
        <v>3499</v>
      </c>
      <c r="C66" s="41" t="s">
        <v>3505</v>
      </c>
      <c r="D66" s="35">
        <v>7</v>
      </c>
      <c r="E66" s="111"/>
      <c r="F66" s="35"/>
      <c r="G66" s="35" t="str">
        <f t="shared" si="26"/>
        <v>3#3#25|3#4#25|3#5#25|3#6#25|3#7#25|3#8#25|3#9#12|3#10#12|3#11#12|3#12#12</v>
      </c>
      <c r="H66" s="37" t="str">
        <f t="shared" si="25"/>
        <v>火龙精魄2/武器碎片5/烈焰玄铁5/火龙币48</v>
      </c>
    </row>
    <row r="67" spans="1:8" ht="15.75" x14ac:dyDescent="0.3">
      <c r="A67" s="35" t="s">
        <v>3498</v>
      </c>
      <c r="B67" s="35" t="s">
        <v>3499</v>
      </c>
      <c r="C67" s="41" t="s">
        <v>3505</v>
      </c>
      <c r="D67" s="35">
        <v>8</v>
      </c>
      <c r="E67" s="111"/>
      <c r="F67" s="35"/>
      <c r="G67" s="35" t="str">
        <f t="shared" si="26"/>
        <v>3#3#30|3#4#30|3#5#30|3#6#30|3#7#30|3#8#30|3#9#15|3#10#15|3#11#15|3#12#15</v>
      </c>
      <c r="H67" s="37" t="str">
        <f t="shared" si="25"/>
        <v>火龙精魄2/武器碎片5/烈焰玄铁5/火龙币50</v>
      </c>
    </row>
    <row r="68" spans="1:8" ht="15.75" x14ac:dyDescent="0.3">
      <c r="A68" s="35" t="s">
        <v>3498</v>
      </c>
      <c r="B68" s="35" t="s">
        <v>3499</v>
      </c>
      <c r="C68" s="41" t="s">
        <v>3505</v>
      </c>
      <c r="D68" s="35">
        <v>9</v>
      </c>
      <c r="E68" s="111"/>
      <c r="F68" s="35"/>
      <c r="G68" s="35" t="str">
        <f t="shared" si="26"/>
        <v>3#3#36|3#4#36|3#5#36|3#6#36|3#7#36|3#8#36|3#9#18|3#10#18|3#11#18|3#12#18</v>
      </c>
      <c r="H68" s="37" t="str">
        <f t="shared" si="25"/>
        <v>火龙精魄2/武器碎片5/烈焰玄铁5/火龙币53</v>
      </c>
    </row>
    <row r="69" spans="1:8" ht="15.75" x14ac:dyDescent="0.3">
      <c r="A69" s="35" t="s">
        <v>3498</v>
      </c>
      <c r="B69" s="35" t="s">
        <v>3499</v>
      </c>
      <c r="C69" s="41" t="s">
        <v>3505</v>
      </c>
      <c r="D69" s="35">
        <v>10</v>
      </c>
      <c r="E69" s="111"/>
      <c r="F69" s="35"/>
      <c r="G69" s="35" t="str">
        <f t="shared" si="26"/>
        <v>3#3#45|3#4#45|3#5#45|3#6#45|3#7#45|3#8#45|3#9#22|3#10#22|3#11#22|3#12#22</v>
      </c>
      <c r="H69" s="37"/>
    </row>
    <row r="70" spans="1:8" ht="15.75" x14ac:dyDescent="0.3">
      <c r="A70" s="35" t="s">
        <v>3498</v>
      </c>
      <c r="B70" s="35" t="s">
        <v>3499</v>
      </c>
      <c r="C70" s="41" t="s">
        <v>3506</v>
      </c>
      <c r="D70" s="35">
        <v>0</v>
      </c>
      <c r="E70" s="111"/>
      <c r="F70" s="35"/>
      <c r="G70" s="113"/>
      <c r="H70" s="37" t="str">
        <f>"火龙精魄"&amp;Z3&amp;"/武器碎片"&amp;AA3&amp;"/烈焰玄铁"&amp;AB3&amp;"/火龙币"&amp;AC3</f>
        <v>火龙精魄1/武器碎片3/烈焰玄铁3/火龙币32</v>
      </c>
    </row>
    <row r="71" spans="1:8" ht="15.75" x14ac:dyDescent="0.3">
      <c r="A71" s="35" t="s">
        <v>3498</v>
      </c>
      <c r="B71" s="35" t="s">
        <v>3499</v>
      </c>
      <c r="C71" s="41" t="s">
        <v>3506</v>
      </c>
      <c r="D71" s="35">
        <v>1</v>
      </c>
      <c r="E71" s="111"/>
      <c r="F71" s="35"/>
      <c r="G71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71" s="37" t="str">
        <f t="shared" ref="H71:H79" si="27">"火龙精魄"&amp;Z4&amp;"/武器碎片"&amp;AA4&amp;"/烈焰玄铁"&amp;AB4&amp;"/火龙币"&amp;AC4</f>
        <v>火龙精魄1/武器碎片3/烈焰玄铁3/火龙币35</v>
      </c>
    </row>
    <row r="72" spans="1:8" ht="15.75" x14ac:dyDescent="0.3">
      <c r="A72" s="35" t="s">
        <v>3498</v>
      </c>
      <c r="B72" s="35" t="s">
        <v>3499</v>
      </c>
      <c r="C72" s="41" t="s">
        <v>3506</v>
      </c>
      <c r="D72" s="35">
        <v>2</v>
      </c>
      <c r="E72" s="111"/>
      <c r="F72" s="35"/>
      <c r="G72" s="35" t="str">
        <f t="shared" ref="G72:G80" si="2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72" s="37" t="str">
        <f t="shared" si="27"/>
        <v>火龙精魄1/武器碎片4/烈焰玄铁4/火龙币37</v>
      </c>
    </row>
    <row r="73" spans="1:8" ht="15.75" x14ac:dyDescent="0.3">
      <c r="A73" s="35" t="s">
        <v>3498</v>
      </c>
      <c r="B73" s="35" t="s">
        <v>3499</v>
      </c>
      <c r="C73" s="41" t="s">
        <v>3506</v>
      </c>
      <c r="D73" s="35">
        <v>3</v>
      </c>
      <c r="E73" s="111"/>
      <c r="F73" s="35"/>
      <c r="G73" s="35" t="str">
        <f t="shared" si="28"/>
        <v>3#3#8|3#4#8|3#5#8|3#6#8|3#7#8|3#8#8|3#9#4|3#10#4|3#11#4|3#12#4</v>
      </c>
      <c r="H73" s="37" t="str">
        <f t="shared" si="27"/>
        <v>火龙精魄2/武器碎片4/烈焰玄铁4/火龙币39</v>
      </c>
    </row>
    <row r="74" spans="1:8" ht="15.75" x14ac:dyDescent="0.3">
      <c r="A74" s="35" t="s">
        <v>3498</v>
      </c>
      <c r="B74" s="35" t="s">
        <v>3499</v>
      </c>
      <c r="C74" s="41" t="s">
        <v>3506</v>
      </c>
      <c r="D74" s="35">
        <v>4</v>
      </c>
      <c r="E74" s="111"/>
      <c r="F74" s="35"/>
      <c r="G74" s="35" t="str">
        <f t="shared" si="28"/>
        <v>3#3#11|3#4#11|3#5#11|3#6#11|3#7#11|3#8#11|3#9#5|3#10#5|3#11#5|3#12#5</v>
      </c>
      <c r="H74" s="37" t="str">
        <f t="shared" si="27"/>
        <v>火龙精魄2/武器碎片4/烈焰玄铁4/火龙币41</v>
      </c>
    </row>
    <row r="75" spans="1:8" ht="15.75" x14ac:dyDescent="0.3">
      <c r="A75" s="35" t="s">
        <v>3498</v>
      </c>
      <c r="B75" s="35" t="s">
        <v>3499</v>
      </c>
      <c r="C75" s="41" t="s">
        <v>3506</v>
      </c>
      <c r="D75" s="35">
        <v>5</v>
      </c>
      <c r="E75" s="111"/>
      <c r="F75" s="35"/>
      <c r="G75" s="35" t="str">
        <f t="shared" si="28"/>
        <v>3#3#15|3#4#15|3#5#15|3#6#15|3#7#15|3#8#15|3#9#7|3#10#7|3#11#7|3#12#7</v>
      </c>
      <c r="H75" s="37" t="str">
        <f t="shared" si="27"/>
        <v>火龙精魄2/武器碎片4/烈焰玄铁4/火龙币44</v>
      </c>
    </row>
    <row r="76" spans="1:8" ht="15.75" x14ac:dyDescent="0.3">
      <c r="A76" s="35" t="s">
        <v>3498</v>
      </c>
      <c r="B76" s="35" t="s">
        <v>3499</v>
      </c>
      <c r="C76" s="41" t="s">
        <v>3506</v>
      </c>
      <c r="D76" s="35">
        <v>6</v>
      </c>
      <c r="E76" s="111"/>
      <c r="F76" s="35"/>
      <c r="G76" s="35" t="str">
        <f t="shared" si="28"/>
        <v>3#3#20|3#4#20|3#5#20|3#6#20|3#7#20|3#8#20|3#9#10|3#10#10|3#11#10|3#12#10</v>
      </c>
      <c r="H76" s="37" t="str">
        <f t="shared" si="27"/>
        <v>火龙精魄2/武器碎片5/烈焰玄铁5/火龙币46</v>
      </c>
    </row>
    <row r="77" spans="1:8" ht="15.75" x14ac:dyDescent="0.3">
      <c r="A77" s="35" t="s">
        <v>3498</v>
      </c>
      <c r="B77" s="35" t="s">
        <v>3499</v>
      </c>
      <c r="C77" s="41" t="s">
        <v>3506</v>
      </c>
      <c r="D77" s="35">
        <v>7</v>
      </c>
      <c r="E77" s="111"/>
      <c r="F77" s="35"/>
      <c r="G77" s="35" t="str">
        <f t="shared" si="28"/>
        <v>3#3#25|3#4#25|3#5#25|3#6#25|3#7#25|3#8#25|3#9#12|3#10#12|3#11#12|3#12#12</v>
      </c>
      <c r="H77" s="37" t="str">
        <f t="shared" si="27"/>
        <v>火龙精魄2/武器碎片5/烈焰玄铁5/火龙币48</v>
      </c>
    </row>
    <row r="78" spans="1:8" ht="15.75" x14ac:dyDescent="0.3">
      <c r="A78" s="35" t="s">
        <v>3498</v>
      </c>
      <c r="B78" s="35" t="s">
        <v>3499</v>
      </c>
      <c r="C78" s="41" t="s">
        <v>3506</v>
      </c>
      <c r="D78" s="35">
        <v>8</v>
      </c>
      <c r="E78" s="111"/>
      <c r="F78" s="35"/>
      <c r="G78" s="35" t="str">
        <f t="shared" si="28"/>
        <v>3#3#30|3#4#30|3#5#30|3#6#30|3#7#30|3#8#30|3#9#15|3#10#15|3#11#15|3#12#15</v>
      </c>
      <c r="H78" s="37" t="str">
        <f t="shared" si="27"/>
        <v>火龙精魄2/武器碎片5/烈焰玄铁5/火龙币50</v>
      </c>
    </row>
    <row r="79" spans="1:8" ht="15.75" x14ac:dyDescent="0.3">
      <c r="A79" s="35" t="s">
        <v>3498</v>
      </c>
      <c r="B79" s="35" t="s">
        <v>3499</v>
      </c>
      <c r="C79" s="41" t="s">
        <v>3506</v>
      </c>
      <c r="D79" s="35">
        <v>9</v>
      </c>
      <c r="E79" s="111"/>
      <c r="F79" s="35"/>
      <c r="G79" s="35" t="str">
        <f t="shared" si="28"/>
        <v>3#3#36|3#4#36|3#5#36|3#6#36|3#7#36|3#8#36|3#9#18|3#10#18|3#11#18|3#12#18</v>
      </c>
      <c r="H79" s="37" t="str">
        <f t="shared" si="27"/>
        <v>火龙精魄2/武器碎片5/烈焰玄铁5/火龙币53</v>
      </c>
    </row>
    <row r="80" spans="1:8" ht="15.75" x14ac:dyDescent="0.3">
      <c r="A80" s="35" t="s">
        <v>3498</v>
      </c>
      <c r="B80" s="35" t="s">
        <v>3499</v>
      </c>
      <c r="C80" s="41" t="s">
        <v>3506</v>
      </c>
      <c r="D80" s="35">
        <v>10</v>
      </c>
      <c r="E80" s="111"/>
      <c r="F80" s="35"/>
      <c r="G80" s="35" t="str">
        <f t="shared" si="28"/>
        <v>3#3#45|3#4#45|3#5#45|3#6#45|3#7#45|3#8#45|3#9#22|3#10#22|3#11#22|3#12#22</v>
      </c>
      <c r="H80" s="37"/>
    </row>
    <row r="81" spans="1:8" ht="15.75" x14ac:dyDescent="0.3">
      <c r="A81" s="35" t="s">
        <v>3498</v>
      </c>
      <c r="B81" s="35" t="s">
        <v>3499</v>
      </c>
      <c r="C81" s="41" t="s">
        <v>3507</v>
      </c>
      <c r="D81" s="35">
        <v>0</v>
      </c>
      <c r="E81" s="111"/>
      <c r="F81" s="35"/>
      <c r="G81" s="113"/>
      <c r="H81" s="37" t="str">
        <f>"火龙精魄"&amp;Z3&amp;"/武器碎片"&amp;AA3&amp;"/烈焰玄铁"&amp;AB3&amp;"/火龙币"&amp;AC3</f>
        <v>火龙精魄1/武器碎片3/烈焰玄铁3/火龙币32</v>
      </c>
    </row>
    <row r="82" spans="1:8" ht="15.75" x14ac:dyDescent="0.3">
      <c r="A82" s="35" t="s">
        <v>3498</v>
      </c>
      <c r="B82" s="35" t="s">
        <v>3499</v>
      </c>
      <c r="C82" s="41" t="s">
        <v>3507</v>
      </c>
      <c r="D82" s="35">
        <v>1</v>
      </c>
      <c r="E82" s="111"/>
      <c r="F82" s="35"/>
      <c r="G82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82" s="37" t="str">
        <f t="shared" ref="H82:H90" si="29">"火龙精魄"&amp;Z4&amp;"/武器碎片"&amp;AA4&amp;"/烈焰玄铁"&amp;AB4&amp;"/火龙币"&amp;AC4</f>
        <v>火龙精魄1/武器碎片3/烈焰玄铁3/火龙币35</v>
      </c>
    </row>
    <row r="83" spans="1:8" ht="15.75" x14ac:dyDescent="0.3">
      <c r="A83" s="35" t="s">
        <v>3498</v>
      </c>
      <c r="B83" s="35" t="s">
        <v>3499</v>
      </c>
      <c r="C83" s="41" t="s">
        <v>3507</v>
      </c>
      <c r="D83" s="35">
        <v>2</v>
      </c>
      <c r="E83" s="111"/>
      <c r="F83" s="35"/>
      <c r="G83" s="35" t="str">
        <f t="shared" ref="G83:G91" si="3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83" s="37" t="str">
        <f t="shared" si="29"/>
        <v>火龙精魄1/武器碎片4/烈焰玄铁4/火龙币37</v>
      </c>
    </row>
    <row r="84" spans="1:8" ht="15.75" x14ac:dyDescent="0.3">
      <c r="A84" s="35" t="s">
        <v>3498</v>
      </c>
      <c r="B84" s="35" t="s">
        <v>3499</v>
      </c>
      <c r="C84" s="41" t="s">
        <v>3507</v>
      </c>
      <c r="D84" s="35">
        <v>3</v>
      </c>
      <c r="E84" s="111"/>
      <c r="F84" s="35"/>
      <c r="G84" s="35" t="str">
        <f t="shared" si="30"/>
        <v>3#3#8|3#4#8|3#5#8|3#6#8|3#7#8|3#8#8|3#9#4|3#10#4|3#11#4|3#12#4</v>
      </c>
      <c r="H84" s="37" t="str">
        <f t="shared" si="29"/>
        <v>火龙精魄2/武器碎片4/烈焰玄铁4/火龙币39</v>
      </c>
    </row>
    <row r="85" spans="1:8" ht="15.75" x14ac:dyDescent="0.3">
      <c r="A85" s="35" t="s">
        <v>3498</v>
      </c>
      <c r="B85" s="35" t="s">
        <v>3499</v>
      </c>
      <c r="C85" s="41" t="s">
        <v>3507</v>
      </c>
      <c r="D85" s="35">
        <v>4</v>
      </c>
      <c r="E85" s="111"/>
      <c r="F85" s="35"/>
      <c r="G85" s="35" t="str">
        <f t="shared" si="30"/>
        <v>3#3#11|3#4#11|3#5#11|3#6#11|3#7#11|3#8#11|3#9#5|3#10#5|3#11#5|3#12#5</v>
      </c>
      <c r="H85" s="37" t="str">
        <f t="shared" si="29"/>
        <v>火龙精魄2/武器碎片4/烈焰玄铁4/火龙币41</v>
      </c>
    </row>
    <row r="86" spans="1:8" ht="15.75" x14ac:dyDescent="0.3">
      <c r="A86" s="35" t="s">
        <v>3498</v>
      </c>
      <c r="B86" s="35" t="s">
        <v>3499</v>
      </c>
      <c r="C86" s="41" t="s">
        <v>3507</v>
      </c>
      <c r="D86" s="35">
        <v>5</v>
      </c>
      <c r="E86" s="111"/>
      <c r="F86" s="35"/>
      <c r="G86" s="35" t="str">
        <f t="shared" si="30"/>
        <v>3#3#15|3#4#15|3#5#15|3#6#15|3#7#15|3#8#15|3#9#7|3#10#7|3#11#7|3#12#7</v>
      </c>
      <c r="H86" s="37" t="str">
        <f t="shared" si="29"/>
        <v>火龙精魄2/武器碎片4/烈焰玄铁4/火龙币44</v>
      </c>
    </row>
    <row r="87" spans="1:8" ht="15.75" x14ac:dyDescent="0.3">
      <c r="A87" s="35" t="s">
        <v>3498</v>
      </c>
      <c r="B87" s="35" t="s">
        <v>3499</v>
      </c>
      <c r="C87" s="41" t="s">
        <v>3507</v>
      </c>
      <c r="D87" s="35">
        <v>6</v>
      </c>
      <c r="E87" s="111"/>
      <c r="F87" s="35"/>
      <c r="G87" s="35" t="str">
        <f t="shared" si="30"/>
        <v>3#3#20|3#4#20|3#5#20|3#6#20|3#7#20|3#8#20|3#9#10|3#10#10|3#11#10|3#12#10</v>
      </c>
      <c r="H87" s="37" t="str">
        <f t="shared" si="29"/>
        <v>火龙精魄2/武器碎片5/烈焰玄铁5/火龙币46</v>
      </c>
    </row>
    <row r="88" spans="1:8" ht="15.75" x14ac:dyDescent="0.3">
      <c r="A88" s="35" t="s">
        <v>3498</v>
      </c>
      <c r="B88" s="35" t="s">
        <v>3499</v>
      </c>
      <c r="C88" s="41" t="s">
        <v>3507</v>
      </c>
      <c r="D88" s="35">
        <v>7</v>
      </c>
      <c r="E88" s="111"/>
      <c r="F88" s="35"/>
      <c r="G88" s="35" t="str">
        <f t="shared" si="30"/>
        <v>3#3#25|3#4#25|3#5#25|3#6#25|3#7#25|3#8#25|3#9#12|3#10#12|3#11#12|3#12#12</v>
      </c>
      <c r="H88" s="37" t="str">
        <f t="shared" si="29"/>
        <v>火龙精魄2/武器碎片5/烈焰玄铁5/火龙币48</v>
      </c>
    </row>
    <row r="89" spans="1:8" ht="15.75" x14ac:dyDescent="0.3">
      <c r="A89" s="35" t="s">
        <v>3498</v>
      </c>
      <c r="B89" s="35" t="s">
        <v>3499</v>
      </c>
      <c r="C89" s="41" t="s">
        <v>3507</v>
      </c>
      <c r="D89" s="35">
        <v>8</v>
      </c>
      <c r="E89" s="111"/>
      <c r="F89" s="35"/>
      <c r="G89" s="35" t="str">
        <f t="shared" si="30"/>
        <v>3#3#30|3#4#30|3#5#30|3#6#30|3#7#30|3#8#30|3#9#15|3#10#15|3#11#15|3#12#15</v>
      </c>
      <c r="H89" s="37" t="str">
        <f t="shared" si="29"/>
        <v>火龙精魄2/武器碎片5/烈焰玄铁5/火龙币50</v>
      </c>
    </row>
    <row r="90" spans="1:8" ht="15.75" x14ac:dyDescent="0.3">
      <c r="A90" s="35" t="s">
        <v>3498</v>
      </c>
      <c r="B90" s="35" t="s">
        <v>3499</v>
      </c>
      <c r="C90" s="41" t="s">
        <v>3507</v>
      </c>
      <c r="D90" s="35">
        <v>9</v>
      </c>
      <c r="E90" s="111"/>
      <c r="F90" s="35"/>
      <c r="G90" s="35" t="str">
        <f t="shared" si="30"/>
        <v>3#3#36|3#4#36|3#5#36|3#6#36|3#7#36|3#8#36|3#9#18|3#10#18|3#11#18|3#12#18</v>
      </c>
      <c r="H90" s="37" t="str">
        <f t="shared" si="29"/>
        <v>火龙精魄2/武器碎片5/烈焰玄铁5/火龙币53</v>
      </c>
    </row>
    <row r="91" spans="1:8" ht="15.75" x14ac:dyDescent="0.3">
      <c r="A91" s="35" t="s">
        <v>3498</v>
      </c>
      <c r="B91" s="35" t="s">
        <v>3499</v>
      </c>
      <c r="C91" s="41" t="s">
        <v>3507</v>
      </c>
      <c r="D91" s="35">
        <v>10</v>
      </c>
      <c r="E91" s="111"/>
      <c r="F91" s="35"/>
      <c r="G91" s="35" t="str">
        <f t="shared" si="30"/>
        <v>3#3#45|3#4#45|3#5#45|3#6#45|3#7#45|3#8#45|3#9#22|3#10#22|3#11#22|3#12#22</v>
      </c>
      <c r="H91" s="37"/>
    </row>
    <row r="92" spans="1:8" ht="15.75" x14ac:dyDescent="0.3">
      <c r="A92" s="35" t="s">
        <v>3498</v>
      </c>
      <c r="B92" s="35" t="s">
        <v>3499</v>
      </c>
      <c r="C92" s="41" t="s">
        <v>3508</v>
      </c>
      <c r="D92" s="35">
        <v>0</v>
      </c>
      <c r="E92" s="111"/>
      <c r="F92" s="35"/>
      <c r="G92" s="113"/>
      <c r="H92" s="37" t="str">
        <f>"火龙精魄"&amp;Z3&amp;"/武器碎片"&amp;AA3&amp;"/烈焰玄铁"&amp;AB3&amp;"/火龙币"&amp;AC3</f>
        <v>火龙精魄1/武器碎片3/烈焰玄铁3/火龙币32</v>
      </c>
    </row>
    <row r="93" spans="1:8" ht="15.75" x14ac:dyDescent="0.3">
      <c r="A93" s="35" t="s">
        <v>3498</v>
      </c>
      <c r="B93" s="35" t="s">
        <v>3499</v>
      </c>
      <c r="C93" s="41" t="s">
        <v>3508</v>
      </c>
      <c r="D93" s="35">
        <v>1</v>
      </c>
      <c r="E93" s="111"/>
      <c r="F93" s="35"/>
      <c r="G93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93" s="37" t="str">
        <f t="shared" ref="H93:H101" si="31">"火龙精魄"&amp;Z4&amp;"/武器碎片"&amp;AA4&amp;"/烈焰玄铁"&amp;AB4&amp;"/火龙币"&amp;AC4</f>
        <v>火龙精魄1/武器碎片3/烈焰玄铁3/火龙币35</v>
      </c>
    </row>
    <row r="94" spans="1:8" ht="15.75" x14ac:dyDescent="0.3">
      <c r="A94" s="35" t="s">
        <v>3498</v>
      </c>
      <c r="B94" s="35" t="s">
        <v>3499</v>
      </c>
      <c r="C94" s="41" t="s">
        <v>3508</v>
      </c>
      <c r="D94" s="35">
        <v>2</v>
      </c>
      <c r="E94" s="111"/>
      <c r="F94" s="35"/>
      <c r="G94" s="35" t="str">
        <f t="shared" ref="G94:G102" si="3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94" s="37" t="str">
        <f t="shared" si="31"/>
        <v>火龙精魄1/武器碎片4/烈焰玄铁4/火龙币37</v>
      </c>
    </row>
    <row r="95" spans="1:8" ht="15.75" x14ac:dyDescent="0.3">
      <c r="A95" s="35" t="s">
        <v>3498</v>
      </c>
      <c r="B95" s="35" t="s">
        <v>3499</v>
      </c>
      <c r="C95" s="41" t="s">
        <v>3508</v>
      </c>
      <c r="D95" s="35">
        <v>3</v>
      </c>
      <c r="E95" s="111"/>
      <c r="F95" s="35"/>
      <c r="G95" s="35" t="str">
        <f t="shared" si="32"/>
        <v>3#3#8|3#4#8|3#5#8|3#6#8|3#7#8|3#8#8|3#9#4|3#10#4|3#11#4|3#12#4</v>
      </c>
      <c r="H95" s="37" t="str">
        <f t="shared" si="31"/>
        <v>火龙精魄2/武器碎片4/烈焰玄铁4/火龙币39</v>
      </c>
    </row>
    <row r="96" spans="1:8" ht="15.75" x14ac:dyDescent="0.3">
      <c r="A96" s="35" t="s">
        <v>3498</v>
      </c>
      <c r="B96" s="35" t="s">
        <v>3499</v>
      </c>
      <c r="C96" s="41" t="s">
        <v>3508</v>
      </c>
      <c r="D96" s="35">
        <v>4</v>
      </c>
      <c r="E96" s="111"/>
      <c r="F96" s="35"/>
      <c r="G96" s="35" t="str">
        <f t="shared" si="32"/>
        <v>3#3#11|3#4#11|3#5#11|3#6#11|3#7#11|3#8#11|3#9#5|3#10#5|3#11#5|3#12#5</v>
      </c>
      <c r="H96" s="37" t="str">
        <f t="shared" si="31"/>
        <v>火龙精魄2/武器碎片4/烈焰玄铁4/火龙币41</v>
      </c>
    </row>
    <row r="97" spans="1:8" ht="15.75" x14ac:dyDescent="0.3">
      <c r="A97" s="35" t="s">
        <v>3498</v>
      </c>
      <c r="B97" s="35" t="s">
        <v>3499</v>
      </c>
      <c r="C97" s="41" t="s">
        <v>3508</v>
      </c>
      <c r="D97" s="35">
        <v>5</v>
      </c>
      <c r="E97" s="111"/>
      <c r="F97" s="35"/>
      <c r="G97" s="35" t="str">
        <f t="shared" si="32"/>
        <v>3#3#15|3#4#15|3#5#15|3#6#15|3#7#15|3#8#15|3#9#7|3#10#7|3#11#7|3#12#7</v>
      </c>
      <c r="H97" s="37" t="str">
        <f t="shared" si="31"/>
        <v>火龙精魄2/武器碎片4/烈焰玄铁4/火龙币44</v>
      </c>
    </row>
    <row r="98" spans="1:8" ht="15.75" x14ac:dyDescent="0.3">
      <c r="A98" s="35" t="s">
        <v>3498</v>
      </c>
      <c r="B98" s="35" t="s">
        <v>3499</v>
      </c>
      <c r="C98" s="41" t="s">
        <v>3508</v>
      </c>
      <c r="D98" s="35">
        <v>6</v>
      </c>
      <c r="E98" s="111"/>
      <c r="F98" s="35"/>
      <c r="G98" s="35" t="str">
        <f t="shared" si="32"/>
        <v>3#3#20|3#4#20|3#5#20|3#6#20|3#7#20|3#8#20|3#9#10|3#10#10|3#11#10|3#12#10</v>
      </c>
      <c r="H98" s="37" t="str">
        <f t="shared" si="31"/>
        <v>火龙精魄2/武器碎片5/烈焰玄铁5/火龙币46</v>
      </c>
    </row>
    <row r="99" spans="1:8" ht="15.75" x14ac:dyDescent="0.3">
      <c r="A99" s="35" t="s">
        <v>3498</v>
      </c>
      <c r="B99" s="35" t="s">
        <v>3499</v>
      </c>
      <c r="C99" s="41" t="s">
        <v>3508</v>
      </c>
      <c r="D99" s="35">
        <v>7</v>
      </c>
      <c r="E99" s="111"/>
      <c r="F99" s="35"/>
      <c r="G99" s="35" t="str">
        <f t="shared" si="32"/>
        <v>3#3#25|3#4#25|3#5#25|3#6#25|3#7#25|3#8#25|3#9#12|3#10#12|3#11#12|3#12#12</v>
      </c>
      <c r="H99" s="37" t="str">
        <f t="shared" si="31"/>
        <v>火龙精魄2/武器碎片5/烈焰玄铁5/火龙币48</v>
      </c>
    </row>
    <row r="100" spans="1:8" ht="15.75" x14ac:dyDescent="0.3">
      <c r="A100" s="35" t="s">
        <v>3498</v>
      </c>
      <c r="B100" s="35" t="s">
        <v>3499</v>
      </c>
      <c r="C100" s="41" t="s">
        <v>3508</v>
      </c>
      <c r="D100" s="35">
        <v>8</v>
      </c>
      <c r="E100" s="111"/>
      <c r="F100" s="35"/>
      <c r="G100" s="35" t="str">
        <f t="shared" si="32"/>
        <v>3#3#30|3#4#30|3#5#30|3#6#30|3#7#30|3#8#30|3#9#15|3#10#15|3#11#15|3#12#15</v>
      </c>
      <c r="H100" s="37" t="str">
        <f t="shared" si="31"/>
        <v>火龙精魄2/武器碎片5/烈焰玄铁5/火龙币50</v>
      </c>
    </row>
    <row r="101" spans="1:8" ht="15.75" x14ac:dyDescent="0.3">
      <c r="A101" s="35" t="s">
        <v>3498</v>
      </c>
      <c r="B101" s="35" t="s">
        <v>3499</v>
      </c>
      <c r="C101" s="41" t="s">
        <v>3508</v>
      </c>
      <c r="D101" s="35">
        <v>9</v>
      </c>
      <c r="E101" s="111"/>
      <c r="F101" s="35"/>
      <c r="G101" s="35" t="str">
        <f t="shared" si="32"/>
        <v>3#3#36|3#4#36|3#5#36|3#6#36|3#7#36|3#8#36|3#9#18|3#10#18|3#11#18|3#12#18</v>
      </c>
      <c r="H101" s="37" t="str">
        <f t="shared" si="31"/>
        <v>火龙精魄2/武器碎片5/烈焰玄铁5/火龙币53</v>
      </c>
    </row>
    <row r="102" spans="1:8" ht="15.75" x14ac:dyDescent="0.3">
      <c r="A102" s="35" t="s">
        <v>3498</v>
      </c>
      <c r="B102" s="35" t="s">
        <v>3499</v>
      </c>
      <c r="C102" s="41" t="s">
        <v>3508</v>
      </c>
      <c r="D102" s="35">
        <v>10</v>
      </c>
      <c r="E102" s="111"/>
      <c r="F102" s="35"/>
      <c r="G102" s="35" t="str">
        <f t="shared" si="32"/>
        <v>3#3#45|3#4#45|3#5#45|3#6#45|3#7#45|3#8#45|3#9#22|3#10#22|3#11#22|3#12#22</v>
      </c>
      <c r="H102" s="37"/>
    </row>
    <row r="103" spans="1:8" ht="15.75" x14ac:dyDescent="0.3">
      <c r="A103" s="35" t="s">
        <v>3498</v>
      </c>
      <c r="B103" s="35" t="s">
        <v>3499</v>
      </c>
      <c r="C103" s="41" t="s">
        <v>3509</v>
      </c>
      <c r="D103" s="35">
        <v>0</v>
      </c>
      <c r="E103" s="111"/>
      <c r="F103" s="35"/>
      <c r="G103" s="113"/>
      <c r="H103" s="37" t="str">
        <f>"火龙精魄"&amp;Z3&amp;"/武器碎片"&amp;AA3&amp;"/烈焰玄铁"&amp;AB3&amp;"/火龙币"&amp;AC3</f>
        <v>火龙精魄1/武器碎片3/烈焰玄铁3/火龙币32</v>
      </c>
    </row>
    <row r="104" spans="1:8" ht="15.75" x14ac:dyDescent="0.3">
      <c r="A104" s="35" t="s">
        <v>3498</v>
      </c>
      <c r="B104" s="35" t="s">
        <v>3499</v>
      </c>
      <c r="C104" s="41" t="s">
        <v>3509</v>
      </c>
      <c r="D104" s="35">
        <v>1</v>
      </c>
      <c r="E104" s="111"/>
      <c r="F104" s="35"/>
      <c r="G104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04" s="37" t="str">
        <f t="shared" ref="H104:H112" si="33">"火龙精魄"&amp;Z4&amp;"/武器碎片"&amp;AA4&amp;"/烈焰玄铁"&amp;AB4&amp;"/火龙币"&amp;AC4</f>
        <v>火龙精魄1/武器碎片3/烈焰玄铁3/火龙币35</v>
      </c>
    </row>
    <row r="105" spans="1:8" ht="15.75" x14ac:dyDescent="0.3">
      <c r="A105" s="35" t="s">
        <v>3498</v>
      </c>
      <c r="B105" s="35" t="s">
        <v>3499</v>
      </c>
      <c r="C105" s="41" t="s">
        <v>3509</v>
      </c>
      <c r="D105" s="35">
        <v>2</v>
      </c>
      <c r="E105" s="111"/>
      <c r="F105" s="35"/>
      <c r="G105" s="35" t="str">
        <f t="shared" ref="G105:G113" si="3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05" s="37" t="str">
        <f t="shared" si="33"/>
        <v>火龙精魄1/武器碎片4/烈焰玄铁4/火龙币37</v>
      </c>
    </row>
    <row r="106" spans="1:8" ht="15.75" x14ac:dyDescent="0.3">
      <c r="A106" s="35" t="s">
        <v>3498</v>
      </c>
      <c r="B106" s="35" t="s">
        <v>3499</v>
      </c>
      <c r="C106" s="41" t="s">
        <v>3509</v>
      </c>
      <c r="D106" s="35">
        <v>3</v>
      </c>
      <c r="E106" s="111"/>
      <c r="F106" s="35"/>
      <c r="G106" s="35" t="str">
        <f t="shared" si="34"/>
        <v>3#3#8|3#4#8|3#5#8|3#6#8|3#7#8|3#8#8|3#9#4|3#10#4|3#11#4|3#12#4</v>
      </c>
      <c r="H106" s="37" t="str">
        <f t="shared" si="33"/>
        <v>火龙精魄2/武器碎片4/烈焰玄铁4/火龙币39</v>
      </c>
    </row>
    <row r="107" spans="1:8" ht="15.75" x14ac:dyDescent="0.3">
      <c r="A107" s="35" t="s">
        <v>3498</v>
      </c>
      <c r="B107" s="35" t="s">
        <v>3499</v>
      </c>
      <c r="C107" s="41" t="s">
        <v>3509</v>
      </c>
      <c r="D107" s="35">
        <v>4</v>
      </c>
      <c r="E107" s="111"/>
      <c r="F107" s="35"/>
      <c r="G107" s="35" t="str">
        <f t="shared" si="34"/>
        <v>3#3#11|3#4#11|3#5#11|3#6#11|3#7#11|3#8#11|3#9#5|3#10#5|3#11#5|3#12#5</v>
      </c>
      <c r="H107" s="37" t="str">
        <f t="shared" si="33"/>
        <v>火龙精魄2/武器碎片4/烈焰玄铁4/火龙币41</v>
      </c>
    </row>
    <row r="108" spans="1:8" ht="15.75" x14ac:dyDescent="0.3">
      <c r="A108" s="35" t="s">
        <v>3498</v>
      </c>
      <c r="B108" s="35" t="s">
        <v>3499</v>
      </c>
      <c r="C108" s="41" t="s">
        <v>3509</v>
      </c>
      <c r="D108" s="35">
        <v>5</v>
      </c>
      <c r="E108" s="111"/>
      <c r="F108" s="35"/>
      <c r="G108" s="35" t="str">
        <f t="shared" si="34"/>
        <v>3#3#15|3#4#15|3#5#15|3#6#15|3#7#15|3#8#15|3#9#7|3#10#7|3#11#7|3#12#7</v>
      </c>
      <c r="H108" s="37" t="str">
        <f t="shared" si="33"/>
        <v>火龙精魄2/武器碎片4/烈焰玄铁4/火龙币44</v>
      </c>
    </row>
    <row r="109" spans="1:8" ht="15.75" x14ac:dyDescent="0.3">
      <c r="A109" s="35" t="s">
        <v>3498</v>
      </c>
      <c r="B109" s="35" t="s">
        <v>3499</v>
      </c>
      <c r="C109" s="41" t="s">
        <v>3509</v>
      </c>
      <c r="D109" s="35">
        <v>6</v>
      </c>
      <c r="E109" s="111"/>
      <c r="F109" s="35"/>
      <c r="G109" s="35" t="str">
        <f t="shared" si="34"/>
        <v>3#3#20|3#4#20|3#5#20|3#6#20|3#7#20|3#8#20|3#9#10|3#10#10|3#11#10|3#12#10</v>
      </c>
      <c r="H109" s="37" t="str">
        <f t="shared" si="33"/>
        <v>火龙精魄2/武器碎片5/烈焰玄铁5/火龙币46</v>
      </c>
    </row>
    <row r="110" spans="1:8" ht="15.75" x14ac:dyDescent="0.3">
      <c r="A110" s="35" t="s">
        <v>3498</v>
      </c>
      <c r="B110" s="35" t="s">
        <v>3499</v>
      </c>
      <c r="C110" s="41" t="s">
        <v>3509</v>
      </c>
      <c r="D110" s="35">
        <v>7</v>
      </c>
      <c r="E110" s="111"/>
      <c r="F110" s="35"/>
      <c r="G110" s="35" t="str">
        <f t="shared" si="34"/>
        <v>3#3#25|3#4#25|3#5#25|3#6#25|3#7#25|3#8#25|3#9#12|3#10#12|3#11#12|3#12#12</v>
      </c>
      <c r="H110" s="37" t="str">
        <f t="shared" si="33"/>
        <v>火龙精魄2/武器碎片5/烈焰玄铁5/火龙币48</v>
      </c>
    </row>
    <row r="111" spans="1:8" ht="15.75" x14ac:dyDescent="0.3">
      <c r="A111" s="35" t="s">
        <v>3498</v>
      </c>
      <c r="B111" s="35" t="s">
        <v>3499</v>
      </c>
      <c r="C111" s="41" t="s">
        <v>3509</v>
      </c>
      <c r="D111" s="35">
        <v>8</v>
      </c>
      <c r="E111" s="111"/>
      <c r="F111" s="35"/>
      <c r="G111" s="35" t="str">
        <f t="shared" si="34"/>
        <v>3#3#30|3#4#30|3#5#30|3#6#30|3#7#30|3#8#30|3#9#15|3#10#15|3#11#15|3#12#15</v>
      </c>
      <c r="H111" s="37" t="str">
        <f t="shared" si="33"/>
        <v>火龙精魄2/武器碎片5/烈焰玄铁5/火龙币50</v>
      </c>
    </row>
    <row r="112" spans="1:8" ht="15.75" x14ac:dyDescent="0.3">
      <c r="A112" s="35" t="s">
        <v>3498</v>
      </c>
      <c r="B112" s="35" t="s">
        <v>3499</v>
      </c>
      <c r="C112" s="41" t="s">
        <v>3509</v>
      </c>
      <c r="D112" s="35">
        <v>9</v>
      </c>
      <c r="E112" s="111"/>
      <c r="F112" s="35"/>
      <c r="G112" s="35" t="str">
        <f t="shared" si="34"/>
        <v>3#3#36|3#4#36|3#5#36|3#6#36|3#7#36|3#8#36|3#9#18|3#10#18|3#11#18|3#12#18</v>
      </c>
      <c r="H112" s="37" t="str">
        <f t="shared" si="33"/>
        <v>火龙精魄2/武器碎片5/烈焰玄铁5/火龙币53</v>
      </c>
    </row>
    <row r="113" spans="1:8" ht="15.75" x14ac:dyDescent="0.3">
      <c r="A113" s="35" t="s">
        <v>3498</v>
      </c>
      <c r="B113" s="35" t="s">
        <v>3499</v>
      </c>
      <c r="C113" s="41" t="s">
        <v>3509</v>
      </c>
      <c r="D113" s="35">
        <v>10</v>
      </c>
      <c r="E113" s="111"/>
      <c r="F113" s="35"/>
      <c r="G113" s="35" t="str">
        <f t="shared" si="34"/>
        <v>3#3#45|3#4#45|3#5#45|3#6#45|3#7#45|3#8#45|3#9#22|3#10#22|3#11#22|3#12#22</v>
      </c>
      <c r="H113" s="37"/>
    </row>
    <row r="114" spans="1:8" ht="15.75" x14ac:dyDescent="0.3">
      <c r="A114" s="44" t="s">
        <v>3498</v>
      </c>
      <c r="B114" s="44" t="s">
        <v>3510</v>
      </c>
      <c r="C114" s="45" t="s">
        <v>3511</v>
      </c>
      <c r="D114" s="44">
        <v>0</v>
      </c>
      <c r="E114" s="114"/>
      <c r="F114" s="44"/>
      <c r="G114" s="117"/>
      <c r="H114" s="116" t="str">
        <f>"魔龙之心"&amp;Z3&amp;"/衣服碎片"&amp;AA3&amp;"/烈焰玄铁"&amp;AB3&amp;"/火龙币"&amp;AC3</f>
        <v>魔龙之心1/衣服碎片3/烈焰玄铁3/火龙币32</v>
      </c>
    </row>
    <row r="115" spans="1:8" ht="15.75" x14ac:dyDescent="0.3">
      <c r="A115" s="44" t="s">
        <v>3498</v>
      </c>
      <c r="B115" s="44" t="s">
        <v>3510</v>
      </c>
      <c r="C115" s="45" t="s">
        <v>3511</v>
      </c>
      <c r="D115" s="44">
        <v>1</v>
      </c>
      <c r="E115" s="114"/>
      <c r="F115" s="44"/>
      <c r="G115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15" s="116" t="str">
        <f t="shared" ref="H115:H123" si="35">"魔龙之心"&amp;Z4&amp;"/衣服碎片"&amp;AA4&amp;"/烈焰玄铁"&amp;AB4&amp;"/火龙币"&amp;AC4</f>
        <v>魔龙之心1/衣服碎片3/烈焰玄铁3/火龙币35</v>
      </c>
    </row>
    <row r="116" spans="1:8" ht="15.75" x14ac:dyDescent="0.3">
      <c r="A116" s="44" t="s">
        <v>3498</v>
      </c>
      <c r="B116" s="44" t="s">
        <v>3510</v>
      </c>
      <c r="C116" s="45" t="s">
        <v>3511</v>
      </c>
      <c r="D116" s="44">
        <v>2</v>
      </c>
      <c r="E116" s="114"/>
      <c r="F116" s="44"/>
      <c r="G116" s="44" t="str">
        <f t="shared" ref="G116:G124" si="3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16" s="116" t="str">
        <f t="shared" si="35"/>
        <v>魔龙之心1/衣服碎片4/烈焰玄铁4/火龙币37</v>
      </c>
    </row>
    <row r="117" spans="1:8" ht="15.75" x14ac:dyDescent="0.3">
      <c r="A117" s="44" t="s">
        <v>3498</v>
      </c>
      <c r="B117" s="44" t="s">
        <v>3510</v>
      </c>
      <c r="C117" s="45" t="s">
        <v>3511</v>
      </c>
      <c r="D117" s="44">
        <v>3</v>
      </c>
      <c r="E117" s="114"/>
      <c r="F117" s="44"/>
      <c r="G117" s="44" t="str">
        <f t="shared" si="36"/>
        <v>3#3#8|3#4#8|3#5#8|3#6#8|3#7#8|3#8#8|3#9#4|3#10#4|3#11#4|3#12#4</v>
      </c>
      <c r="H117" s="116" t="str">
        <f t="shared" si="35"/>
        <v>魔龙之心2/衣服碎片4/烈焰玄铁4/火龙币39</v>
      </c>
    </row>
    <row r="118" spans="1:8" ht="15.75" x14ac:dyDescent="0.3">
      <c r="A118" s="44" t="s">
        <v>3498</v>
      </c>
      <c r="B118" s="44" t="s">
        <v>3510</v>
      </c>
      <c r="C118" s="45" t="s">
        <v>3511</v>
      </c>
      <c r="D118" s="44">
        <v>4</v>
      </c>
      <c r="E118" s="114"/>
      <c r="F118" s="44"/>
      <c r="G118" s="44" t="str">
        <f t="shared" si="36"/>
        <v>3#3#11|3#4#11|3#5#11|3#6#11|3#7#11|3#8#11|3#9#5|3#10#5|3#11#5|3#12#5</v>
      </c>
      <c r="H118" s="116" t="str">
        <f t="shared" si="35"/>
        <v>魔龙之心2/衣服碎片4/烈焰玄铁4/火龙币41</v>
      </c>
    </row>
    <row r="119" spans="1:8" ht="15.75" x14ac:dyDescent="0.3">
      <c r="A119" s="44" t="s">
        <v>3498</v>
      </c>
      <c r="B119" s="44" t="s">
        <v>3510</v>
      </c>
      <c r="C119" s="45" t="s">
        <v>3511</v>
      </c>
      <c r="D119" s="44">
        <v>5</v>
      </c>
      <c r="E119" s="114"/>
      <c r="F119" s="44"/>
      <c r="G119" s="44" t="str">
        <f t="shared" si="36"/>
        <v>3#3#15|3#4#15|3#5#15|3#6#15|3#7#15|3#8#15|3#9#7|3#10#7|3#11#7|3#12#7</v>
      </c>
      <c r="H119" s="116" t="str">
        <f t="shared" si="35"/>
        <v>魔龙之心2/衣服碎片4/烈焰玄铁4/火龙币44</v>
      </c>
    </row>
    <row r="120" spans="1:8" ht="15.75" x14ac:dyDescent="0.3">
      <c r="A120" s="44" t="s">
        <v>3498</v>
      </c>
      <c r="B120" s="44" t="s">
        <v>3510</v>
      </c>
      <c r="C120" s="45" t="s">
        <v>3511</v>
      </c>
      <c r="D120" s="44">
        <v>6</v>
      </c>
      <c r="E120" s="114"/>
      <c r="F120" s="44"/>
      <c r="G120" s="44" t="str">
        <f t="shared" si="36"/>
        <v>3#3#20|3#4#20|3#5#20|3#6#20|3#7#20|3#8#20|3#9#10|3#10#10|3#11#10|3#12#10</v>
      </c>
      <c r="H120" s="116" t="str">
        <f t="shared" si="35"/>
        <v>魔龙之心2/衣服碎片5/烈焰玄铁5/火龙币46</v>
      </c>
    </row>
    <row r="121" spans="1:8" ht="15.75" x14ac:dyDescent="0.3">
      <c r="A121" s="44" t="s">
        <v>3498</v>
      </c>
      <c r="B121" s="44" t="s">
        <v>3510</v>
      </c>
      <c r="C121" s="45" t="s">
        <v>3511</v>
      </c>
      <c r="D121" s="44">
        <v>7</v>
      </c>
      <c r="E121" s="114"/>
      <c r="F121" s="44"/>
      <c r="G121" s="44" t="str">
        <f t="shared" si="36"/>
        <v>3#3#25|3#4#25|3#5#25|3#6#25|3#7#25|3#8#25|3#9#12|3#10#12|3#11#12|3#12#12</v>
      </c>
      <c r="H121" s="116" t="str">
        <f t="shared" si="35"/>
        <v>魔龙之心2/衣服碎片5/烈焰玄铁5/火龙币48</v>
      </c>
    </row>
    <row r="122" spans="1:8" ht="15.75" x14ac:dyDescent="0.3">
      <c r="A122" s="44" t="s">
        <v>3498</v>
      </c>
      <c r="B122" s="44" t="s">
        <v>3510</v>
      </c>
      <c r="C122" s="45" t="s">
        <v>3511</v>
      </c>
      <c r="D122" s="44">
        <v>8</v>
      </c>
      <c r="E122" s="114"/>
      <c r="F122" s="44"/>
      <c r="G122" s="44" t="str">
        <f t="shared" si="36"/>
        <v>3#3#30|3#4#30|3#5#30|3#6#30|3#7#30|3#8#30|3#9#15|3#10#15|3#11#15|3#12#15</v>
      </c>
      <c r="H122" s="116" t="str">
        <f t="shared" si="35"/>
        <v>魔龙之心2/衣服碎片5/烈焰玄铁5/火龙币50</v>
      </c>
    </row>
    <row r="123" spans="1:8" ht="15.75" x14ac:dyDescent="0.3">
      <c r="A123" s="44" t="s">
        <v>3498</v>
      </c>
      <c r="B123" s="44" t="s">
        <v>3510</v>
      </c>
      <c r="C123" s="45" t="s">
        <v>3511</v>
      </c>
      <c r="D123" s="44">
        <v>9</v>
      </c>
      <c r="E123" s="114"/>
      <c r="F123" s="44"/>
      <c r="G123" s="44" t="str">
        <f t="shared" si="36"/>
        <v>3#3#36|3#4#36|3#5#36|3#6#36|3#7#36|3#8#36|3#9#18|3#10#18|3#11#18|3#12#18</v>
      </c>
      <c r="H123" s="116" t="str">
        <f t="shared" si="35"/>
        <v>魔龙之心2/衣服碎片5/烈焰玄铁5/火龙币53</v>
      </c>
    </row>
    <row r="124" spans="1:8" ht="15.75" x14ac:dyDescent="0.3">
      <c r="A124" s="44" t="s">
        <v>3498</v>
      </c>
      <c r="B124" s="44" t="s">
        <v>3510</v>
      </c>
      <c r="C124" s="45" t="s">
        <v>3511</v>
      </c>
      <c r="D124" s="44">
        <v>10</v>
      </c>
      <c r="E124" s="114"/>
      <c r="F124" s="44"/>
      <c r="G124" s="44" t="str">
        <f t="shared" si="36"/>
        <v>3#3#45|3#4#45|3#5#45|3#6#45|3#7#45|3#8#45|3#9#22|3#10#22|3#11#22|3#12#22</v>
      </c>
      <c r="H124" s="116"/>
    </row>
    <row r="125" spans="1:8" ht="15.75" x14ac:dyDescent="0.3">
      <c r="A125" s="44" t="s">
        <v>3498</v>
      </c>
      <c r="B125" s="44" t="s">
        <v>3510</v>
      </c>
      <c r="C125" s="45" t="s">
        <v>3512</v>
      </c>
      <c r="D125" s="44">
        <v>0</v>
      </c>
      <c r="E125" s="114"/>
      <c r="F125" s="44"/>
      <c r="G125" s="117"/>
      <c r="H125" s="116" t="str">
        <f>"魔龙之心"&amp;Z3&amp;"/衣服碎片"&amp;AA3&amp;"/烈焰玄铁"&amp;AB3&amp;"/火龙币"&amp;AC3</f>
        <v>魔龙之心1/衣服碎片3/烈焰玄铁3/火龙币32</v>
      </c>
    </row>
    <row r="126" spans="1:8" ht="15.75" x14ac:dyDescent="0.3">
      <c r="A126" s="44" t="s">
        <v>3498</v>
      </c>
      <c r="B126" s="44" t="s">
        <v>3510</v>
      </c>
      <c r="C126" s="45" t="s">
        <v>3512</v>
      </c>
      <c r="D126" s="44">
        <v>1</v>
      </c>
      <c r="E126" s="114"/>
      <c r="F126" s="44"/>
      <c r="G126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26" s="116" t="str">
        <f t="shared" ref="H126:H134" si="37">"魔龙之心"&amp;Z4&amp;"/衣服碎片"&amp;AA4&amp;"/烈焰玄铁"&amp;AB4&amp;"/火龙币"&amp;AC4</f>
        <v>魔龙之心1/衣服碎片3/烈焰玄铁3/火龙币35</v>
      </c>
    </row>
    <row r="127" spans="1:8" ht="15.75" x14ac:dyDescent="0.3">
      <c r="A127" s="44" t="s">
        <v>3498</v>
      </c>
      <c r="B127" s="44" t="s">
        <v>3510</v>
      </c>
      <c r="C127" s="45" t="s">
        <v>3512</v>
      </c>
      <c r="D127" s="44">
        <v>2</v>
      </c>
      <c r="E127" s="114"/>
      <c r="F127" s="44"/>
      <c r="G127" s="44" t="str">
        <f t="shared" ref="G127:G135" si="3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27" s="116" t="str">
        <f t="shared" si="37"/>
        <v>魔龙之心1/衣服碎片4/烈焰玄铁4/火龙币37</v>
      </c>
    </row>
    <row r="128" spans="1:8" ht="15.75" x14ac:dyDescent="0.3">
      <c r="A128" s="44" t="s">
        <v>3498</v>
      </c>
      <c r="B128" s="44" t="s">
        <v>3510</v>
      </c>
      <c r="C128" s="45" t="s">
        <v>3512</v>
      </c>
      <c r="D128" s="44">
        <v>3</v>
      </c>
      <c r="E128" s="114"/>
      <c r="F128" s="44"/>
      <c r="G128" s="44" t="str">
        <f t="shared" si="38"/>
        <v>3#3#8|3#4#8|3#5#8|3#6#8|3#7#8|3#8#8|3#9#4|3#10#4|3#11#4|3#12#4</v>
      </c>
      <c r="H128" s="116" t="str">
        <f t="shared" si="37"/>
        <v>魔龙之心2/衣服碎片4/烈焰玄铁4/火龙币39</v>
      </c>
    </row>
    <row r="129" spans="1:8" ht="15.75" x14ac:dyDescent="0.3">
      <c r="A129" s="44" t="s">
        <v>3498</v>
      </c>
      <c r="B129" s="44" t="s">
        <v>3510</v>
      </c>
      <c r="C129" s="45" t="s">
        <v>3512</v>
      </c>
      <c r="D129" s="44">
        <v>4</v>
      </c>
      <c r="E129" s="114"/>
      <c r="F129" s="44"/>
      <c r="G129" s="44" t="str">
        <f t="shared" si="38"/>
        <v>3#3#11|3#4#11|3#5#11|3#6#11|3#7#11|3#8#11|3#9#5|3#10#5|3#11#5|3#12#5</v>
      </c>
      <c r="H129" s="116" t="str">
        <f t="shared" si="37"/>
        <v>魔龙之心2/衣服碎片4/烈焰玄铁4/火龙币41</v>
      </c>
    </row>
    <row r="130" spans="1:8" ht="15.75" x14ac:dyDescent="0.3">
      <c r="A130" s="44" t="s">
        <v>3498</v>
      </c>
      <c r="B130" s="44" t="s">
        <v>3510</v>
      </c>
      <c r="C130" s="45" t="s">
        <v>3512</v>
      </c>
      <c r="D130" s="44">
        <v>5</v>
      </c>
      <c r="E130" s="114"/>
      <c r="F130" s="44"/>
      <c r="G130" s="44" t="str">
        <f t="shared" si="38"/>
        <v>3#3#15|3#4#15|3#5#15|3#6#15|3#7#15|3#8#15|3#9#7|3#10#7|3#11#7|3#12#7</v>
      </c>
      <c r="H130" s="116" t="str">
        <f t="shared" si="37"/>
        <v>魔龙之心2/衣服碎片4/烈焰玄铁4/火龙币44</v>
      </c>
    </row>
    <row r="131" spans="1:8" ht="15.75" x14ac:dyDescent="0.3">
      <c r="A131" s="44" t="s">
        <v>3498</v>
      </c>
      <c r="B131" s="44" t="s">
        <v>3510</v>
      </c>
      <c r="C131" s="45" t="s">
        <v>3512</v>
      </c>
      <c r="D131" s="44">
        <v>6</v>
      </c>
      <c r="E131" s="114"/>
      <c r="F131" s="44"/>
      <c r="G131" s="44" t="str">
        <f t="shared" si="38"/>
        <v>3#3#20|3#4#20|3#5#20|3#6#20|3#7#20|3#8#20|3#9#10|3#10#10|3#11#10|3#12#10</v>
      </c>
      <c r="H131" s="116" t="str">
        <f t="shared" si="37"/>
        <v>魔龙之心2/衣服碎片5/烈焰玄铁5/火龙币46</v>
      </c>
    </row>
    <row r="132" spans="1:8" ht="15.75" x14ac:dyDescent="0.3">
      <c r="A132" s="44" t="s">
        <v>3498</v>
      </c>
      <c r="B132" s="44" t="s">
        <v>3510</v>
      </c>
      <c r="C132" s="45" t="s">
        <v>3512</v>
      </c>
      <c r="D132" s="44">
        <v>7</v>
      </c>
      <c r="E132" s="114"/>
      <c r="F132" s="44"/>
      <c r="G132" s="44" t="str">
        <f t="shared" si="38"/>
        <v>3#3#25|3#4#25|3#5#25|3#6#25|3#7#25|3#8#25|3#9#12|3#10#12|3#11#12|3#12#12</v>
      </c>
      <c r="H132" s="116" t="str">
        <f t="shared" si="37"/>
        <v>魔龙之心2/衣服碎片5/烈焰玄铁5/火龙币48</v>
      </c>
    </row>
    <row r="133" spans="1:8" ht="15.75" x14ac:dyDescent="0.3">
      <c r="A133" s="44" t="s">
        <v>3498</v>
      </c>
      <c r="B133" s="44" t="s">
        <v>3510</v>
      </c>
      <c r="C133" s="45" t="s">
        <v>3512</v>
      </c>
      <c r="D133" s="44">
        <v>8</v>
      </c>
      <c r="E133" s="114"/>
      <c r="F133" s="44"/>
      <c r="G133" s="44" t="str">
        <f t="shared" si="38"/>
        <v>3#3#30|3#4#30|3#5#30|3#6#30|3#7#30|3#8#30|3#9#15|3#10#15|3#11#15|3#12#15</v>
      </c>
      <c r="H133" s="116" t="str">
        <f t="shared" si="37"/>
        <v>魔龙之心2/衣服碎片5/烈焰玄铁5/火龙币50</v>
      </c>
    </row>
    <row r="134" spans="1:8" ht="15.75" x14ac:dyDescent="0.3">
      <c r="A134" s="44" t="s">
        <v>3498</v>
      </c>
      <c r="B134" s="44" t="s">
        <v>3510</v>
      </c>
      <c r="C134" s="45" t="s">
        <v>3512</v>
      </c>
      <c r="D134" s="44">
        <v>9</v>
      </c>
      <c r="E134" s="114"/>
      <c r="F134" s="44"/>
      <c r="G134" s="44" t="str">
        <f t="shared" si="38"/>
        <v>3#3#36|3#4#36|3#5#36|3#6#36|3#7#36|3#8#36|3#9#18|3#10#18|3#11#18|3#12#18</v>
      </c>
      <c r="H134" s="116" t="str">
        <f t="shared" si="37"/>
        <v>魔龙之心2/衣服碎片5/烈焰玄铁5/火龙币53</v>
      </c>
    </row>
    <row r="135" spans="1:8" ht="15.75" x14ac:dyDescent="0.3">
      <c r="A135" s="44" t="s">
        <v>3498</v>
      </c>
      <c r="B135" s="44" t="s">
        <v>3510</v>
      </c>
      <c r="C135" s="45" t="s">
        <v>3512</v>
      </c>
      <c r="D135" s="44">
        <v>10</v>
      </c>
      <c r="E135" s="114"/>
      <c r="F135" s="44"/>
      <c r="G135" s="44" t="str">
        <f t="shared" si="38"/>
        <v>3#3#45|3#4#45|3#5#45|3#6#45|3#7#45|3#8#45|3#9#22|3#10#22|3#11#22|3#12#22</v>
      </c>
      <c r="H135" s="116"/>
    </row>
    <row r="136" spans="1:8" ht="15.75" x14ac:dyDescent="0.3">
      <c r="A136" s="44" t="s">
        <v>3498</v>
      </c>
      <c r="B136" s="44" t="s">
        <v>3510</v>
      </c>
      <c r="C136" s="45" t="s">
        <v>3513</v>
      </c>
      <c r="D136" s="44">
        <v>0</v>
      </c>
      <c r="E136" s="114"/>
      <c r="F136" s="44"/>
      <c r="G136" s="117"/>
      <c r="H136" s="116" t="str">
        <f>"魔龙之心"&amp;Z3&amp;"/衣服碎片"&amp;AA3&amp;"/烈焰玄铁"&amp;AB3&amp;"/火龙币"&amp;AC3</f>
        <v>魔龙之心1/衣服碎片3/烈焰玄铁3/火龙币32</v>
      </c>
    </row>
    <row r="137" spans="1:8" ht="15.75" x14ac:dyDescent="0.3">
      <c r="A137" s="44" t="s">
        <v>3498</v>
      </c>
      <c r="B137" s="44" t="s">
        <v>3510</v>
      </c>
      <c r="C137" s="45" t="s">
        <v>3513</v>
      </c>
      <c r="D137" s="44">
        <v>1</v>
      </c>
      <c r="E137" s="114"/>
      <c r="F137" s="44"/>
      <c r="G137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37" s="116" t="str">
        <f t="shared" ref="H137:H145" si="39">"魔龙之心"&amp;Z4&amp;"/衣服碎片"&amp;AA4&amp;"/烈焰玄铁"&amp;AB4&amp;"/火龙币"&amp;AC4</f>
        <v>魔龙之心1/衣服碎片3/烈焰玄铁3/火龙币35</v>
      </c>
    </row>
    <row r="138" spans="1:8" ht="15.75" x14ac:dyDescent="0.3">
      <c r="A138" s="44" t="s">
        <v>3498</v>
      </c>
      <c r="B138" s="44" t="s">
        <v>3510</v>
      </c>
      <c r="C138" s="45" t="s">
        <v>3513</v>
      </c>
      <c r="D138" s="44">
        <v>2</v>
      </c>
      <c r="E138" s="114"/>
      <c r="F138" s="44"/>
      <c r="G138" s="44" t="str">
        <f t="shared" ref="G138:G146" si="4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38" s="116" t="str">
        <f t="shared" si="39"/>
        <v>魔龙之心1/衣服碎片4/烈焰玄铁4/火龙币37</v>
      </c>
    </row>
    <row r="139" spans="1:8" ht="15.75" x14ac:dyDescent="0.3">
      <c r="A139" s="44" t="s">
        <v>3498</v>
      </c>
      <c r="B139" s="44" t="s">
        <v>3510</v>
      </c>
      <c r="C139" s="45" t="s">
        <v>3513</v>
      </c>
      <c r="D139" s="44">
        <v>3</v>
      </c>
      <c r="E139" s="114"/>
      <c r="F139" s="44"/>
      <c r="G139" s="44" t="str">
        <f t="shared" si="40"/>
        <v>3#3#8|3#4#8|3#5#8|3#6#8|3#7#8|3#8#8|3#9#4|3#10#4|3#11#4|3#12#4</v>
      </c>
      <c r="H139" s="116" t="str">
        <f t="shared" si="39"/>
        <v>魔龙之心2/衣服碎片4/烈焰玄铁4/火龙币39</v>
      </c>
    </row>
    <row r="140" spans="1:8" ht="15.75" x14ac:dyDescent="0.3">
      <c r="A140" s="44" t="s">
        <v>3498</v>
      </c>
      <c r="B140" s="44" t="s">
        <v>3510</v>
      </c>
      <c r="C140" s="45" t="s">
        <v>3513</v>
      </c>
      <c r="D140" s="44">
        <v>4</v>
      </c>
      <c r="E140" s="114"/>
      <c r="F140" s="44"/>
      <c r="G140" s="44" t="str">
        <f t="shared" si="40"/>
        <v>3#3#11|3#4#11|3#5#11|3#6#11|3#7#11|3#8#11|3#9#5|3#10#5|3#11#5|3#12#5</v>
      </c>
      <c r="H140" s="116" t="str">
        <f t="shared" si="39"/>
        <v>魔龙之心2/衣服碎片4/烈焰玄铁4/火龙币41</v>
      </c>
    </row>
    <row r="141" spans="1:8" ht="15.75" x14ac:dyDescent="0.3">
      <c r="A141" s="44" t="s">
        <v>3498</v>
      </c>
      <c r="B141" s="44" t="s">
        <v>3510</v>
      </c>
      <c r="C141" s="45" t="s">
        <v>3513</v>
      </c>
      <c r="D141" s="44">
        <v>5</v>
      </c>
      <c r="E141" s="114"/>
      <c r="F141" s="44"/>
      <c r="G141" s="44" t="str">
        <f t="shared" si="40"/>
        <v>3#3#15|3#4#15|3#5#15|3#6#15|3#7#15|3#8#15|3#9#7|3#10#7|3#11#7|3#12#7</v>
      </c>
      <c r="H141" s="116" t="str">
        <f t="shared" si="39"/>
        <v>魔龙之心2/衣服碎片4/烈焰玄铁4/火龙币44</v>
      </c>
    </row>
    <row r="142" spans="1:8" ht="15.75" x14ac:dyDescent="0.3">
      <c r="A142" s="44" t="s">
        <v>3498</v>
      </c>
      <c r="B142" s="44" t="s">
        <v>3510</v>
      </c>
      <c r="C142" s="45" t="s">
        <v>3513</v>
      </c>
      <c r="D142" s="44">
        <v>6</v>
      </c>
      <c r="E142" s="114"/>
      <c r="F142" s="44"/>
      <c r="G142" s="44" t="str">
        <f t="shared" si="40"/>
        <v>3#3#20|3#4#20|3#5#20|3#6#20|3#7#20|3#8#20|3#9#10|3#10#10|3#11#10|3#12#10</v>
      </c>
      <c r="H142" s="116" t="str">
        <f t="shared" si="39"/>
        <v>魔龙之心2/衣服碎片5/烈焰玄铁5/火龙币46</v>
      </c>
    </row>
    <row r="143" spans="1:8" ht="15.75" x14ac:dyDescent="0.3">
      <c r="A143" s="44" t="s">
        <v>3498</v>
      </c>
      <c r="B143" s="44" t="s">
        <v>3510</v>
      </c>
      <c r="C143" s="45" t="s">
        <v>3513</v>
      </c>
      <c r="D143" s="44">
        <v>7</v>
      </c>
      <c r="E143" s="114"/>
      <c r="F143" s="44"/>
      <c r="G143" s="44" t="str">
        <f t="shared" si="40"/>
        <v>3#3#25|3#4#25|3#5#25|3#6#25|3#7#25|3#8#25|3#9#12|3#10#12|3#11#12|3#12#12</v>
      </c>
      <c r="H143" s="116" t="str">
        <f t="shared" si="39"/>
        <v>魔龙之心2/衣服碎片5/烈焰玄铁5/火龙币48</v>
      </c>
    </row>
    <row r="144" spans="1:8" ht="15.75" x14ac:dyDescent="0.3">
      <c r="A144" s="44" t="s">
        <v>3498</v>
      </c>
      <c r="B144" s="44" t="s">
        <v>3510</v>
      </c>
      <c r="C144" s="45" t="s">
        <v>3513</v>
      </c>
      <c r="D144" s="44">
        <v>8</v>
      </c>
      <c r="E144" s="114"/>
      <c r="F144" s="44"/>
      <c r="G144" s="44" t="str">
        <f t="shared" si="40"/>
        <v>3#3#30|3#4#30|3#5#30|3#6#30|3#7#30|3#8#30|3#9#15|3#10#15|3#11#15|3#12#15</v>
      </c>
      <c r="H144" s="116" t="str">
        <f t="shared" si="39"/>
        <v>魔龙之心2/衣服碎片5/烈焰玄铁5/火龙币50</v>
      </c>
    </row>
    <row r="145" spans="1:8" ht="15.75" x14ac:dyDescent="0.3">
      <c r="A145" s="44" t="s">
        <v>3498</v>
      </c>
      <c r="B145" s="44" t="s">
        <v>3510</v>
      </c>
      <c r="C145" s="45" t="s">
        <v>3513</v>
      </c>
      <c r="D145" s="44">
        <v>9</v>
      </c>
      <c r="E145" s="114"/>
      <c r="F145" s="44"/>
      <c r="G145" s="44" t="str">
        <f t="shared" si="40"/>
        <v>3#3#36|3#4#36|3#5#36|3#6#36|3#7#36|3#8#36|3#9#18|3#10#18|3#11#18|3#12#18</v>
      </c>
      <c r="H145" s="116" t="str">
        <f t="shared" si="39"/>
        <v>魔龙之心2/衣服碎片5/烈焰玄铁5/火龙币53</v>
      </c>
    </row>
    <row r="146" spans="1:8" ht="15.75" x14ac:dyDescent="0.3">
      <c r="A146" s="44" t="s">
        <v>3498</v>
      </c>
      <c r="B146" s="44" t="s">
        <v>3510</v>
      </c>
      <c r="C146" s="45" t="s">
        <v>3513</v>
      </c>
      <c r="D146" s="44">
        <v>10</v>
      </c>
      <c r="E146" s="114"/>
      <c r="F146" s="44"/>
      <c r="G146" s="44" t="str">
        <f t="shared" si="40"/>
        <v>3#3#45|3#4#45|3#5#45|3#6#45|3#7#45|3#8#45|3#9#22|3#10#22|3#11#22|3#12#22</v>
      </c>
      <c r="H146" s="116"/>
    </row>
    <row r="147" spans="1:8" ht="15.75" x14ac:dyDescent="0.3">
      <c r="A147" s="44" t="s">
        <v>3498</v>
      </c>
      <c r="B147" s="44" t="s">
        <v>3510</v>
      </c>
      <c r="C147" s="45" t="s">
        <v>3514</v>
      </c>
      <c r="D147" s="44">
        <v>0</v>
      </c>
      <c r="E147" s="114"/>
      <c r="F147" s="44"/>
      <c r="G147" s="117"/>
      <c r="H147" s="116" t="str">
        <f>"魔龙之心"&amp;Z3&amp;"/衣服碎片"&amp;AA3&amp;"/烈焰玄铁"&amp;AB3&amp;"/火龙币"&amp;AC3</f>
        <v>魔龙之心1/衣服碎片3/烈焰玄铁3/火龙币32</v>
      </c>
    </row>
    <row r="148" spans="1:8" ht="15.75" x14ac:dyDescent="0.3">
      <c r="A148" s="44" t="s">
        <v>3498</v>
      </c>
      <c r="B148" s="44" t="s">
        <v>3510</v>
      </c>
      <c r="C148" s="45" t="s">
        <v>3514</v>
      </c>
      <c r="D148" s="44">
        <v>1</v>
      </c>
      <c r="E148" s="114"/>
      <c r="F148" s="44"/>
      <c r="G148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48" s="116" t="str">
        <f t="shared" ref="H148:H156" si="41">"魔龙之心"&amp;Z4&amp;"/衣服碎片"&amp;AA4&amp;"/烈焰玄铁"&amp;AB4&amp;"/火龙币"&amp;AC4</f>
        <v>魔龙之心1/衣服碎片3/烈焰玄铁3/火龙币35</v>
      </c>
    </row>
    <row r="149" spans="1:8" ht="15.75" x14ac:dyDescent="0.3">
      <c r="A149" s="44" t="s">
        <v>3498</v>
      </c>
      <c r="B149" s="44" t="s">
        <v>3510</v>
      </c>
      <c r="C149" s="45" t="s">
        <v>3514</v>
      </c>
      <c r="D149" s="44">
        <v>2</v>
      </c>
      <c r="E149" s="114"/>
      <c r="F149" s="44"/>
      <c r="G149" s="44" t="str">
        <f t="shared" ref="G149:G157" si="4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49" s="116" t="str">
        <f t="shared" si="41"/>
        <v>魔龙之心1/衣服碎片4/烈焰玄铁4/火龙币37</v>
      </c>
    </row>
    <row r="150" spans="1:8" ht="15.75" x14ac:dyDescent="0.3">
      <c r="A150" s="44" t="s">
        <v>3498</v>
      </c>
      <c r="B150" s="44" t="s">
        <v>3510</v>
      </c>
      <c r="C150" s="45" t="s">
        <v>3514</v>
      </c>
      <c r="D150" s="44">
        <v>3</v>
      </c>
      <c r="E150" s="114"/>
      <c r="F150" s="44"/>
      <c r="G150" s="44" t="str">
        <f t="shared" si="42"/>
        <v>3#3#8|3#4#8|3#5#8|3#6#8|3#7#8|3#8#8|3#9#4|3#10#4|3#11#4|3#12#4</v>
      </c>
      <c r="H150" s="116" t="str">
        <f t="shared" si="41"/>
        <v>魔龙之心2/衣服碎片4/烈焰玄铁4/火龙币39</v>
      </c>
    </row>
    <row r="151" spans="1:8" ht="15.75" x14ac:dyDescent="0.3">
      <c r="A151" s="44" t="s">
        <v>3498</v>
      </c>
      <c r="B151" s="44" t="s">
        <v>3510</v>
      </c>
      <c r="C151" s="45" t="s">
        <v>3514</v>
      </c>
      <c r="D151" s="44">
        <v>4</v>
      </c>
      <c r="E151" s="114"/>
      <c r="F151" s="44"/>
      <c r="G151" s="44" t="str">
        <f t="shared" si="42"/>
        <v>3#3#11|3#4#11|3#5#11|3#6#11|3#7#11|3#8#11|3#9#5|3#10#5|3#11#5|3#12#5</v>
      </c>
      <c r="H151" s="116" t="str">
        <f t="shared" si="41"/>
        <v>魔龙之心2/衣服碎片4/烈焰玄铁4/火龙币41</v>
      </c>
    </row>
    <row r="152" spans="1:8" ht="15.75" x14ac:dyDescent="0.3">
      <c r="A152" s="44" t="s">
        <v>3498</v>
      </c>
      <c r="B152" s="44" t="s">
        <v>3510</v>
      </c>
      <c r="C152" s="45" t="s">
        <v>3514</v>
      </c>
      <c r="D152" s="44">
        <v>5</v>
      </c>
      <c r="E152" s="114"/>
      <c r="F152" s="44"/>
      <c r="G152" s="44" t="str">
        <f t="shared" si="42"/>
        <v>3#3#15|3#4#15|3#5#15|3#6#15|3#7#15|3#8#15|3#9#7|3#10#7|3#11#7|3#12#7</v>
      </c>
      <c r="H152" s="116" t="str">
        <f t="shared" si="41"/>
        <v>魔龙之心2/衣服碎片4/烈焰玄铁4/火龙币44</v>
      </c>
    </row>
    <row r="153" spans="1:8" ht="15.75" x14ac:dyDescent="0.3">
      <c r="A153" s="44" t="s">
        <v>3498</v>
      </c>
      <c r="B153" s="44" t="s">
        <v>3510</v>
      </c>
      <c r="C153" s="45" t="s">
        <v>3514</v>
      </c>
      <c r="D153" s="44">
        <v>6</v>
      </c>
      <c r="E153" s="114"/>
      <c r="F153" s="44"/>
      <c r="G153" s="44" t="str">
        <f t="shared" si="42"/>
        <v>3#3#20|3#4#20|3#5#20|3#6#20|3#7#20|3#8#20|3#9#10|3#10#10|3#11#10|3#12#10</v>
      </c>
      <c r="H153" s="116" t="str">
        <f t="shared" si="41"/>
        <v>魔龙之心2/衣服碎片5/烈焰玄铁5/火龙币46</v>
      </c>
    </row>
    <row r="154" spans="1:8" ht="15.75" x14ac:dyDescent="0.3">
      <c r="A154" s="44" t="s">
        <v>3498</v>
      </c>
      <c r="B154" s="44" t="s">
        <v>3510</v>
      </c>
      <c r="C154" s="45" t="s">
        <v>3514</v>
      </c>
      <c r="D154" s="44">
        <v>7</v>
      </c>
      <c r="E154" s="114"/>
      <c r="F154" s="44"/>
      <c r="G154" s="44" t="str">
        <f t="shared" si="42"/>
        <v>3#3#25|3#4#25|3#5#25|3#6#25|3#7#25|3#8#25|3#9#12|3#10#12|3#11#12|3#12#12</v>
      </c>
      <c r="H154" s="116" t="str">
        <f t="shared" si="41"/>
        <v>魔龙之心2/衣服碎片5/烈焰玄铁5/火龙币48</v>
      </c>
    </row>
    <row r="155" spans="1:8" ht="15.75" x14ac:dyDescent="0.3">
      <c r="A155" s="44" t="s">
        <v>3498</v>
      </c>
      <c r="B155" s="44" t="s">
        <v>3510</v>
      </c>
      <c r="C155" s="45" t="s">
        <v>3514</v>
      </c>
      <c r="D155" s="44">
        <v>8</v>
      </c>
      <c r="E155" s="114"/>
      <c r="F155" s="44"/>
      <c r="G155" s="44" t="str">
        <f t="shared" si="42"/>
        <v>3#3#30|3#4#30|3#5#30|3#6#30|3#7#30|3#8#30|3#9#15|3#10#15|3#11#15|3#12#15</v>
      </c>
      <c r="H155" s="116" t="str">
        <f t="shared" si="41"/>
        <v>魔龙之心2/衣服碎片5/烈焰玄铁5/火龙币50</v>
      </c>
    </row>
    <row r="156" spans="1:8" ht="15.75" x14ac:dyDescent="0.3">
      <c r="A156" s="44" t="s">
        <v>3498</v>
      </c>
      <c r="B156" s="44" t="s">
        <v>3510</v>
      </c>
      <c r="C156" s="45" t="s">
        <v>3514</v>
      </c>
      <c r="D156" s="44">
        <v>9</v>
      </c>
      <c r="E156" s="114"/>
      <c r="F156" s="44"/>
      <c r="G156" s="44" t="str">
        <f t="shared" si="42"/>
        <v>3#3#36|3#4#36|3#5#36|3#6#36|3#7#36|3#8#36|3#9#18|3#10#18|3#11#18|3#12#18</v>
      </c>
      <c r="H156" s="116" t="str">
        <f t="shared" si="41"/>
        <v>魔龙之心2/衣服碎片5/烈焰玄铁5/火龙币53</v>
      </c>
    </row>
    <row r="157" spans="1:8" ht="15.75" x14ac:dyDescent="0.3">
      <c r="A157" s="44" t="s">
        <v>3498</v>
      </c>
      <c r="B157" s="44" t="s">
        <v>3510</v>
      </c>
      <c r="C157" s="45" t="s">
        <v>3514</v>
      </c>
      <c r="D157" s="44">
        <v>10</v>
      </c>
      <c r="E157" s="114"/>
      <c r="F157" s="44"/>
      <c r="G157" s="44" t="str">
        <f t="shared" si="42"/>
        <v>3#3#45|3#4#45|3#5#45|3#6#45|3#7#45|3#8#45|3#9#22|3#10#22|3#11#22|3#12#22</v>
      </c>
      <c r="H157" s="116"/>
    </row>
    <row r="158" spans="1:8" ht="15.75" x14ac:dyDescent="0.3">
      <c r="A158" s="44" t="s">
        <v>3498</v>
      </c>
      <c r="B158" s="44" t="s">
        <v>3510</v>
      </c>
      <c r="C158" s="45" t="s">
        <v>3515</v>
      </c>
      <c r="D158" s="44">
        <v>0</v>
      </c>
      <c r="E158" s="114"/>
      <c r="F158" s="44"/>
      <c r="G158" s="117"/>
      <c r="H158" s="116" t="str">
        <f>"魔龙之心"&amp;Z3&amp;"/衣服碎片"&amp;AA3&amp;"/烈焰玄铁"&amp;AB3&amp;"/火龙币"&amp;AC3</f>
        <v>魔龙之心1/衣服碎片3/烈焰玄铁3/火龙币32</v>
      </c>
    </row>
    <row r="159" spans="1:8" ht="15.75" x14ac:dyDescent="0.3">
      <c r="A159" s="44" t="s">
        <v>3498</v>
      </c>
      <c r="B159" s="44" t="s">
        <v>3510</v>
      </c>
      <c r="C159" s="45" t="s">
        <v>3515</v>
      </c>
      <c r="D159" s="44">
        <v>1</v>
      </c>
      <c r="E159" s="114"/>
      <c r="F159" s="44"/>
      <c r="G159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59" s="116" t="str">
        <f t="shared" ref="H159:H167" si="43">"魔龙之心"&amp;Z4&amp;"/衣服碎片"&amp;AA4&amp;"/烈焰玄铁"&amp;AB4&amp;"/火龙币"&amp;AC4</f>
        <v>魔龙之心1/衣服碎片3/烈焰玄铁3/火龙币35</v>
      </c>
    </row>
    <row r="160" spans="1:8" ht="15.75" x14ac:dyDescent="0.3">
      <c r="A160" s="44" t="s">
        <v>3498</v>
      </c>
      <c r="B160" s="44" t="s">
        <v>3510</v>
      </c>
      <c r="C160" s="45" t="s">
        <v>3515</v>
      </c>
      <c r="D160" s="44">
        <v>2</v>
      </c>
      <c r="E160" s="114"/>
      <c r="F160" s="44"/>
      <c r="G160" s="44" t="str">
        <f t="shared" ref="G160:G168" si="4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60" s="116" t="str">
        <f t="shared" si="43"/>
        <v>魔龙之心1/衣服碎片4/烈焰玄铁4/火龙币37</v>
      </c>
    </row>
    <row r="161" spans="1:8" ht="15.75" x14ac:dyDescent="0.3">
      <c r="A161" s="44" t="s">
        <v>3498</v>
      </c>
      <c r="B161" s="44" t="s">
        <v>3510</v>
      </c>
      <c r="C161" s="45" t="s">
        <v>3515</v>
      </c>
      <c r="D161" s="44">
        <v>3</v>
      </c>
      <c r="E161" s="114"/>
      <c r="F161" s="44"/>
      <c r="G161" s="44" t="str">
        <f t="shared" si="44"/>
        <v>3#3#8|3#4#8|3#5#8|3#6#8|3#7#8|3#8#8|3#9#4|3#10#4|3#11#4|3#12#4</v>
      </c>
      <c r="H161" s="116" t="str">
        <f t="shared" si="43"/>
        <v>魔龙之心2/衣服碎片4/烈焰玄铁4/火龙币39</v>
      </c>
    </row>
    <row r="162" spans="1:8" ht="15.75" x14ac:dyDescent="0.3">
      <c r="A162" s="44" t="s">
        <v>3498</v>
      </c>
      <c r="B162" s="44" t="s">
        <v>3510</v>
      </c>
      <c r="C162" s="45" t="s">
        <v>3515</v>
      </c>
      <c r="D162" s="44">
        <v>4</v>
      </c>
      <c r="E162" s="114"/>
      <c r="F162" s="44"/>
      <c r="G162" s="44" t="str">
        <f t="shared" si="44"/>
        <v>3#3#11|3#4#11|3#5#11|3#6#11|3#7#11|3#8#11|3#9#5|3#10#5|3#11#5|3#12#5</v>
      </c>
      <c r="H162" s="116" t="str">
        <f t="shared" si="43"/>
        <v>魔龙之心2/衣服碎片4/烈焰玄铁4/火龙币41</v>
      </c>
    </row>
    <row r="163" spans="1:8" ht="15.75" x14ac:dyDescent="0.3">
      <c r="A163" s="44" t="s">
        <v>3498</v>
      </c>
      <c r="B163" s="44" t="s">
        <v>3510</v>
      </c>
      <c r="C163" s="45" t="s">
        <v>3515</v>
      </c>
      <c r="D163" s="44">
        <v>5</v>
      </c>
      <c r="E163" s="114"/>
      <c r="F163" s="44"/>
      <c r="G163" s="44" t="str">
        <f t="shared" si="44"/>
        <v>3#3#15|3#4#15|3#5#15|3#6#15|3#7#15|3#8#15|3#9#7|3#10#7|3#11#7|3#12#7</v>
      </c>
      <c r="H163" s="116" t="str">
        <f t="shared" si="43"/>
        <v>魔龙之心2/衣服碎片4/烈焰玄铁4/火龙币44</v>
      </c>
    </row>
    <row r="164" spans="1:8" ht="15.75" x14ac:dyDescent="0.3">
      <c r="A164" s="44" t="s">
        <v>3498</v>
      </c>
      <c r="B164" s="44" t="s">
        <v>3510</v>
      </c>
      <c r="C164" s="45" t="s">
        <v>3515</v>
      </c>
      <c r="D164" s="44">
        <v>6</v>
      </c>
      <c r="E164" s="114"/>
      <c r="F164" s="44"/>
      <c r="G164" s="44" t="str">
        <f t="shared" si="44"/>
        <v>3#3#20|3#4#20|3#5#20|3#6#20|3#7#20|3#8#20|3#9#10|3#10#10|3#11#10|3#12#10</v>
      </c>
      <c r="H164" s="116" t="str">
        <f t="shared" si="43"/>
        <v>魔龙之心2/衣服碎片5/烈焰玄铁5/火龙币46</v>
      </c>
    </row>
    <row r="165" spans="1:8" ht="15.75" x14ac:dyDescent="0.3">
      <c r="A165" s="44" t="s">
        <v>3498</v>
      </c>
      <c r="B165" s="44" t="s">
        <v>3510</v>
      </c>
      <c r="C165" s="45" t="s">
        <v>3515</v>
      </c>
      <c r="D165" s="44">
        <v>7</v>
      </c>
      <c r="E165" s="114"/>
      <c r="F165" s="44"/>
      <c r="G165" s="44" t="str">
        <f t="shared" si="44"/>
        <v>3#3#25|3#4#25|3#5#25|3#6#25|3#7#25|3#8#25|3#9#12|3#10#12|3#11#12|3#12#12</v>
      </c>
      <c r="H165" s="116" t="str">
        <f t="shared" si="43"/>
        <v>魔龙之心2/衣服碎片5/烈焰玄铁5/火龙币48</v>
      </c>
    </row>
    <row r="166" spans="1:8" ht="15.75" x14ac:dyDescent="0.3">
      <c r="A166" s="44" t="s">
        <v>3498</v>
      </c>
      <c r="B166" s="44" t="s">
        <v>3510</v>
      </c>
      <c r="C166" s="45" t="s">
        <v>3515</v>
      </c>
      <c r="D166" s="44">
        <v>8</v>
      </c>
      <c r="E166" s="114"/>
      <c r="F166" s="44"/>
      <c r="G166" s="44" t="str">
        <f t="shared" si="44"/>
        <v>3#3#30|3#4#30|3#5#30|3#6#30|3#7#30|3#8#30|3#9#15|3#10#15|3#11#15|3#12#15</v>
      </c>
      <c r="H166" s="116" t="str">
        <f t="shared" si="43"/>
        <v>魔龙之心2/衣服碎片5/烈焰玄铁5/火龙币50</v>
      </c>
    </row>
    <row r="167" spans="1:8" ht="15.75" x14ac:dyDescent="0.3">
      <c r="A167" s="44" t="s">
        <v>3498</v>
      </c>
      <c r="B167" s="44" t="s">
        <v>3510</v>
      </c>
      <c r="C167" s="45" t="s">
        <v>3515</v>
      </c>
      <c r="D167" s="44">
        <v>9</v>
      </c>
      <c r="E167" s="114"/>
      <c r="F167" s="44"/>
      <c r="G167" s="44" t="str">
        <f t="shared" si="44"/>
        <v>3#3#36|3#4#36|3#5#36|3#6#36|3#7#36|3#8#36|3#9#18|3#10#18|3#11#18|3#12#18</v>
      </c>
      <c r="H167" s="116" t="str">
        <f t="shared" si="43"/>
        <v>魔龙之心2/衣服碎片5/烈焰玄铁5/火龙币53</v>
      </c>
    </row>
    <row r="168" spans="1:8" ht="15.75" x14ac:dyDescent="0.3">
      <c r="A168" s="44" t="s">
        <v>3498</v>
      </c>
      <c r="B168" s="44" t="s">
        <v>3510</v>
      </c>
      <c r="C168" s="45" t="s">
        <v>3515</v>
      </c>
      <c r="D168" s="44">
        <v>10</v>
      </c>
      <c r="E168" s="114"/>
      <c r="F168" s="44"/>
      <c r="G168" s="44" t="str">
        <f t="shared" si="44"/>
        <v>3#3#45|3#4#45|3#5#45|3#6#45|3#7#45|3#8#45|3#9#22|3#10#22|3#11#22|3#12#22</v>
      </c>
      <c r="H168" s="116"/>
    </row>
    <row r="169" spans="1:8" ht="15.75" x14ac:dyDescent="0.3">
      <c r="A169" s="44" t="s">
        <v>3498</v>
      </c>
      <c r="B169" s="44" t="s">
        <v>3510</v>
      </c>
      <c r="C169" s="45" t="s">
        <v>3516</v>
      </c>
      <c r="D169" s="44">
        <v>0</v>
      </c>
      <c r="E169" s="114"/>
      <c r="F169" s="44"/>
      <c r="G169" s="117"/>
      <c r="H169" s="116" t="str">
        <f>"魔龙之心"&amp;Z3&amp;"/衣服碎片"&amp;AA3&amp;"/烈焰玄铁"&amp;AB3&amp;"/火龙币"&amp;AC3</f>
        <v>魔龙之心1/衣服碎片3/烈焰玄铁3/火龙币32</v>
      </c>
    </row>
    <row r="170" spans="1:8" ht="15.75" x14ac:dyDescent="0.3">
      <c r="A170" s="44" t="s">
        <v>3498</v>
      </c>
      <c r="B170" s="44" t="s">
        <v>3510</v>
      </c>
      <c r="C170" s="45" t="s">
        <v>3516</v>
      </c>
      <c r="D170" s="44">
        <v>1</v>
      </c>
      <c r="E170" s="114"/>
      <c r="F170" s="44"/>
      <c r="G170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70" s="116" t="str">
        <f t="shared" ref="H170:H178" si="45">"魔龙之心"&amp;Z4&amp;"/衣服碎片"&amp;AA4&amp;"/烈焰玄铁"&amp;AB4&amp;"/火龙币"&amp;AC4</f>
        <v>魔龙之心1/衣服碎片3/烈焰玄铁3/火龙币35</v>
      </c>
    </row>
    <row r="171" spans="1:8" ht="15.75" x14ac:dyDescent="0.3">
      <c r="A171" s="44" t="s">
        <v>3498</v>
      </c>
      <c r="B171" s="44" t="s">
        <v>3510</v>
      </c>
      <c r="C171" s="45" t="s">
        <v>3516</v>
      </c>
      <c r="D171" s="44">
        <v>2</v>
      </c>
      <c r="E171" s="114"/>
      <c r="F171" s="44"/>
      <c r="G171" s="44" t="str">
        <f t="shared" ref="G171:G179" si="4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1" s="116" t="str">
        <f t="shared" si="45"/>
        <v>魔龙之心1/衣服碎片4/烈焰玄铁4/火龙币37</v>
      </c>
    </row>
    <row r="172" spans="1:8" ht="15.75" x14ac:dyDescent="0.3">
      <c r="A172" s="44" t="s">
        <v>3498</v>
      </c>
      <c r="B172" s="44" t="s">
        <v>3510</v>
      </c>
      <c r="C172" s="45" t="s">
        <v>3516</v>
      </c>
      <c r="D172" s="44">
        <v>3</v>
      </c>
      <c r="E172" s="114"/>
      <c r="F172" s="44"/>
      <c r="G172" s="44" t="str">
        <f t="shared" si="46"/>
        <v>3#3#8|3#4#8|3#5#8|3#6#8|3#7#8|3#8#8|3#9#4|3#10#4|3#11#4|3#12#4</v>
      </c>
      <c r="H172" s="116" t="str">
        <f t="shared" si="45"/>
        <v>魔龙之心2/衣服碎片4/烈焰玄铁4/火龙币39</v>
      </c>
    </row>
    <row r="173" spans="1:8" ht="15.75" x14ac:dyDescent="0.3">
      <c r="A173" s="44" t="s">
        <v>3498</v>
      </c>
      <c r="B173" s="44" t="s">
        <v>3510</v>
      </c>
      <c r="C173" s="45" t="s">
        <v>3516</v>
      </c>
      <c r="D173" s="44">
        <v>4</v>
      </c>
      <c r="E173" s="114"/>
      <c r="F173" s="44"/>
      <c r="G173" s="44" t="str">
        <f t="shared" si="46"/>
        <v>3#3#11|3#4#11|3#5#11|3#6#11|3#7#11|3#8#11|3#9#5|3#10#5|3#11#5|3#12#5</v>
      </c>
      <c r="H173" s="116" t="str">
        <f t="shared" si="45"/>
        <v>魔龙之心2/衣服碎片4/烈焰玄铁4/火龙币41</v>
      </c>
    </row>
    <row r="174" spans="1:8" ht="15.75" x14ac:dyDescent="0.3">
      <c r="A174" s="44" t="s">
        <v>3498</v>
      </c>
      <c r="B174" s="44" t="s">
        <v>3510</v>
      </c>
      <c r="C174" s="45" t="s">
        <v>3516</v>
      </c>
      <c r="D174" s="44">
        <v>5</v>
      </c>
      <c r="E174" s="114"/>
      <c r="F174" s="44"/>
      <c r="G174" s="44" t="str">
        <f t="shared" si="46"/>
        <v>3#3#15|3#4#15|3#5#15|3#6#15|3#7#15|3#8#15|3#9#7|3#10#7|3#11#7|3#12#7</v>
      </c>
      <c r="H174" s="116" t="str">
        <f t="shared" si="45"/>
        <v>魔龙之心2/衣服碎片4/烈焰玄铁4/火龙币44</v>
      </c>
    </row>
    <row r="175" spans="1:8" ht="15.75" x14ac:dyDescent="0.3">
      <c r="A175" s="44" t="s">
        <v>3498</v>
      </c>
      <c r="B175" s="44" t="s">
        <v>3510</v>
      </c>
      <c r="C175" s="45" t="s">
        <v>3516</v>
      </c>
      <c r="D175" s="44">
        <v>6</v>
      </c>
      <c r="E175" s="114"/>
      <c r="F175" s="44"/>
      <c r="G175" s="44" t="str">
        <f t="shared" si="46"/>
        <v>3#3#20|3#4#20|3#5#20|3#6#20|3#7#20|3#8#20|3#9#10|3#10#10|3#11#10|3#12#10</v>
      </c>
      <c r="H175" s="116" t="str">
        <f t="shared" si="45"/>
        <v>魔龙之心2/衣服碎片5/烈焰玄铁5/火龙币46</v>
      </c>
    </row>
    <row r="176" spans="1:8" ht="15.75" x14ac:dyDescent="0.3">
      <c r="A176" s="44" t="s">
        <v>3498</v>
      </c>
      <c r="B176" s="44" t="s">
        <v>3510</v>
      </c>
      <c r="C176" s="45" t="s">
        <v>3516</v>
      </c>
      <c r="D176" s="44">
        <v>7</v>
      </c>
      <c r="E176" s="114"/>
      <c r="F176" s="44"/>
      <c r="G176" s="44" t="str">
        <f t="shared" si="46"/>
        <v>3#3#25|3#4#25|3#5#25|3#6#25|3#7#25|3#8#25|3#9#12|3#10#12|3#11#12|3#12#12</v>
      </c>
      <c r="H176" s="116" t="str">
        <f t="shared" si="45"/>
        <v>魔龙之心2/衣服碎片5/烈焰玄铁5/火龙币48</v>
      </c>
    </row>
    <row r="177" spans="1:8" ht="15.75" x14ac:dyDescent="0.3">
      <c r="A177" s="44" t="s">
        <v>3498</v>
      </c>
      <c r="B177" s="44" t="s">
        <v>3510</v>
      </c>
      <c r="C177" s="45" t="s">
        <v>3516</v>
      </c>
      <c r="D177" s="44">
        <v>8</v>
      </c>
      <c r="E177" s="114"/>
      <c r="F177" s="44"/>
      <c r="G177" s="44" t="str">
        <f t="shared" si="46"/>
        <v>3#3#30|3#4#30|3#5#30|3#6#30|3#7#30|3#8#30|3#9#15|3#10#15|3#11#15|3#12#15</v>
      </c>
      <c r="H177" s="116" t="str">
        <f t="shared" si="45"/>
        <v>魔龙之心2/衣服碎片5/烈焰玄铁5/火龙币50</v>
      </c>
    </row>
    <row r="178" spans="1:8" ht="15.75" x14ac:dyDescent="0.3">
      <c r="A178" s="44" t="s">
        <v>3498</v>
      </c>
      <c r="B178" s="44" t="s">
        <v>3510</v>
      </c>
      <c r="C178" s="45" t="s">
        <v>3516</v>
      </c>
      <c r="D178" s="44">
        <v>9</v>
      </c>
      <c r="E178" s="114"/>
      <c r="F178" s="44"/>
      <c r="G178" s="44" t="str">
        <f t="shared" si="46"/>
        <v>3#3#36|3#4#36|3#5#36|3#6#36|3#7#36|3#8#36|3#9#18|3#10#18|3#11#18|3#12#18</v>
      </c>
      <c r="H178" s="116" t="str">
        <f t="shared" si="45"/>
        <v>魔龙之心2/衣服碎片5/烈焰玄铁5/火龙币53</v>
      </c>
    </row>
    <row r="179" spans="1:8" ht="15.75" x14ac:dyDescent="0.3">
      <c r="A179" s="44" t="s">
        <v>3498</v>
      </c>
      <c r="B179" s="44" t="s">
        <v>3510</v>
      </c>
      <c r="C179" s="45" t="s">
        <v>3516</v>
      </c>
      <c r="D179" s="44">
        <v>10</v>
      </c>
      <c r="E179" s="114"/>
      <c r="F179" s="44"/>
      <c r="G179" s="44" t="str">
        <f t="shared" si="46"/>
        <v>3#3#45|3#4#45|3#5#45|3#6#45|3#7#45|3#8#45|3#9#22|3#10#22|3#11#22|3#12#22</v>
      </c>
      <c r="H179" s="116"/>
    </row>
    <row r="180" spans="1:8" ht="15.75" x14ac:dyDescent="0.3">
      <c r="A180" s="44" t="s">
        <v>3498</v>
      </c>
      <c r="B180" s="44" t="s">
        <v>3510</v>
      </c>
      <c r="C180" s="45" t="s">
        <v>3517</v>
      </c>
      <c r="D180" s="44">
        <v>0</v>
      </c>
      <c r="E180" s="114"/>
      <c r="F180" s="44"/>
      <c r="G180" s="117"/>
      <c r="H180" s="116" t="str">
        <f>"魔龙之心"&amp;Z3&amp;"/衣服碎片"&amp;AA3&amp;"/烈焰玄铁"&amp;AB3&amp;"/火龙币"&amp;AC3</f>
        <v>魔龙之心1/衣服碎片3/烈焰玄铁3/火龙币32</v>
      </c>
    </row>
    <row r="181" spans="1:8" ht="15.75" x14ac:dyDescent="0.3">
      <c r="A181" s="44" t="s">
        <v>3498</v>
      </c>
      <c r="B181" s="44" t="s">
        <v>3510</v>
      </c>
      <c r="C181" s="45" t="s">
        <v>3517</v>
      </c>
      <c r="D181" s="44">
        <v>1</v>
      </c>
      <c r="E181" s="114"/>
      <c r="F181" s="44"/>
      <c r="G181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81" s="116" t="str">
        <f t="shared" ref="H181:H189" si="47">"魔龙之心"&amp;Z4&amp;"/衣服碎片"&amp;AA4&amp;"/烈焰玄铁"&amp;AB4&amp;"/火龙币"&amp;AC4</f>
        <v>魔龙之心1/衣服碎片3/烈焰玄铁3/火龙币35</v>
      </c>
    </row>
    <row r="182" spans="1:8" ht="15.75" x14ac:dyDescent="0.3">
      <c r="A182" s="44" t="s">
        <v>3498</v>
      </c>
      <c r="B182" s="44" t="s">
        <v>3510</v>
      </c>
      <c r="C182" s="45" t="s">
        <v>3517</v>
      </c>
      <c r="D182" s="44">
        <v>2</v>
      </c>
      <c r="E182" s="114"/>
      <c r="F182" s="44"/>
      <c r="G182" s="44" t="str">
        <f t="shared" ref="G182:G190" si="4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82" s="116" t="str">
        <f t="shared" si="47"/>
        <v>魔龙之心1/衣服碎片4/烈焰玄铁4/火龙币37</v>
      </c>
    </row>
    <row r="183" spans="1:8" ht="15.75" x14ac:dyDescent="0.3">
      <c r="A183" s="44" t="s">
        <v>3498</v>
      </c>
      <c r="B183" s="44" t="s">
        <v>3510</v>
      </c>
      <c r="C183" s="45" t="s">
        <v>3517</v>
      </c>
      <c r="D183" s="44">
        <v>3</v>
      </c>
      <c r="E183" s="114"/>
      <c r="F183" s="44"/>
      <c r="G183" s="44" t="str">
        <f t="shared" si="48"/>
        <v>3#3#8|3#4#8|3#5#8|3#6#8|3#7#8|3#8#8|3#9#4|3#10#4|3#11#4|3#12#4</v>
      </c>
      <c r="H183" s="116" t="str">
        <f t="shared" si="47"/>
        <v>魔龙之心2/衣服碎片4/烈焰玄铁4/火龙币39</v>
      </c>
    </row>
    <row r="184" spans="1:8" ht="15.75" x14ac:dyDescent="0.3">
      <c r="A184" s="44" t="s">
        <v>3498</v>
      </c>
      <c r="B184" s="44" t="s">
        <v>3510</v>
      </c>
      <c r="C184" s="45" t="s">
        <v>3517</v>
      </c>
      <c r="D184" s="44">
        <v>4</v>
      </c>
      <c r="E184" s="114"/>
      <c r="F184" s="44"/>
      <c r="G184" s="44" t="str">
        <f t="shared" si="48"/>
        <v>3#3#11|3#4#11|3#5#11|3#6#11|3#7#11|3#8#11|3#9#5|3#10#5|3#11#5|3#12#5</v>
      </c>
      <c r="H184" s="116" t="str">
        <f t="shared" si="47"/>
        <v>魔龙之心2/衣服碎片4/烈焰玄铁4/火龙币41</v>
      </c>
    </row>
    <row r="185" spans="1:8" ht="15.75" x14ac:dyDescent="0.3">
      <c r="A185" s="44" t="s">
        <v>3498</v>
      </c>
      <c r="B185" s="44" t="s">
        <v>3510</v>
      </c>
      <c r="C185" s="45" t="s">
        <v>3517</v>
      </c>
      <c r="D185" s="44">
        <v>5</v>
      </c>
      <c r="E185" s="114"/>
      <c r="F185" s="44"/>
      <c r="G185" s="44" t="str">
        <f t="shared" si="48"/>
        <v>3#3#15|3#4#15|3#5#15|3#6#15|3#7#15|3#8#15|3#9#7|3#10#7|3#11#7|3#12#7</v>
      </c>
      <c r="H185" s="116" t="str">
        <f t="shared" si="47"/>
        <v>魔龙之心2/衣服碎片4/烈焰玄铁4/火龙币44</v>
      </c>
    </row>
    <row r="186" spans="1:8" ht="15.75" x14ac:dyDescent="0.3">
      <c r="A186" s="44" t="s">
        <v>3498</v>
      </c>
      <c r="B186" s="44" t="s">
        <v>3510</v>
      </c>
      <c r="C186" s="45" t="s">
        <v>3517</v>
      </c>
      <c r="D186" s="44">
        <v>6</v>
      </c>
      <c r="E186" s="114"/>
      <c r="F186" s="44"/>
      <c r="G186" s="44" t="str">
        <f t="shared" si="48"/>
        <v>3#3#20|3#4#20|3#5#20|3#6#20|3#7#20|3#8#20|3#9#10|3#10#10|3#11#10|3#12#10</v>
      </c>
      <c r="H186" s="116" t="str">
        <f t="shared" si="47"/>
        <v>魔龙之心2/衣服碎片5/烈焰玄铁5/火龙币46</v>
      </c>
    </row>
    <row r="187" spans="1:8" ht="15.75" x14ac:dyDescent="0.3">
      <c r="A187" s="44" t="s">
        <v>3498</v>
      </c>
      <c r="B187" s="44" t="s">
        <v>3510</v>
      </c>
      <c r="C187" s="45" t="s">
        <v>3517</v>
      </c>
      <c r="D187" s="44">
        <v>7</v>
      </c>
      <c r="E187" s="114"/>
      <c r="F187" s="44"/>
      <c r="G187" s="44" t="str">
        <f t="shared" si="48"/>
        <v>3#3#25|3#4#25|3#5#25|3#6#25|3#7#25|3#8#25|3#9#12|3#10#12|3#11#12|3#12#12</v>
      </c>
      <c r="H187" s="116" t="str">
        <f t="shared" si="47"/>
        <v>魔龙之心2/衣服碎片5/烈焰玄铁5/火龙币48</v>
      </c>
    </row>
    <row r="188" spans="1:8" ht="15.75" x14ac:dyDescent="0.3">
      <c r="A188" s="44" t="s">
        <v>3498</v>
      </c>
      <c r="B188" s="44" t="s">
        <v>3510</v>
      </c>
      <c r="C188" s="45" t="s">
        <v>3517</v>
      </c>
      <c r="D188" s="44">
        <v>8</v>
      </c>
      <c r="E188" s="114"/>
      <c r="F188" s="44"/>
      <c r="G188" s="44" t="str">
        <f t="shared" si="48"/>
        <v>3#3#30|3#4#30|3#5#30|3#6#30|3#7#30|3#8#30|3#9#15|3#10#15|3#11#15|3#12#15</v>
      </c>
      <c r="H188" s="116" t="str">
        <f t="shared" si="47"/>
        <v>魔龙之心2/衣服碎片5/烈焰玄铁5/火龙币50</v>
      </c>
    </row>
    <row r="189" spans="1:8" ht="15.75" x14ac:dyDescent="0.3">
      <c r="A189" s="44" t="s">
        <v>3498</v>
      </c>
      <c r="B189" s="44" t="s">
        <v>3510</v>
      </c>
      <c r="C189" s="45" t="s">
        <v>3517</v>
      </c>
      <c r="D189" s="44">
        <v>9</v>
      </c>
      <c r="E189" s="114"/>
      <c r="F189" s="44"/>
      <c r="G189" s="44" t="str">
        <f t="shared" si="48"/>
        <v>3#3#36|3#4#36|3#5#36|3#6#36|3#7#36|3#8#36|3#9#18|3#10#18|3#11#18|3#12#18</v>
      </c>
      <c r="H189" s="116" t="str">
        <f t="shared" si="47"/>
        <v>魔龙之心2/衣服碎片5/烈焰玄铁5/火龙币53</v>
      </c>
    </row>
    <row r="190" spans="1:8" ht="15.75" x14ac:dyDescent="0.3">
      <c r="A190" s="44" t="s">
        <v>3498</v>
      </c>
      <c r="B190" s="44" t="s">
        <v>3510</v>
      </c>
      <c r="C190" s="45" t="s">
        <v>3517</v>
      </c>
      <c r="D190" s="44">
        <v>10</v>
      </c>
      <c r="E190" s="114"/>
      <c r="F190" s="44"/>
      <c r="G190" s="44" t="str">
        <f t="shared" si="48"/>
        <v>3#3#45|3#4#45|3#5#45|3#6#45|3#7#45|3#8#45|3#9#22|3#10#22|3#11#22|3#12#22</v>
      </c>
      <c r="H190" s="116"/>
    </row>
    <row r="191" spans="1:8" ht="15.75" x14ac:dyDescent="0.3">
      <c r="A191" s="44" t="s">
        <v>3498</v>
      </c>
      <c r="B191" s="44" t="s">
        <v>3510</v>
      </c>
      <c r="C191" s="45" t="s">
        <v>3518</v>
      </c>
      <c r="D191" s="44">
        <v>0</v>
      </c>
      <c r="E191" s="114"/>
      <c r="F191" s="44"/>
      <c r="G191" s="117"/>
      <c r="H191" s="116" t="str">
        <f>"魔龙之心"&amp;Z3&amp;"/衣服碎片"&amp;AA3&amp;"/烈焰玄铁"&amp;AB3&amp;"/火龙币"&amp;AC3</f>
        <v>魔龙之心1/衣服碎片3/烈焰玄铁3/火龙币32</v>
      </c>
    </row>
    <row r="192" spans="1:8" ht="15.75" x14ac:dyDescent="0.3">
      <c r="A192" s="44" t="s">
        <v>3498</v>
      </c>
      <c r="B192" s="44" t="s">
        <v>3510</v>
      </c>
      <c r="C192" s="45" t="s">
        <v>3518</v>
      </c>
      <c r="D192" s="44">
        <v>1</v>
      </c>
      <c r="E192" s="114"/>
      <c r="F192" s="44"/>
      <c r="G192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92" s="116" t="str">
        <f t="shared" ref="H192:H200" si="49">"魔龙之心"&amp;Z4&amp;"/衣服碎片"&amp;AA4&amp;"/烈焰玄铁"&amp;AB4&amp;"/火龙币"&amp;AC4</f>
        <v>魔龙之心1/衣服碎片3/烈焰玄铁3/火龙币35</v>
      </c>
    </row>
    <row r="193" spans="1:8" ht="15.75" x14ac:dyDescent="0.3">
      <c r="A193" s="44" t="s">
        <v>3498</v>
      </c>
      <c r="B193" s="44" t="s">
        <v>3510</v>
      </c>
      <c r="C193" s="45" t="s">
        <v>3518</v>
      </c>
      <c r="D193" s="44">
        <v>2</v>
      </c>
      <c r="E193" s="114"/>
      <c r="F193" s="44"/>
      <c r="G193" s="44" t="str">
        <f t="shared" ref="G193:G201" si="5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93" s="116" t="str">
        <f t="shared" si="49"/>
        <v>魔龙之心1/衣服碎片4/烈焰玄铁4/火龙币37</v>
      </c>
    </row>
    <row r="194" spans="1:8" ht="15.75" x14ac:dyDescent="0.3">
      <c r="A194" s="44" t="s">
        <v>3498</v>
      </c>
      <c r="B194" s="44" t="s">
        <v>3510</v>
      </c>
      <c r="C194" s="45" t="s">
        <v>3518</v>
      </c>
      <c r="D194" s="44">
        <v>3</v>
      </c>
      <c r="E194" s="114"/>
      <c r="F194" s="44"/>
      <c r="G194" s="44" t="str">
        <f t="shared" si="50"/>
        <v>3#3#8|3#4#8|3#5#8|3#6#8|3#7#8|3#8#8|3#9#4|3#10#4|3#11#4|3#12#4</v>
      </c>
      <c r="H194" s="116" t="str">
        <f t="shared" si="49"/>
        <v>魔龙之心2/衣服碎片4/烈焰玄铁4/火龙币39</v>
      </c>
    </row>
    <row r="195" spans="1:8" ht="15.75" x14ac:dyDescent="0.3">
      <c r="A195" s="44" t="s">
        <v>3498</v>
      </c>
      <c r="B195" s="44" t="s">
        <v>3510</v>
      </c>
      <c r="C195" s="45" t="s">
        <v>3518</v>
      </c>
      <c r="D195" s="44">
        <v>4</v>
      </c>
      <c r="E195" s="114"/>
      <c r="F195" s="44"/>
      <c r="G195" s="44" t="str">
        <f t="shared" si="50"/>
        <v>3#3#11|3#4#11|3#5#11|3#6#11|3#7#11|3#8#11|3#9#5|3#10#5|3#11#5|3#12#5</v>
      </c>
      <c r="H195" s="116" t="str">
        <f t="shared" si="49"/>
        <v>魔龙之心2/衣服碎片4/烈焰玄铁4/火龙币41</v>
      </c>
    </row>
    <row r="196" spans="1:8" ht="15.75" x14ac:dyDescent="0.3">
      <c r="A196" s="44" t="s">
        <v>3498</v>
      </c>
      <c r="B196" s="44" t="s">
        <v>3510</v>
      </c>
      <c r="C196" s="45" t="s">
        <v>3518</v>
      </c>
      <c r="D196" s="44">
        <v>5</v>
      </c>
      <c r="E196" s="114"/>
      <c r="F196" s="44"/>
      <c r="G196" s="44" t="str">
        <f t="shared" si="50"/>
        <v>3#3#15|3#4#15|3#5#15|3#6#15|3#7#15|3#8#15|3#9#7|3#10#7|3#11#7|3#12#7</v>
      </c>
      <c r="H196" s="116" t="str">
        <f t="shared" si="49"/>
        <v>魔龙之心2/衣服碎片4/烈焰玄铁4/火龙币44</v>
      </c>
    </row>
    <row r="197" spans="1:8" ht="15.75" x14ac:dyDescent="0.3">
      <c r="A197" s="44" t="s">
        <v>3498</v>
      </c>
      <c r="B197" s="44" t="s">
        <v>3510</v>
      </c>
      <c r="C197" s="45" t="s">
        <v>3518</v>
      </c>
      <c r="D197" s="44">
        <v>6</v>
      </c>
      <c r="E197" s="114"/>
      <c r="F197" s="44"/>
      <c r="G197" s="44" t="str">
        <f t="shared" si="50"/>
        <v>3#3#20|3#4#20|3#5#20|3#6#20|3#7#20|3#8#20|3#9#10|3#10#10|3#11#10|3#12#10</v>
      </c>
      <c r="H197" s="116" t="str">
        <f t="shared" si="49"/>
        <v>魔龙之心2/衣服碎片5/烈焰玄铁5/火龙币46</v>
      </c>
    </row>
    <row r="198" spans="1:8" ht="15.75" x14ac:dyDescent="0.3">
      <c r="A198" s="44" t="s">
        <v>3498</v>
      </c>
      <c r="B198" s="44" t="s">
        <v>3510</v>
      </c>
      <c r="C198" s="45" t="s">
        <v>3518</v>
      </c>
      <c r="D198" s="44">
        <v>7</v>
      </c>
      <c r="E198" s="114"/>
      <c r="F198" s="44"/>
      <c r="G198" s="44" t="str">
        <f t="shared" si="50"/>
        <v>3#3#25|3#4#25|3#5#25|3#6#25|3#7#25|3#8#25|3#9#12|3#10#12|3#11#12|3#12#12</v>
      </c>
      <c r="H198" s="116" t="str">
        <f t="shared" si="49"/>
        <v>魔龙之心2/衣服碎片5/烈焰玄铁5/火龙币48</v>
      </c>
    </row>
    <row r="199" spans="1:8" ht="15.75" x14ac:dyDescent="0.3">
      <c r="A199" s="44" t="s">
        <v>3498</v>
      </c>
      <c r="B199" s="44" t="s">
        <v>3510</v>
      </c>
      <c r="C199" s="45" t="s">
        <v>3518</v>
      </c>
      <c r="D199" s="44">
        <v>8</v>
      </c>
      <c r="E199" s="114"/>
      <c r="F199" s="44"/>
      <c r="G199" s="44" t="str">
        <f t="shared" si="50"/>
        <v>3#3#30|3#4#30|3#5#30|3#6#30|3#7#30|3#8#30|3#9#15|3#10#15|3#11#15|3#12#15</v>
      </c>
      <c r="H199" s="116" t="str">
        <f t="shared" si="49"/>
        <v>魔龙之心2/衣服碎片5/烈焰玄铁5/火龙币50</v>
      </c>
    </row>
    <row r="200" spans="1:8" ht="15.75" x14ac:dyDescent="0.3">
      <c r="A200" s="44" t="s">
        <v>3498</v>
      </c>
      <c r="B200" s="44" t="s">
        <v>3510</v>
      </c>
      <c r="C200" s="45" t="s">
        <v>3518</v>
      </c>
      <c r="D200" s="44">
        <v>9</v>
      </c>
      <c r="E200" s="114"/>
      <c r="F200" s="44"/>
      <c r="G200" s="44" t="str">
        <f t="shared" si="50"/>
        <v>3#3#36|3#4#36|3#5#36|3#6#36|3#7#36|3#8#36|3#9#18|3#10#18|3#11#18|3#12#18</v>
      </c>
      <c r="H200" s="116" t="str">
        <f t="shared" si="49"/>
        <v>魔龙之心2/衣服碎片5/烈焰玄铁5/火龙币53</v>
      </c>
    </row>
    <row r="201" spans="1:8" ht="15.75" x14ac:dyDescent="0.3">
      <c r="A201" s="44" t="s">
        <v>3498</v>
      </c>
      <c r="B201" s="44" t="s">
        <v>3510</v>
      </c>
      <c r="C201" s="45" t="s">
        <v>3518</v>
      </c>
      <c r="D201" s="44">
        <v>10</v>
      </c>
      <c r="E201" s="114"/>
      <c r="F201" s="44"/>
      <c r="G201" s="44" t="str">
        <f t="shared" si="50"/>
        <v>3#3#45|3#4#45|3#5#45|3#6#45|3#7#45|3#8#45|3#9#22|3#10#22|3#11#22|3#12#22</v>
      </c>
      <c r="H201" s="116"/>
    </row>
    <row r="202" spans="1:8" ht="15.75" x14ac:dyDescent="0.3">
      <c r="A202" s="44" t="s">
        <v>3498</v>
      </c>
      <c r="B202" s="44" t="s">
        <v>3510</v>
      </c>
      <c r="C202" s="45" t="s">
        <v>3519</v>
      </c>
      <c r="D202" s="44">
        <v>0</v>
      </c>
      <c r="E202" s="114"/>
      <c r="F202" s="44"/>
      <c r="G202" s="117"/>
      <c r="H202" s="116" t="str">
        <f>"魔龙之心"&amp;Z3&amp;"/衣服碎片"&amp;AA3&amp;"/烈焰玄铁"&amp;AB3&amp;"/火龙币"&amp;AC3</f>
        <v>魔龙之心1/衣服碎片3/烈焰玄铁3/火龙币32</v>
      </c>
    </row>
    <row r="203" spans="1:8" ht="15.75" x14ac:dyDescent="0.3">
      <c r="A203" s="44" t="s">
        <v>3498</v>
      </c>
      <c r="B203" s="44" t="s">
        <v>3510</v>
      </c>
      <c r="C203" s="45" t="s">
        <v>3519</v>
      </c>
      <c r="D203" s="44">
        <v>1</v>
      </c>
      <c r="E203" s="114"/>
      <c r="F203" s="44"/>
      <c r="G203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03" s="116" t="str">
        <f t="shared" ref="H203:H211" si="51">"魔龙之心"&amp;Z4&amp;"/衣服碎片"&amp;AA4&amp;"/烈焰玄铁"&amp;AB4&amp;"/火龙币"&amp;AC4</f>
        <v>魔龙之心1/衣服碎片3/烈焰玄铁3/火龙币35</v>
      </c>
    </row>
    <row r="204" spans="1:8" ht="15.75" x14ac:dyDescent="0.3">
      <c r="A204" s="44" t="s">
        <v>3498</v>
      </c>
      <c r="B204" s="44" t="s">
        <v>3510</v>
      </c>
      <c r="C204" s="45" t="s">
        <v>3519</v>
      </c>
      <c r="D204" s="44">
        <v>2</v>
      </c>
      <c r="E204" s="114"/>
      <c r="F204" s="44"/>
      <c r="G204" s="44" t="str">
        <f t="shared" ref="G204:G212" si="5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04" s="116" t="str">
        <f t="shared" si="51"/>
        <v>魔龙之心1/衣服碎片4/烈焰玄铁4/火龙币37</v>
      </c>
    </row>
    <row r="205" spans="1:8" ht="15.75" x14ac:dyDescent="0.3">
      <c r="A205" s="44" t="s">
        <v>3498</v>
      </c>
      <c r="B205" s="44" t="s">
        <v>3510</v>
      </c>
      <c r="C205" s="45" t="s">
        <v>3519</v>
      </c>
      <c r="D205" s="44">
        <v>3</v>
      </c>
      <c r="E205" s="114"/>
      <c r="F205" s="44"/>
      <c r="G205" s="44" t="str">
        <f t="shared" si="52"/>
        <v>3#3#8|3#4#8|3#5#8|3#6#8|3#7#8|3#8#8|3#9#4|3#10#4|3#11#4|3#12#4</v>
      </c>
      <c r="H205" s="116" t="str">
        <f t="shared" si="51"/>
        <v>魔龙之心2/衣服碎片4/烈焰玄铁4/火龙币39</v>
      </c>
    </row>
    <row r="206" spans="1:8" ht="15.75" x14ac:dyDescent="0.3">
      <c r="A206" s="44" t="s">
        <v>3498</v>
      </c>
      <c r="B206" s="44" t="s">
        <v>3510</v>
      </c>
      <c r="C206" s="45" t="s">
        <v>3519</v>
      </c>
      <c r="D206" s="44">
        <v>4</v>
      </c>
      <c r="E206" s="114"/>
      <c r="F206" s="44"/>
      <c r="G206" s="44" t="str">
        <f t="shared" si="52"/>
        <v>3#3#11|3#4#11|3#5#11|3#6#11|3#7#11|3#8#11|3#9#5|3#10#5|3#11#5|3#12#5</v>
      </c>
      <c r="H206" s="116" t="str">
        <f t="shared" si="51"/>
        <v>魔龙之心2/衣服碎片4/烈焰玄铁4/火龙币41</v>
      </c>
    </row>
    <row r="207" spans="1:8" ht="15.75" x14ac:dyDescent="0.3">
      <c r="A207" s="44" t="s">
        <v>3498</v>
      </c>
      <c r="B207" s="44" t="s">
        <v>3510</v>
      </c>
      <c r="C207" s="45" t="s">
        <v>3519</v>
      </c>
      <c r="D207" s="44">
        <v>5</v>
      </c>
      <c r="E207" s="114"/>
      <c r="F207" s="44"/>
      <c r="G207" s="44" t="str">
        <f t="shared" si="52"/>
        <v>3#3#15|3#4#15|3#5#15|3#6#15|3#7#15|3#8#15|3#9#7|3#10#7|3#11#7|3#12#7</v>
      </c>
      <c r="H207" s="116" t="str">
        <f t="shared" si="51"/>
        <v>魔龙之心2/衣服碎片4/烈焰玄铁4/火龙币44</v>
      </c>
    </row>
    <row r="208" spans="1:8" ht="15.75" x14ac:dyDescent="0.3">
      <c r="A208" s="44" t="s">
        <v>3498</v>
      </c>
      <c r="B208" s="44" t="s">
        <v>3510</v>
      </c>
      <c r="C208" s="45" t="s">
        <v>3519</v>
      </c>
      <c r="D208" s="44">
        <v>6</v>
      </c>
      <c r="E208" s="114"/>
      <c r="F208" s="44"/>
      <c r="G208" s="44" t="str">
        <f t="shared" si="52"/>
        <v>3#3#20|3#4#20|3#5#20|3#6#20|3#7#20|3#8#20|3#9#10|3#10#10|3#11#10|3#12#10</v>
      </c>
      <c r="H208" s="116" t="str">
        <f t="shared" si="51"/>
        <v>魔龙之心2/衣服碎片5/烈焰玄铁5/火龙币46</v>
      </c>
    </row>
    <row r="209" spans="1:8" ht="15.75" x14ac:dyDescent="0.3">
      <c r="A209" s="44" t="s">
        <v>3498</v>
      </c>
      <c r="B209" s="44" t="s">
        <v>3510</v>
      </c>
      <c r="C209" s="45" t="s">
        <v>3519</v>
      </c>
      <c r="D209" s="44">
        <v>7</v>
      </c>
      <c r="E209" s="114"/>
      <c r="F209" s="44"/>
      <c r="G209" s="44" t="str">
        <f t="shared" si="52"/>
        <v>3#3#25|3#4#25|3#5#25|3#6#25|3#7#25|3#8#25|3#9#12|3#10#12|3#11#12|3#12#12</v>
      </c>
      <c r="H209" s="116" t="str">
        <f t="shared" si="51"/>
        <v>魔龙之心2/衣服碎片5/烈焰玄铁5/火龙币48</v>
      </c>
    </row>
    <row r="210" spans="1:8" ht="15.75" x14ac:dyDescent="0.3">
      <c r="A210" s="44" t="s">
        <v>3498</v>
      </c>
      <c r="B210" s="44" t="s">
        <v>3510</v>
      </c>
      <c r="C210" s="45" t="s">
        <v>3519</v>
      </c>
      <c r="D210" s="44">
        <v>8</v>
      </c>
      <c r="E210" s="114"/>
      <c r="F210" s="44"/>
      <c r="G210" s="44" t="str">
        <f t="shared" si="52"/>
        <v>3#3#30|3#4#30|3#5#30|3#6#30|3#7#30|3#8#30|3#9#15|3#10#15|3#11#15|3#12#15</v>
      </c>
      <c r="H210" s="116" t="str">
        <f t="shared" si="51"/>
        <v>魔龙之心2/衣服碎片5/烈焰玄铁5/火龙币50</v>
      </c>
    </row>
    <row r="211" spans="1:8" ht="15.75" x14ac:dyDescent="0.3">
      <c r="A211" s="44" t="s">
        <v>3498</v>
      </c>
      <c r="B211" s="44" t="s">
        <v>3510</v>
      </c>
      <c r="C211" s="45" t="s">
        <v>3519</v>
      </c>
      <c r="D211" s="44">
        <v>9</v>
      </c>
      <c r="E211" s="114"/>
      <c r="F211" s="44"/>
      <c r="G211" s="44" t="str">
        <f t="shared" si="52"/>
        <v>3#3#36|3#4#36|3#5#36|3#6#36|3#7#36|3#8#36|3#9#18|3#10#18|3#11#18|3#12#18</v>
      </c>
      <c r="H211" s="116" t="str">
        <f t="shared" si="51"/>
        <v>魔龙之心2/衣服碎片5/烈焰玄铁5/火龙币53</v>
      </c>
    </row>
    <row r="212" spans="1:8" ht="15.75" x14ac:dyDescent="0.3">
      <c r="A212" s="44" t="s">
        <v>3498</v>
      </c>
      <c r="B212" s="44" t="s">
        <v>3510</v>
      </c>
      <c r="C212" s="45" t="s">
        <v>3519</v>
      </c>
      <c r="D212" s="44">
        <v>10</v>
      </c>
      <c r="E212" s="114"/>
      <c r="F212" s="44"/>
      <c r="G212" s="44" t="str">
        <f t="shared" si="52"/>
        <v>3#3#45|3#4#45|3#5#45|3#6#45|3#7#45|3#8#45|3#9#22|3#10#22|3#11#22|3#12#22</v>
      </c>
      <c r="H212" s="116"/>
    </row>
    <row r="213" spans="1:8" ht="15.75" x14ac:dyDescent="0.3">
      <c r="A213" s="44" t="s">
        <v>3498</v>
      </c>
      <c r="B213" s="44" t="s">
        <v>3510</v>
      </c>
      <c r="C213" s="45" t="s">
        <v>3520</v>
      </c>
      <c r="D213" s="44">
        <v>0</v>
      </c>
      <c r="E213" s="114"/>
      <c r="F213" s="44"/>
      <c r="G213" s="117"/>
      <c r="H213" s="116" t="str">
        <f>"魔龙之心"&amp;Z3&amp;"/衣服碎片"&amp;AA3&amp;"/烈焰玄铁"&amp;AB3&amp;"/火龙币"&amp;AC3</f>
        <v>魔龙之心1/衣服碎片3/烈焰玄铁3/火龙币32</v>
      </c>
    </row>
    <row r="214" spans="1:8" ht="15.75" x14ac:dyDescent="0.3">
      <c r="A214" s="44" t="s">
        <v>3498</v>
      </c>
      <c r="B214" s="44" t="s">
        <v>3510</v>
      </c>
      <c r="C214" s="45" t="s">
        <v>3520</v>
      </c>
      <c r="D214" s="44">
        <v>1</v>
      </c>
      <c r="E214" s="114"/>
      <c r="F214" s="44"/>
      <c r="G214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14" s="116" t="str">
        <f t="shared" ref="H214:H222" si="53">"魔龙之心"&amp;Z4&amp;"/衣服碎片"&amp;AA4&amp;"/烈焰玄铁"&amp;AB4&amp;"/火龙币"&amp;AC4</f>
        <v>魔龙之心1/衣服碎片3/烈焰玄铁3/火龙币35</v>
      </c>
    </row>
    <row r="215" spans="1:8" ht="15.75" x14ac:dyDescent="0.3">
      <c r="A215" s="44" t="s">
        <v>3498</v>
      </c>
      <c r="B215" s="44" t="s">
        <v>3510</v>
      </c>
      <c r="C215" s="45" t="s">
        <v>3520</v>
      </c>
      <c r="D215" s="44">
        <v>2</v>
      </c>
      <c r="E215" s="114"/>
      <c r="F215" s="44"/>
      <c r="G215" s="44" t="str">
        <f t="shared" ref="G215:G223" si="5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15" s="116" t="str">
        <f t="shared" si="53"/>
        <v>魔龙之心1/衣服碎片4/烈焰玄铁4/火龙币37</v>
      </c>
    </row>
    <row r="216" spans="1:8" ht="15.75" x14ac:dyDescent="0.3">
      <c r="A216" s="44" t="s">
        <v>3498</v>
      </c>
      <c r="B216" s="44" t="s">
        <v>3510</v>
      </c>
      <c r="C216" s="45" t="s">
        <v>3520</v>
      </c>
      <c r="D216" s="44">
        <v>3</v>
      </c>
      <c r="E216" s="114"/>
      <c r="F216" s="44"/>
      <c r="G216" s="44" t="str">
        <f t="shared" si="54"/>
        <v>3#3#8|3#4#8|3#5#8|3#6#8|3#7#8|3#8#8|3#9#4|3#10#4|3#11#4|3#12#4</v>
      </c>
      <c r="H216" s="116" t="str">
        <f t="shared" si="53"/>
        <v>魔龙之心2/衣服碎片4/烈焰玄铁4/火龙币39</v>
      </c>
    </row>
    <row r="217" spans="1:8" ht="15.75" x14ac:dyDescent="0.3">
      <c r="A217" s="44" t="s">
        <v>3498</v>
      </c>
      <c r="B217" s="44" t="s">
        <v>3510</v>
      </c>
      <c r="C217" s="45" t="s">
        <v>3520</v>
      </c>
      <c r="D217" s="44">
        <v>4</v>
      </c>
      <c r="E217" s="114"/>
      <c r="F217" s="44"/>
      <c r="G217" s="44" t="str">
        <f t="shared" si="54"/>
        <v>3#3#11|3#4#11|3#5#11|3#6#11|3#7#11|3#8#11|3#9#5|3#10#5|3#11#5|3#12#5</v>
      </c>
      <c r="H217" s="116" t="str">
        <f t="shared" si="53"/>
        <v>魔龙之心2/衣服碎片4/烈焰玄铁4/火龙币41</v>
      </c>
    </row>
    <row r="218" spans="1:8" ht="15.75" x14ac:dyDescent="0.3">
      <c r="A218" s="44" t="s">
        <v>3498</v>
      </c>
      <c r="B218" s="44" t="s">
        <v>3510</v>
      </c>
      <c r="C218" s="45" t="s">
        <v>3520</v>
      </c>
      <c r="D218" s="44">
        <v>5</v>
      </c>
      <c r="E218" s="114"/>
      <c r="F218" s="44"/>
      <c r="G218" s="44" t="str">
        <f t="shared" si="54"/>
        <v>3#3#15|3#4#15|3#5#15|3#6#15|3#7#15|3#8#15|3#9#7|3#10#7|3#11#7|3#12#7</v>
      </c>
      <c r="H218" s="116" t="str">
        <f t="shared" si="53"/>
        <v>魔龙之心2/衣服碎片4/烈焰玄铁4/火龙币44</v>
      </c>
    </row>
    <row r="219" spans="1:8" ht="15.75" x14ac:dyDescent="0.3">
      <c r="A219" s="44" t="s">
        <v>3498</v>
      </c>
      <c r="B219" s="44" t="s">
        <v>3510</v>
      </c>
      <c r="C219" s="45" t="s">
        <v>3520</v>
      </c>
      <c r="D219" s="44">
        <v>6</v>
      </c>
      <c r="E219" s="114"/>
      <c r="F219" s="44"/>
      <c r="G219" s="44" t="str">
        <f t="shared" si="54"/>
        <v>3#3#20|3#4#20|3#5#20|3#6#20|3#7#20|3#8#20|3#9#10|3#10#10|3#11#10|3#12#10</v>
      </c>
      <c r="H219" s="116" t="str">
        <f t="shared" si="53"/>
        <v>魔龙之心2/衣服碎片5/烈焰玄铁5/火龙币46</v>
      </c>
    </row>
    <row r="220" spans="1:8" ht="15.75" x14ac:dyDescent="0.3">
      <c r="A220" s="44" t="s">
        <v>3498</v>
      </c>
      <c r="B220" s="44" t="s">
        <v>3510</v>
      </c>
      <c r="C220" s="45" t="s">
        <v>3520</v>
      </c>
      <c r="D220" s="44">
        <v>7</v>
      </c>
      <c r="E220" s="114"/>
      <c r="F220" s="44"/>
      <c r="G220" s="44" t="str">
        <f t="shared" si="54"/>
        <v>3#3#25|3#4#25|3#5#25|3#6#25|3#7#25|3#8#25|3#9#12|3#10#12|3#11#12|3#12#12</v>
      </c>
      <c r="H220" s="116" t="str">
        <f t="shared" si="53"/>
        <v>魔龙之心2/衣服碎片5/烈焰玄铁5/火龙币48</v>
      </c>
    </row>
    <row r="221" spans="1:8" ht="15.75" x14ac:dyDescent="0.3">
      <c r="A221" s="44" t="s">
        <v>3498</v>
      </c>
      <c r="B221" s="44" t="s">
        <v>3510</v>
      </c>
      <c r="C221" s="45" t="s">
        <v>3520</v>
      </c>
      <c r="D221" s="44">
        <v>8</v>
      </c>
      <c r="E221" s="114"/>
      <c r="F221" s="44"/>
      <c r="G221" s="44" t="str">
        <f t="shared" si="54"/>
        <v>3#3#30|3#4#30|3#5#30|3#6#30|3#7#30|3#8#30|3#9#15|3#10#15|3#11#15|3#12#15</v>
      </c>
      <c r="H221" s="116" t="str">
        <f t="shared" si="53"/>
        <v>魔龙之心2/衣服碎片5/烈焰玄铁5/火龙币50</v>
      </c>
    </row>
    <row r="222" spans="1:8" ht="15.75" x14ac:dyDescent="0.3">
      <c r="A222" s="44" t="s">
        <v>3498</v>
      </c>
      <c r="B222" s="44" t="s">
        <v>3510</v>
      </c>
      <c r="C222" s="45" t="s">
        <v>3520</v>
      </c>
      <c r="D222" s="44">
        <v>9</v>
      </c>
      <c r="E222" s="114"/>
      <c r="F222" s="44"/>
      <c r="G222" s="44" t="str">
        <f t="shared" si="54"/>
        <v>3#3#36|3#4#36|3#5#36|3#6#36|3#7#36|3#8#36|3#9#18|3#10#18|3#11#18|3#12#18</v>
      </c>
      <c r="H222" s="116" t="str">
        <f t="shared" si="53"/>
        <v>魔龙之心2/衣服碎片5/烈焰玄铁5/火龙币53</v>
      </c>
    </row>
    <row r="223" spans="1:8" ht="15.75" x14ac:dyDescent="0.3">
      <c r="A223" s="44" t="s">
        <v>3498</v>
      </c>
      <c r="B223" s="44" t="s">
        <v>3510</v>
      </c>
      <c r="C223" s="45" t="s">
        <v>3520</v>
      </c>
      <c r="D223" s="44">
        <v>10</v>
      </c>
      <c r="E223" s="114"/>
      <c r="F223" s="44"/>
      <c r="G223" s="44" t="str">
        <f t="shared" si="54"/>
        <v>3#3#45|3#4#45|3#5#45|3#6#45|3#7#45|3#8#45|3#9#22|3#10#22|3#11#22|3#12#22</v>
      </c>
      <c r="H223" s="116"/>
    </row>
    <row r="224" spans="1:8" ht="15.75" x14ac:dyDescent="0.3">
      <c r="A224" s="47" t="s">
        <v>3498</v>
      </c>
      <c r="B224" s="47" t="s">
        <v>3521</v>
      </c>
      <c r="C224" s="48" t="s">
        <v>3522</v>
      </c>
      <c r="D224" s="47">
        <v>0</v>
      </c>
      <c r="E224" s="118"/>
      <c r="F224" s="47"/>
      <c r="G224" s="121"/>
      <c r="H224" s="120" t="str">
        <f>"神器图纸"&amp;Z3&amp;"/防具碎片"&amp;AA3&amp;"/烈焰玄铁"&amp;AB3&amp;"/火龙币"&amp;AC3</f>
        <v>神器图纸1/防具碎片3/烈焰玄铁3/火龙币32</v>
      </c>
    </row>
    <row r="225" spans="1:8" ht="15.75" x14ac:dyDescent="0.3">
      <c r="A225" s="47" t="s">
        <v>3498</v>
      </c>
      <c r="B225" s="47" t="s">
        <v>3521</v>
      </c>
      <c r="C225" s="48" t="s">
        <v>3522</v>
      </c>
      <c r="D225" s="47">
        <v>1</v>
      </c>
      <c r="E225" s="118"/>
      <c r="F225" s="47"/>
      <c r="G225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25" s="120" t="str">
        <f t="shared" ref="H225:H233" si="55">"神器图纸"&amp;Z4&amp;"/防具碎片"&amp;AA4&amp;"/烈焰玄铁"&amp;AB4&amp;"/火龙币"&amp;AC4</f>
        <v>神器图纸1/防具碎片3/烈焰玄铁3/火龙币35</v>
      </c>
    </row>
    <row r="226" spans="1:8" ht="15.75" x14ac:dyDescent="0.3">
      <c r="A226" s="47" t="s">
        <v>3498</v>
      </c>
      <c r="B226" s="47" t="s">
        <v>3521</v>
      </c>
      <c r="C226" s="48" t="s">
        <v>3522</v>
      </c>
      <c r="D226" s="47">
        <v>2</v>
      </c>
      <c r="E226" s="118"/>
      <c r="F226" s="47"/>
      <c r="G226" s="47" t="str">
        <f t="shared" ref="G226:G234" si="5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26" s="120" t="str">
        <f t="shared" si="55"/>
        <v>神器图纸1/防具碎片4/烈焰玄铁4/火龙币37</v>
      </c>
    </row>
    <row r="227" spans="1:8" ht="15.75" x14ac:dyDescent="0.3">
      <c r="A227" s="47" t="s">
        <v>3498</v>
      </c>
      <c r="B227" s="47" t="s">
        <v>3521</v>
      </c>
      <c r="C227" s="48" t="s">
        <v>3522</v>
      </c>
      <c r="D227" s="47">
        <v>3</v>
      </c>
      <c r="E227" s="118"/>
      <c r="F227" s="47"/>
      <c r="G227" s="47" t="str">
        <f t="shared" si="56"/>
        <v>3#3#8|3#4#8|3#5#8|3#6#8|3#7#8|3#8#8|3#9#4|3#10#4|3#11#4|3#12#4</v>
      </c>
      <c r="H227" s="120" t="str">
        <f t="shared" si="55"/>
        <v>神器图纸2/防具碎片4/烈焰玄铁4/火龙币39</v>
      </c>
    </row>
    <row r="228" spans="1:8" ht="15.75" x14ac:dyDescent="0.3">
      <c r="A228" s="47" t="s">
        <v>3498</v>
      </c>
      <c r="B228" s="47" t="s">
        <v>3521</v>
      </c>
      <c r="C228" s="48" t="s">
        <v>3522</v>
      </c>
      <c r="D228" s="47">
        <v>4</v>
      </c>
      <c r="E228" s="118"/>
      <c r="F228" s="47"/>
      <c r="G228" s="47" t="str">
        <f t="shared" si="56"/>
        <v>3#3#11|3#4#11|3#5#11|3#6#11|3#7#11|3#8#11|3#9#5|3#10#5|3#11#5|3#12#5</v>
      </c>
      <c r="H228" s="120" t="str">
        <f t="shared" si="55"/>
        <v>神器图纸2/防具碎片4/烈焰玄铁4/火龙币41</v>
      </c>
    </row>
    <row r="229" spans="1:8" ht="15.75" x14ac:dyDescent="0.3">
      <c r="A229" s="47" t="s">
        <v>3498</v>
      </c>
      <c r="B229" s="47" t="s">
        <v>3521</v>
      </c>
      <c r="C229" s="48" t="s">
        <v>3522</v>
      </c>
      <c r="D229" s="47">
        <v>5</v>
      </c>
      <c r="E229" s="118"/>
      <c r="F229" s="47"/>
      <c r="G229" s="47" t="str">
        <f t="shared" si="56"/>
        <v>3#3#15|3#4#15|3#5#15|3#6#15|3#7#15|3#8#15|3#9#7|3#10#7|3#11#7|3#12#7</v>
      </c>
      <c r="H229" s="120" t="str">
        <f t="shared" si="55"/>
        <v>神器图纸2/防具碎片4/烈焰玄铁4/火龙币44</v>
      </c>
    </row>
    <row r="230" spans="1:8" ht="15.75" x14ac:dyDescent="0.3">
      <c r="A230" s="47" t="s">
        <v>3498</v>
      </c>
      <c r="B230" s="47" t="s">
        <v>3521</v>
      </c>
      <c r="C230" s="48" t="s">
        <v>3522</v>
      </c>
      <c r="D230" s="47">
        <v>6</v>
      </c>
      <c r="E230" s="118"/>
      <c r="F230" s="47"/>
      <c r="G230" s="47" t="str">
        <f t="shared" si="56"/>
        <v>3#3#20|3#4#20|3#5#20|3#6#20|3#7#20|3#8#20|3#9#10|3#10#10|3#11#10|3#12#10</v>
      </c>
      <c r="H230" s="120" t="str">
        <f t="shared" si="55"/>
        <v>神器图纸2/防具碎片5/烈焰玄铁5/火龙币46</v>
      </c>
    </row>
    <row r="231" spans="1:8" ht="15.75" x14ac:dyDescent="0.3">
      <c r="A231" s="47" t="s">
        <v>3498</v>
      </c>
      <c r="B231" s="47" t="s">
        <v>3521</v>
      </c>
      <c r="C231" s="48" t="s">
        <v>3522</v>
      </c>
      <c r="D231" s="47">
        <v>7</v>
      </c>
      <c r="E231" s="118"/>
      <c r="F231" s="47"/>
      <c r="G231" s="47" t="str">
        <f t="shared" si="56"/>
        <v>3#3#25|3#4#25|3#5#25|3#6#25|3#7#25|3#8#25|3#9#12|3#10#12|3#11#12|3#12#12</v>
      </c>
      <c r="H231" s="120" t="str">
        <f t="shared" si="55"/>
        <v>神器图纸2/防具碎片5/烈焰玄铁5/火龙币48</v>
      </c>
    </row>
    <row r="232" spans="1:8" ht="15.75" x14ac:dyDescent="0.3">
      <c r="A232" s="47" t="s">
        <v>3498</v>
      </c>
      <c r="B232" s="47" t="s">
        <v>3521</v>
      </c>
      <c r="C232" s="48" t="s">
        <v>3522</v>
      </c>
      <c r="D232" s="47">
        <v>8</v>
      </c>
      <c r="E232" s="118"/>
      <c r="F232" s="47"/>
      <c r="G232" s="47" t="str">
        <f t="shared" si="56"/>
        <v>3#3#30|3#4#30|3#5#30|3#6#30|3#7#30|3#8#30|3#9#15|3#10#15|3#11#15|3#12#15</v>
      </c>
      <c r="H232" s="120" t="str">
        <f t="shared" si="55"/>
        <v>神器图纸2/防具碎片5/烈焰玄铁5/火龙币50</v>
      </c>
    </row>
    <row r="233" spans="1:8" ht="15.75" x14ac:dyDescent="0.3">
      <c r="A233" s="47" t="s">
        <v>3498</v>
      </c>
      <c r="B233" s="47" t="s">
        <v>3521</v>
      </c>
      <c r="C233" s="48" t="s">
        <v>3522</v>
      </c>
      <c r="D233" s="47">
        <v>9</v>
      </c>
      <c r="E233" s="118"/>
      <c r="F233" s="47"/>
      <c r="G233" s="47" t="str">
        <f t="shared" si="56"/>
        <v>3#3#36|3#4#36|3#5#36|3#6#36|3#7#36|3#8#36|3#9#18|3#10#18|3#11#18|3#12#18</v>
      </c>
      <c r="H233" s="120" t="str">
        <f t="shared" si="55"/>
        <v>神器图纸2/防具碎片5/烈焰玄铁5/火龙币53</v>
      </c>
    </row>
    <row r="234" spans="1:8" ht="15.75" x14ac:dyDescent="0.3">
      <c r="A234" s="47" t="s">
        <v>3498</v>
      </c>
      <c r="B234" s="47" t="s">
        <v>3521</v>
      </c>
      <c r="C234" s="48" t="s">
        <v>3522</v>
      </c>
      <c r="D234" s="47">
        <v>10</v>
      </c>
      <c r="E234" s="118"/>
      <c r="F234" s="47"/>
      <c r="G234" s="47" t="str">
        <f t="shared" si="56"/>
        <v>3#3#45|3#4#45|3#5#45|3#6#45|3#7#45|3#8#45|3#9#22|3#10#22|3#11#22|3#12#22</v>
      </c>
      <c r="H234" s="120"/>
    </row>
    <row r="235" spans="1:8" ht="15.75" x14ac:dyDescent="0.3">
      <c r="A235" s="47" t="s">
        <v>3498</v>
      </c>
      <c r="B235" s="47" t="s">
        <v>3521</v>
      </c>
      <c r="C235" s="48" t="s">
        <v>3523</v>
      </c>
      <c r="D235" s="47">
        <v>0</v>
      </c>
      <c r="E235" s="118"/>
      <c r="F235" s="47"/>
      <c r="G235" s="121"/>
      <c r="H235" s="120" t="str">
        <f>"神器图纸"&amp;Z3&amp;"/防具碎片"&amp;AA3&amp;"/烈焰玄铁"&amp;AB3&amp;"/火龙币"&amp;AC3</f>
        <v>神器图纸1/防具碎片3/烈焰玄铁3/火龙币32</v>
      </c>
    </row>
    <row r="236" spans="1:8" ht="15.75" x14ac:dyDescent="0.3">
      <c r="A236" s="47" t="s">
        <v>3498</v>
      </c>
      <c r="B236" s="47" t="s">
        <v>3521</v>
      </c>
      <c r="C236" s="48" t="s">
        <v>3523</v>
      </c>
      <c r="D236" s="47">
        <v>1</v>
      </c>
      <c r="E236" s="118"/>
      <c r="F236" s="47"/>
      <c r="G236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36" s="120" t="str">
        <f t="shared" ref="H236:H244" si="57">"神器图纸"&amp;Z4&amp;"/防具碎片"&amp;AA4&amp;"/烈焰玄铁"&amp;AB4&amp;"/火龙币"&amp;AC4</f>
        <v>神器图纸1/防具碎片3/烈焰玄铁3/火龙币35</v>
      </c>
    </row>
    <row r="237" spans="1:8" ht="15.75" x14ac:dyDescent="0.3">
      <c r="A237" s="47" t="s">
        <v>3498</v>
      </c>
      <c r="B237" s="47" t="s">
        <v>3521</v>
      </c>
      <c r="C237" s="48" t="s">
        <v>3523</v>
      </c>
      <c r="D237" s="47">
        <v>2</v>
      </c>
      <c r="E237" s="118"/>
      <c r="F237" s="47"/>
      <c r="G237" s="47" t="str">
        <f t="shared" ref="G237:G245" si="5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37" s="120" t="str">
        <f t="shared" si="57"/>
        <v>神器图纸1/防具碎片4/烈焰玄铁4/火龙币37</v>
      </c>
    </row>
    <row r="238" spans="1:8" ht="15.75" x14ac:dyDescent="0.3">
      <c r="A238" s="47" t="s">
        <v>3498</v>
      </c>
      <c r="B238" s="47" t="s">
        <v>3521</v>
      </c>
      <c r="C238" s="48" t="s">
        <v>3523</v>
      </c>
      <c r="D238" s="47">
        <v>3</v>
      </c>
      <c r="E238" s="118"/>
      <c r="F238" s="47"/>
      <c r="G238" s="47" t="str">
        <f t="shared" si="58"/>
        <v>3#3#8|3#4#8|3#5#8|3#6#8|3#7#8|3#8#8|3#9#4|3#10#4|3#11#4|3#12#4</v>
      </c>
      <c r="H238" s="120" t="str">
        <f t="shared" si="57"/>
        <v>神器图纸2/防具碎片4/烈焰玄铁4/火龙币39</v>
      </c>
    </row>
    <row r="239" spans="1:8" ht="15.75" x14ac:dyDescent="0.3">
      <c r="A239" s="47" t="s">
        <v>3498</v>
      </c>
      <c r="B239" s="47" t="s">
        <v>3521</v>
      </c>
      <c r="C239" s="48" t="s">
        <v>3523</v>
      </c>
      <c r="D239" s="47">
        <v>4</v>
      </c>
      <c r="E239" s="118"/>
      <c r="F239" s="47"/>
      <c r="G239" s="47" t="str">
        <f t="shared" si="58"/>
        <v>3#3#11|3#4#11|3#5#11|3#6#11|3#7#11|3#8#11|3#9#5|3#10#5|3#11#5|3#12#5</v>
      </c>
      <c r="H239" s="120" t="str">
        <f t="shared" si="57"/>
        <v>神器图纸2/防具碎片4/烈焰玄铁4/火龙币41</v>
      </c>
    </row>
    <row r="240" spans="1:8" ht="15.75" x14ac:dyDescent="0.3">
      <c r="A240" s="47" t="s">
        <v>3498</v>
      </c>
      <c r="B240" s="47" t="s">
        <v>3521</v>
      </c>
      <c r="C240" s="48" t="s">
        <v>3523</v>
      </c>
      <c r="D240" s="47">
        <v>5</v>
      </c>
      <c r="E240" s="118"/>
      <c r="F240" s="47"/>
      <c r="G240" s="47" t="str">
        <f t="shared" si="58"/>
        <v>3#3#15|3#4#15|3#5#15|3#6#15|3#7#15|3#8#15|3#9#7|3#10#7|3#11#7|3#12#7</v>
      </c>
      <c r="H240" s="120" t="str">
        <f t="shared" si="57"/>
        <v>神器图纸2/防具碎片4/烈焰玄铁4/火龙币44</v>
      </c>
    </row>
    <row r="241" spans="1:8" ht="15.75" x14ac:dyDescent="0.3">
      <c r="A241" s="47" t="s">
        <v>3498</v>
      </c>
      <c r="B241" s="47" t="s">
        <v>3521</v>
      </c>
      <c r="C241" s="48" t="s">
        <v>3523</v>
      </c>
      <c r="D241" s="47">
        <v>6</v>
      </c>
      <c r="E241" s="118"/>
      <c r="F241" s="47"/>
      <c r="G241" s="47" t="str">
        <f t="shared" si="58"/>
        <v>3#3#20|3#4#20|3#5#20|3#6#20|3#7#20|3#8#20|3#9#10|3#10#10|3#11#10|3#12#10</v>
      </c>
      <c r="H241" s="120" t="str">
        <f t="shared" si="57"/>
        <v>神器图纸2/防具碎片5/烈焰玄铁5/火龙币46</v>
      </c>
    </row>
    <row r="242" spans="1:8" ht="15.75" x14ac:dyDescent="0.3">
      <c r="A242" s="47" t="s">
        <v>3498</v>
      </c>
      <c r="B242" s="47" t="s">
        <v>3521</v>
      </c>
      <c r="C242" s="48" t="s">
        <v>3523</v>
      </c>
      <c r="D242" s="47">
        <v>7</v>
      </c>
      <c r="E242" s="118"/>
      <c r="F242" s="47"/>
      <c r="G242" s="47" t="str">
        <f t="shared" si="58"/>
        <v>3#3#25|3#4#25|3#5#25|3#6#25|3#7#25|3#8#25|3#9#12|3#10#12|3#11#12|3#12#12</v>
      </c>
      <c r="H242" s="120" t="str">
        <f t="shared" si="57"/>
        <v>神器图纸2/防具碎片5/烈焰玄铁5/火龙币48</v>
      </c>
    </row>
    <row r="243" spans="1:8" ht="15.75" x14ac:dyDescent="0.3">
      <c r="A243" s="47" t="s">
        <v>3498</v>
      </c>
      <c r="B243" s="47" t="s">
        <v>3521</v>
      </c>
      <c r="C243" s="48" t="s">
        <v>3523</v>
      </c>
      <c r="D243" s="47">
        <v>8</v>
      </c>
      <c r="E243" s="118"/>
      <c r="F243" s="47"/>
      <c r="G243" s="47" t="str">
        <f t="shared" si="58"/>
        <v>3#3#30|3#4#30|3#5#30|3#6#30|3#7#30|3#8#30|3#9#15|3#10#15|3#11#15|3#12#15</v>
      </c>
      <c r="H243" s="120" t="str">
        <f t="shared" si="57"/>
        <v>神器图纸2/防具碎片5/烈焰玄铁5/火龙币50</v>
      </c>
    </row>
    <row r="244" spans="1:8" ht="15.75" x14ac:dyDescent="0.3">
      <c r="A244" s="47" t="s">
        <v>3498</v>
      </c>
      <c r="B244" s="47" t="s">
        <v>3521</v>
      </c>
      <c r="C244" s="48" t="s">
        <v>3523</v>
      </c>
      <c r="D244" s="47">
        <v>9</v>
      </c>
      <c r="E244" s="118"/>
      <c r="F244" s="47"/>
      <c r="G244" s="47" t="str">
        <f t="shared" si="58"/>
        <v>3#3#36|3#4#36|3#5#36|3#6#36|3#7#36|3#8#36|3#9#18|3#10#18|3#11#18|3#12#18</v>
      </c>
      <c r="H244" s="120" t="str">
        <f t="shared" si="57"/>
        <v>神器图纸2/防具碎片5/烈焰玄铁5/火龙币53</v>
      </c>
    </row>
    <row r="245" spans="1:8" ht="15.75" x14ac:dyDescent="0.3">
      <c r="A245" s="47" t="s">
        <v>3498</v>
      </c>
      <c r="B245" s="47" t="s">
        <v>3521</v>
      </c>
      <c r="C245" s="48" t="s">
        <v>3523</v>
      </c>
      <c r="D245" s="47">
        <v>10</v>
      </c>
      <c r="E245" s="118"/>
      <c r="F245" s="47"/>
      <c r="G245" s="47" t="str">
        <f t="shared" si="58"/>
        <v>3#3#45|3#4#45|3#5#45|3#6#45|3#7#45|3#8#45|3#9#22|3#10#22|3#11#22|3#12#22</v>
      </c>
      <c r="H245" s="120"/>
    </row>
    <row r="246" spans="1:8" ht="15.75" x14ac:dyDescent="0.3">
      <c r="A246" s="47" t="s">
        <v>3498</v>
      </c>
      <c r="B246" s="47" t="s">
        <v>3521</v>
      </c>
      <c r="C246" s="48" t="s">
        <v>3524</v>
      </c>
      <c r="D246" s="47">
        <v>0</v>
      </c>
      <c r="E246" s="118"/>
      <c r="F246" s="47"/>
      <c r="G246" s="121"/>
      <c r="H246" s="120" t="str">
        <f>"神器图纸"&amp;Z3&amp;"/防具碎片"&amp;AA3&amp;"/烈焰玄铁"&amp;AB3&amp;"/火龙币"&amp;AC3</f>
        <v>神器图纸1/防具碎片3/烈焰玄铁3/火龙币32</v>
      </c>
    </row>
    <row r="247" spans="1:8" ht="15.75" x14ac:dyDescent="0.3">
      <c r="A247" s="47" t="s">
        <v>3498</v>
      </c>
      <c r="B247" s="47" t="s">
        <v>3521</v>
      </c>
      <c r="C247" s="48" t="s">
        <v>3524</v>
      </c>
      <c r="D247" s="47">
        <v>1</v>
      </c>
      <c r="E247" s="118"/>
      <c r="F247" s="47"/>
      <c r="G247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47" s="120" t="str">
        <f t="shared" ref="H247:H255" si="59">"神器图纸"&amp;Z4&amp;"/防具碎片"&amp;AA4&amp;"/烈焰玄铁"&amp;AB4&amp;"/火龙币"&amp;AC4</f>
        <v>神器图纸1/防具碎片3/烈焰玄铁3/火龙币35</v>
      </c>
    </row>
    <row r="248" spans="1:8" ht="15.75" x14ac:dyDescent="0.3">
      <c r="A248" s="47" t="s">
        <v>3498</v>
      </c>
      <c r="B248" s="47" t="s">
        <v>3521</v>
      </c>
      <c r="C248" s="48" t="s">
        <v>3524</v>
      </c>
      <c r="D248" s="47">
        <v>2</v>
      </c>
      <c r="E248" s="118"/>
      <c r="F248" s="47"/>
      <c r="G248" s="47" t="str">
        <f t="shared" ref="G248:G256" si="6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48" s="120" t="str">
        <f t="shared" si="59"/>
        <v>神器图纸1/防具碎片4/烈焰玄铁4/火龙币37</v>
      </c>
    </row>
    <row r="249" spans="1:8" ht="15.75" x14ac:dyDescent="0.3">
      <c r="A249" s="47" t="s">
        <v>3498</v>
      </c>
      <c r="B249" s="47" t="s">
        <v>3521</v>
      </c>
      <c r="C249" s="48" t="s">
        <v>3524</v>
      </c>
      <c r="D249" s="47">
        <v>3</v>
      </c>
      <c r="E249" s="118"/>
      <c r="F249" s="47"/>
      <c r="G249" s="47" t="str">
        <f t="shared" si="60"/>
        <v>3#3#8|3#4#8|3#5#8|3#6#8|3#7#8|3#8#8|3#9#4|3#10#4|3#11#4|3#12#4</v>
      </c>
      <c r="H249" s="120" t="str">
        <f t="shared" si="59"/>
        <v>神器图纸2/防具碎片4/烈焰玄铁4/火龙币39</v>
      </c>
    </row>
    <row r="250" spans="1:8" ht="15.75" x14ac:dyDescent="0.3">
      <c r="A250" s="47" t="s">
        <v>3498</v>
      </c>
      <c r="B250" s="47" t="s">
        <v>3521</v>
      </c>
      <c r="C250" s="48" t="s">
        <v>3524</v>
      </c>
      <c r="D250" s="47">
        <v>4</v>
      </c>
      <c r="E250" s="118"/>
      <c r="F250" s="47"/>
      <c r="G250" s="47" t="str">
        <f t="shared" si="60"/>
        <v>3#3#11|3#4#11|3#5#11|3#6#11|3#7#11|3#8#11|3#9#5|3#10#5|3#11#5|3#12#5</v>
      </c>
      <c r="H250" s="120" t="str">
        <f t="shared" si="59"/>
        <v>神器图纸2/防具碎片4/烈焰玄铁4/火龙币41</v>
      </c>
    </row>
    <row r="251" spans="1:8" ht="15.75" x14ac:dyDescent="0.3">
      <c r="A251" s="47" t="s">
        <v>3498</v>
      </c>
      <c r="B251" s="47" t="s">
        <v>3521</v>
      </c>
      <c r="C251" s="48" t="s">
        <v>3524</v>
      </c>
      <c r="D251" s="47">
        <v>5</v>
      </c>
      <c r="E251" s="118"/>
      <c r="F251" s="47"/>
      <c r="G251" s="47" t="str">
        <f t="shared" si="60"/>
        <v>3#3#15|3#4#15|3#5#15|3#6#15|3#7#15|3#8#15|3#9#7|3#10#7|3#11#7|3#12#7</v>
      </c>
      <c r="H251" s="120" t="str">
        <f t="shared" si="59"/>
        <v>神器图纸2/防具碎片4/烈焰玄铁4/火龙币44</v>
      </c>
    </row>
    <row r="252" spans="1:8" ht="15.75" x14ac:dyDescent="0.3">
      <c r="A252" s="47" t="s">
        <v>3498</v>
      </c>
      <c r="B252" s="47" t="s">
        <v>3521</v>
      </c>
      <c r="C252" s="48" t="s">
        <v>3524</v>
      </c>
      <c r="D252" s="47">
        <v>6</v>
      </c>
      <c r="E252" s="118"/>
      <c r="F252" s="47"/>
      <c r="G252" s="47" t="str">
        <f t="shared" si="60"/>
        <v>3#3#20|3#4#20|3#5#20|3#6#20|3#7#20|3#8#20|3#9#10|3#10#10|3#11#10|3#12#10</v>
      </c>
      <c r="H252" s="120" t="str">
        <f t="shared" si="59"/>
        <v>神器图纸2/防具碎片5/烈焰玄铁5/火龙币46</v>
      </c>
    </row>
    <row r="253" spans="1:8" ht="15.75" x14ac:dyDescent="0.3">
      <c r="A253" s="47" t="s">
        <v>3498</v>
      </c>
      <c r="B253" s="47" t="s">
        <v>3521</v>
      </c>
      <c r="C253" s="48" t="s">
        <v>3524</v>
      </c>
      <c r="D253" s="47">
        <v>7</v>
      </c>
      <c r="E253" s="118"/>
      <c r="F253" s="47"/>
      <c r="G253" s="47" t="str">
        <f t="shared" si="60"/>
        <v>3#3#25|3#4#25|3#5#25|3#6#25|3#7#25|3#8#25|3#9#12|3#10#12|3#11#12|3#12#12</v>
      </c>
      <c r="H253" s="120" t="str">
        <f t="shared" si="59"/>
        <v>神器图纸2/防具碎片5/烈焰玄铁5/火龙币48</v>
      </c>
    </row>
    <row r="254" spans="1:8" ht="15.75" x14ac:dyDescent="0.3">
      <c r="A254" s="47" t="s">
        <v>3498</v>
      </c>
      <c r="B254" s="47" t="s">
        <v>3521</v>
      </c>
      <c r="C254" s="48" t="s">
        <v>3524</v>
      </c>
      <c r="D254" s="47">
        <v>8</v>
      </c>
      <c r="E254" s="118"/>
      <c r="F254" s="47"/>
      <c r="G254" s="47" t="str">
        <f t="shared" si="60"/>
        <v>3#3#30|3#4#30|3#5#30|3#6#30|3#7#30|3#8#30|3#9#15|3#10#15|3#11#15|3#12#15</v>
      </c>
      <c r="H254" s="120" t="str">
        <f t="shared" si="59"/>
        <v>神器图纸2/防具碎片5/烈焰玄铁5/火龙币50</v>
      </c>
    </row>
    <row r="255" spans="1:8" ht="15.75" x14ac:dyDescent="0.3">
      <c r="A255" s="47" t="s">
        <v>3498</v>
      </c>
      <c r="B255" s="47" t="s">
        <v>3521</v>
      </c>
      <c r="C255" s="48" t="s">
        <v>3524</v>
      </c>
      <c r="D255" s="47">
        <v>9</v>
      </c>
      <c r="E255" s="118"/>
      <c r="F255" s="47"/>
      <c r="G255" s="47" t="str">
        <f t="shared" si="60"/>
        <v>3#3#36|3#4#36|3#5#36|3#6#36|3#7#36|3#8#36|3#9#18|3#10#18|3#11#18|3#12#18</v>
      </c>
      <c r="H255" s="120" t="str">
        <f t="shared" si="59"/>
        <v>神器图纸2/防具碎片5/烈焰玄铁5/火龙币53</v>
      </c>
    </row>
    <row r="256" spans="1:8" ht="15.75" x14ac:dyDescent="0.3">
      <c r="A256" s="47" t="s">
        <v>3498</v>
      </c>
      <c r="B256" s="47" t="s">
        <v>3521</v>
      </c>
      <c r="C256" s="48" t="s">
        <v>3524</v>
      </c>
      <c r="D256" s="47">
        <v>10</v>
      </c>
      <c r="E256" s="118"/>
      <c r="F256" s="47"/>
      <c r="G256" s="47" t="str">
        <f t="shared" si="60"/>
        <v>3#3#45|3#4#45|3#5#45|3#6#45|3#7#45|3#8#45|3#9#22|3#10#22|3#11#22|3#12#22</v>
      </c>
      <c r="H256" s="120"/>
    </row>
    <row r="257" spans="1:8" ht="15.75" x14ac:dyDescent="0.3">
      <c r="A257" s="47" t="s">
        <v>3498</v>
      </c>
      <c r="B257" s="47" t="s">
        <v>3521</v>
      </c>
      <c r="C257" s="48" t="s">
        <v>3525</v>
      </c>
      <c r="D257" s="47">
        <v>0</v>
      </c>
      <c r="E257" s="118"/>
      <c r="F257" s="47"/>
      <c r="G257" s="121"/>
      <c r="H257" s="120" t="str">
        <f>"神器图纸"&amp;Z3&amp;"/防具碎片"&amp;AA3&amp;"/烈焰玄铁"&amp;AB3&amp;"/火龙币"&amp;AC3</f>
        <v>神器图纸1/防具碎片3/烈焰玄铁3/火龙币32</v>
      </c>
    </row>
    <row r="258" spans="1:8" ht="15.75" x14ac:dyDescent="0.3">
      <c r="A258" s="47" t="s">
        <v>3498</v>
      </c>
      <c r="B258" s="47" t="s">
        <v>3521</v>
      </c>
      <c r="C258" s="48" t="s">
        <v>3525</v>
      </c>
      <c r="D258" s="47">
        <v>1</v>
      </c>
      <c r="E258" s="118"/>
      <c r="F258" s="47"/>
      <c r="G258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58" s="120" t="str">
        <f t="shared" ref="H258:H266" si="61">"神器图纸"&amp;Z4&amp;"/防具碎片"&amp;AA4&amp;"/烈焰玄铁"&amp;AB4&amp;"/火龙币"&amp;AC4</f>
        <v>神器图纸1/防具碎片3/烈焰玄铁3/火龙币35</v>
      </c>
    </row>
    <row r="259" spans="1:8" ht="15.75" x14ac:dyDescent="0.3">
      <c r="A259" s="47" t="s">
        <v>3498</v>
      </c>
      <c r="B259" s="47" t="s">
        <v>3521</v>
      </c>
      <c r="C259" s="48" t="s">
        <v>3525</v>
      </c>
      <c r="D259" s="47">
        <v>2</v>
      </c>
      <c r="E259" s="118"/>
      <c r="F259" s="47"/>
      <c r="G259" s="47" t="str">
        <f t="shared" ref="G259:G267" si="6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59" s="120" t="str">
        <f t="shared" si="61"/>
        <v>神器图纸1/防具碎片4/烈焰玄铁4/火龙币37</v>
      </c>
    </row>
    <row r="260" spans="1:8" ht="15.75" x14ac:dyDescent="0.3">
      <c r="A260" s="47" t="s">
        <v>3498</v>
      </c>
      <c r="B260" s="47" t="s">
        <v>3521</v>
      </c>
      <c r="C260" s="48" t="s">
        <v>3525</v>
      </c>
      <c r="D260" s="47">
        <v>3</v>
      </c>
      <c r="E260" s="118"/>
      <c r="F260" s="47"/>
      <c r="G260" s="47" t="str">
        <f t="shared" si="62"/>
        <v>3#3#8|3#4#8|3#5#8|3#6#8|3#7#8|3#8#8|3#9#4|3#10#4|3#11#4|3#12#4</v>
      </c>
      <c r="H260" s="120" t="str">
        <f t="shared" si="61"/>
        <v>神器图纸2/防具碎片4/烈焰玄铁4/火龙币39</v>
      </c>
    </row>
    <row r="261" spans="1:8" ht="15.75" x14ac:dyDescent="0.3">
      <c r="A261" s="47" t="s">
        <v>3498</v>
      </c>
      <c r="B261" s="47" t="s">
        <v>3521</v>
      </c>
      <c r="C261" s="48" t="s">
        <v>3525</v>
      </c>
      <c r="D261" s="47">
        <v>4</v>
      </c>
      <c r="E261" s="118"/>
      <c r="F261" s="47"/>
      <c r="G261" s="47" t="str">
        <f t="shared" si="62"/>
        <v>3#3#11|3#4#11|3#5#11|3#6#11|3#7#11|3#8#11|3#9#5|3#10#5|3#11#5|3#12#5</v>
      </c>
      <c r="H261" s="120" t="str">
        <f t="shared" si="61"/>
        <v>神器图纸2/防具碎片4/烈焰玄铁4/火龙币41</v>
      </c>
    </row>
    <row r="262" spans="1:8" ht="15.75" x14ac:dyDescent="0.3">
      <c r="A262" s="47" t="s">
        <v>3498</v>
      </c>
      <c r="B262" s="47" t="s">
        <v>3521</v>
      </c>
      <c r="C262" s="48" t="s">
        <v>3525</v>
      </c>
      <c r="D262" s="47">
        <v>5</v>
      </c>
      <c r="E262" s="118"/>
      <c r="F262" s="47"/>
      <c r="G262" s="47" t="str">
        <f t="shared" si="62"/>
        <v>3#3#15|3#4#15|3#5#15|3#6#15|3#7#15|3#8#15|3#9#7|3#10#7|3#11#7|3#12#7</v>
      </c>
      <c r="H262" s="120" t="str">
        <f t="shared" si="61"/>
        <v>神器图纸2/防具碎片4/烈焰玄铁4/火龙币44</v>
      </c>
    </row>
    <row r="263" spans="1:8" ht="15.75" x14ac:dyDescent="0.3">
      <c r="A263" s="47" t="s">
        <v>3498</v>
      </c>
      <c r="B263" s="47" t="s">
        <v>3521</v>
      </c>
      <c r="C263" s="48" t="s">
        <v>3525</v>
      </c>
      <c r="D263" s="47">
        <v>6</v>
      </c>
      <c r="E263" s="118"/>
      <c r="F263" s="47"/>
      <c r="G263" s="47" t="str">
        <f t="shared" si="62"/>
        <v>3#3#20|3#4#20|3#5#20|3#6#20|3#7#20|3#8#20|3#9#10|3#10#10|3#11#10|3#12#10</v>
      </c>
      <c r="H263" s="120" t="str">
        <f t="shared" si="61"/>
        <v>神器图纸2/防具碎片5/烈焰玄铁5/火龙币46</v>
      </c>
    </row>
    <row r="264" spans="1:8" ht="15.75" x14ac:dyDescent="0.3">
      <c r="A264" s="47" t="s">
        <v>3498</v>
      </c>
      <c r="B264" s="47" t="s">
        <v>3521</v>
      </c>
      <c r="C264" s="48" t="s">
        <v>3525</v>
      </c>
      <c r="D264" s="47">
        <v>7</v>
      </c>
      <c r="E264" s="118"/>
      <c r="F264" s="47"/>
      <c r="G264" s="47" t="str">
        <f t="shared" si="62"/>
        <v>3#3#25|3#4#25|3#5#25|3#6#25|3#7#25|3#8#25|3#9#12|3#10#12|3#11#12|3#12#12</v>
      </c>
      <c r="H264" s="120" t="str">
        <f t="shared" si="61"/>
        <v>神器图纸2/防具碎片5/烈焰玄铁5/火龙币48</v>
      </c>
    </row>
    <row r="265" spans="1:8" ht="15.75" x14ac:dyDescent="0.3">
      <c r="A265" s="47" t="s">
        <v>3498</v>
      </c>
      <c r="B265" s="47" t="s">
        <v>3521</v>
      </c>
      <c r="C265" s="48" t="s">
        <v>3525</v>
      </c>
      <c r="D265" s="47">
        <v>8</v>
      </c>
      <c r="E265" s="118"/>
      <c r="F265" s="47"/>
      <c r="G265" s="47" t="str">
        <f t="shared" si="62"/>
        <v>3#3#30|3#4#30|3#5#30|3#6#30|3#7#30|3#8#30|3#9#15|3#10#15|3#11#15|3#12#15</v>
      </c>
      <c r="H265" s="120" t="str">
        <f t="shared" si="61"/>
        <v>神器图纸2/防具碎片5/烈焰玄铁5/火龙币50</v>
      </c>
    </row>
    <row r="266" spans="1:8" ht="15.75" x14ac:dyDescent="0.3">
      <c r="A266" s="47" t="s">
        <v>3498</v>
      </c>
      <c r="B266" s="47" t="s">
        <v>3521</v>
      </c>
      <c r="C266" s="48" t="s">
        <v>3525</v>
      </c>
      <c r="D266" s="47">
        <v>9</v>
      </c>
      <c r="E266" s="118"/>
      <c r="F266" s="47"/>
      <c r="G266" s="47" t="str">
        <f t="shared" si="62"/>
        <v>3#3#36|3#4#36|3#5#36|3#6#36|3#7#36|3#8#36|3#9#18|3#10#18|3#11#18|3#12#18</v>
      </c>
      <c r="H266" s="120" t="str">
        <f t="shared" si="61"/>
        <v>神器图纸2/防具碎片5/烈焰玄铁5/火龙币53</v>
      </c>
    </row>
    <row r="267" spans="1:8" ht="15.75" x14ac:dyDescent="0.3">
      <c r="A267" s="47" t="s">
        <v>3498</v>
      </c>
      <c r="B267" s="47" t="s">
        <v>3521</v>
      </c>
      <c r="C267" s="48" t="s">
        <v>3525</v>
      </c>
      <c r="D267" s="47">
        <v>10</v>
      </c>
      <c r="E267" s="118"/>
      <c r="F267" s="47"/>
      <c r="G267" s="47" t="str">
        <f t="shared" si="62"/>
        <v>3#3#45|3#4#45|3#5#45|3#6#45|3#7#45|3#8#45|3#9#22|3#10#22|3#11#22|3#12#22</v>
      </c>
      <c r="H267" s="120"/>
    </row>
    <row r="268" spans="1:8" ht="15.75" x14ac:dyDescent="0.3">
      <c r="A268" s="47" t="s">
        <v>3498</v>
      </c>
      <c r="B268" s="47" t="s">
        <v>3521</v>
      </c>
      <c r="C268" s="48" t="s">
        <v>3526</v>
      </c>
      <c r="D268" s="47">
        <v>0</v>
      </c>
      <c r="E268" s="118"/>
      <c r="F268" s="47"/>
      <c r="G268" s="121"/>
      <c r="H268" s="120" t="str">
        <f>"神器图纸"&amp;Z3&amp;"/防具碎片"&amp;AA3&amp;"/烈焰玄铁"&amp;AB3&amp;"/火龙币"&amp;AC3</f>
        <v>神器图纸1/防具碎片3/烈焰玄铁3/火龙币32</v>
      </c>
    </row>
    <row r="269" spans="1:8" ht="15.75" x14ac:dyDescent="0.3">
      <c r="A269" s="47" t="s">
        <v>3498</v>
      </c>
      <c r="B269" s="47" t="s">
        <v>3521</v>
      </c>
      <c r="C269" s="48" t="s">
        <v>3526</v>
      </c>
      <c r="D269" s="47">
        <v>1</v>
      </c>
      <c r="E269" s="118"/>
      <c r="F269" s="47"/>
      <c r="G269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69" s="120" t="str">
        <f t="shared" ref="H269:H277" si="63">"神器图纸"&amp;Z4&amp;"/防具碎片"&amp;AA4&amp;"/烈焰玄铁"&amp;AB4&amp;"/火龙币"&amp;AC4</f>
        <v>神器图纸1/防具碎片3/烈焰玄铁3/火龙币35</v>
      </c>
    </row>
    <row r="270" spans="1:8" ht="15.75" x14ac:dyDescent="0.3">
      <c r="A270" s="47" t="s">
        <v>3498</v>
      </c>
      <c r="B270" s="47" t="s">
        <v>3521</v>
      </c>
      <c r="C270" s="48" t="s">
        <v>3526</v>
      </c>
      <c r="D270" s="47">
        <v>2</v>
      </c>
      <c r="E270" s="118"/>
      <c r="F270" s="47"/>
      <c r="G270" s="47" t="str">
        <f t="shared" ref="G270:G278" si="6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70" s="120" t="str">
        <f t="shared" si="63"/>
        <v>神器图纸1/防具碎片4/烈焰玄铁4/火龙币37</v>
      </c>
    </row>
    <row r="271" spans="1:8" ht="15.75" x14ac:dyDescent="0.3">
      <c r="A271" s="47" t="s">
        <v>3498</v>
      </c>
      <c r="B271" s="47" t="s">
        <v>3521</v>
      </c>
      <c r="C271" s="48" t="s">
        <v>3526</v>
      </c>
      <c r="D271" s="47">
        <v>3</v>
      </c>
      <c r="E271" s="118"/>
      <c r="F271" s="47"/>
      <c r="G271" s="47" t="str">
        <f t="shared" si="64"/>
        <v>3#3#8|3#4#8|3#5#8|3#6#8|3#7#8|3#8#8|3#9#4|3#10#4|3#11#4|3#12#4</v>
      </c>
      <c r="H271" s="120" t="str">
        <f t="shared" si="63"/>
        <v>神器图纸2/防具碎片4/烈焰玄铁4/火龙币39</v>
      </c>
    </row>
    <row r="272" spans="1:8" ht="15.75" x14ac:dyDescent="0.3">
      <c r="A272" s="47" t="s">
        <v>3498</v>
      </c>
      <c r="B272" s="47" t="s">
        <v>3521</v>
      </c>
      <c r="C272" s="48" t="s">
        <v>3526</v>
      </c>
      <c r="D272" s="47">
        <v>4</v>
      </c>
      <c r="E272" s="118"/>
      <c r="F272" s="47"/>
      <c r="G272" s="47" t="str">
        <f t="shared" si="64"/>
        <v>3#3#11|3#4#11|3#5#11|3#6#11|3#7#11|3#8#11|3#9#5|3#10#5|3#11#5|3#12#5</v>
      </c>
      <c r="H272" s="120" t="str">
        <f t="shared" si="63"/>
        <v>神器图纸2/防具碎片4/烈焰玄铁4/火龙币41</v>
      </c>
    </row>
    <row r="273" spans="1:8" ht="15.75" x14ac:dyDescent="0.3">
      <c r="A273" s="47" t="s">
        <v>3498</v>
      </c>
      <c r="B273" s="47" t="s">
        <v>3521</v>
      </c>
      <c r="C273" s="48" t="s">
        <v>3526</v>
      </c>
      <c r="D273" s="47">
        <v>5</v>
      </c>
      <c r="E273" s="118"/>
      <c r="F273" s="47"/>
      <c r="G273" s="47" t="str">
        <f t="shared" si="64"/>
        <v>3#3#15|3#4#15|3#5#15|3#6#15|3#7#15|3#8#15|3#9#7|3#10#7|3#11#7|3#12#7</v>
      </c>
      <c r="H273" s="120" t="str">
        <f t="shared" si="63"/>
        <v>神器图纸2/防具碎片4/烈焰玄铁4/火龙币44</v>
      </c>
    </row>
    <row r="274" spans="1:8" ht="15.75" x14ac:dyDescent="0.3">
      <c r="A274" s="47" t="s">
        <v>3498</v>
      </c>
      <c r="B274" s="47" t="s">
        <v>3521</v>
      </c>
      <c r="C274" s="48" t="s">
        <v>3526</v>
      </c>
      <c r="D274" s="47">
        <v>6</v>
      </c>
      <c r="E274" s="118"/>
      <c r="F274" s="47"/>
      <c r="G274" s="47" t="str">
        <f t="shared" si="64"/>
        <v>3#3#20|3#4#20|3#5#20|3#6#20|3#7#20|3#8#20|3#9#10|3#10#10|3#11#10|3#12#10</v>
      </c>
      <c r="H274" s="120" t="str">
        <f t="shared" si="63"/>
        <v>神器图纸2/防具碎片5/烈焰玄铁5/火龙币46</v>
      </c>
    </row>
    <row r="275" spans="1:8" ht="15.75" x14ac:dyDescent="0.3">
      <c r="A275" s="47" t="s">
        <v>3498</v>
      </c>
      <c r="B275" s="47" t="s">
        <v>3521</v>
      </c>
      <c r="C275" s="48" t="s">
        <v>3526</v>
      </c>
      <c r="D275" s="47">
        <v>7</v>
      </c>
      <c r="E275" s="118"/>
      <c r="F275" s="47"/>
      <c r="G275" s="47" t="str">
        <f t="shared" si="64"/>
        <v>3#3#25|3#4#25|3#5#25|3#6#25|3#7#25|3#8#25|3#9#12|3#10#12|3#11#12|3#12#12</v>
      </c>
      <c r="H275" s="120" t="str">
        <f t="shared" si="63"/>
        <v>神器图纸2/防具碎片5/烈焰玄铁5/火龙币48</v>
      </c>
    </row>
    <row r="276" spans="1:8" ht="15.75" x14ac:dyDescent="0.3">
      <c r="A276" s="47" t="s">
        <v>3498</v>
      </c>
      <c r="B276" s="47" t="s">
        <v>3521</v>
      </c>
      <c r="C276" s="48" t="s">
        <v>3526</v>
      </c>
      <c r="D276" s="47">
        <v>8</v>
      </c>
      <c r="E276" s="118"/>
      <c r="F276" s="47"/>
      <c r="G276" s="47" t="str">
        <f t="shared" si="64"/>
        <v>3#3#30|3#4#30|3#5#30|3#6#30|3#7#30|3#8#30|3#9#15|3#10#15|3#11#15|3#12#15</v>
      </c>
      <c r="H276" s="120" t="str">
        <f t="shared" si="63"/>
        <v>神器图纸2/防具碎片5/烈焰玄铁5/火龙币50</v>
      </c>
    </row>
    <row r="277" spans="1:8" ht="15.75" x14ac:dyDescent="0.3">
      <c r="A277" s="47" t="s">
        <v>3498</v>
      </c>
      <c r="B277" s="47" t="s">
        <v>3521</v>
      </c>
      <c r="C277" s="48" t="s">
        <v>3526</v>
      </c>
      <c r="D277" s="47">
        <v>9</v>
      </c>
      <c r="E277" s="118"/>
      <c r="F277" s="47"/>
      <c r="G277" s="47" t="str">
        <f t="shared" si="64"/>
        <v>3#3#36|3#4#36|3#5#36|3#6#36|3#7#36|3#8#36|3#9#18|3#10#18|3#11#18|3#12#18</v>
      </c>
      <c r="H277" s="120" t="str">
        <f t="shared" si="63"/>
        <v>神器图纸2/防具碎片5/烈焰玄铁5/火龙币53</v>
      </c>
    </row>
    <row r="278" spans="1:8" ht="15.75" x14ac:dyDescent="0.3">
      <c r="A278" s="47" t="s">
        <v>3498</v>
      </c>
      <c r="B278" s="47" t="s">
        <v>3521</v>
      </c>
      <c r="C278" s="48" t="s">
        <v>3526</v>
      </c>
      <c r="D278" s="47">
        <v>10</v>
      </c>
      <c r="E278" s="118"/>
      <c r="F278" s="47"/>
      <c r="G278" s="47" t="str">
        <f t="shared" si="64"/>
        <v>3#3#45|3#4#45|3#5#45|3#6#45|3#7#45|3#8#45|3#9#22|3#10#22|3#11#22|3#12#22</v>
      </c>
      <c r="H278" s="120"/>
    </row>
    <row r="279" spans="1:8" ht="15.75" x14ac:dyDescent="0.3">
      <c r="A279" s="47" t="s">
        <v>3498</v>
      </c>
      <c r="B279" s="47" t="s">
        <v>3521</v>
      </c>
      <c r="C279" s="48" t="s">
        <v>3527</v>
      </c>
      <c r="D279" s="47">
        <v>0</v>
      </c>
      <c r="E279" s="118"/>
      <c r="F279" s="47"/>
      <c r="G279" s="121"/>
      <c r="H279" s="120" t="str">
        <f>"神器图纸"&amp;Z3&amp;"/防具碎片"&amp;AA3&amp;"/烈焰玄铁"&amp;AB3&amp;"/火龙币"&amp;AC3</f>
        <v>神器图纸1/防具碎片3/烈焰玄铁3/火龙币32</v>
      </c>
    </row>
    <row r="280" spans="1:8" ht="15.75" x14ac:dyDescent="0.3">
      <c r="A280" s="47" t="s">
        <v>3498</v>
      </c>
      <c r="B280" s="47" t="s">
        <v>3521</v>
      </c>
      <c r="C280" s="48" t="s">
        <v>3527</v>
      </c>
      <c r="D280" s="47">
        <v>1</v>
      </c>
      <c r="E280" s="118"/>
      <c r="F280" s="47"/>
      <c r="G280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80" s="120" t="str">
        <f t="shared" ref="H280:H288" si="65">"神器图纸"&amp;Z4&amp;"/防具碎片"&amp;AA4&amp;"/烈焰玄铁"&amp;AB4&amp;"/火龙币"&amp;AC4</f>
        <v>神器图纸1/防具碎片3/烈焰玄铁3/火龙币35</v>
      </c>
    </row>
    <row r="281" spans="1:8" ht="15.75" x14ac:dyDescent="0.3">
      <c r="A281" s="47" t="s">
        <v>3498</v>
      </c>
      <c r="B281" s="47" t="s">
        <v>3521</v>
      </c>
      <c r="C281" s="48" t="s">
        <v>3527</v>
      </c>
      <c r="D281" s="47">
        <v>2</v>
      </c>
      <c r="E281" s="118"/>
      <c r="F281" s="47"/>
      <c r="G281" s="47" t="str">
        <f t="shared" ref="G281:G289" si="6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1" s="120" t="str">
        <f t="shared" si="65"/>
        <v>神器图纸1/防具碎片4/烈焰玄铁4/火龙币37</v>
      </c>
    </row>
    <row r="282" spans="1:8" ht="15.75" x14ac:dyDescent="0.3">
      <c r="A282" s="47" t="s">
        <v>3498</v>
      </c>
      <c r="B282" s="47" t="s">
        <v>3521</v>
      </c>
      <c r="C282" s="48" t="s">
        <v>3527</v>
      </c>
      <c r="D282" s="47">
        <v>3</v>
      </c>
      <c r="E282" s="118"/>
      <c r="F282" s="47"/>
      <c r="G282" s="47" t="str">
        <f t="shared" si="66"/>
        <v>3#3#8|3#4#8|3#5#8|3#6#8|3#7#8|3#8#8|3#9#4|3#10#4|3#11#4|3#12#4</v>
      </c>
      <c r="H282" s="120" t="str">
        <f t="shared" si="65"/>
        <v>神器图纸2/防具碎片4/烈焰玄铁4/火龙币39</v>
      </c>
    </row>
    <row r="283" spans="1:8" ht="15.75" x14ac:dyDescent="0.3">
      <c r="A283" s="47" t="s">
        <v>3498</v>
      </c>
      <c r="B283" s="47" t="s">
        <v>3521</v>
      </c>
      <c r="C283" s="48" t="s">
        <v>3527</v>
      </c>
      <c r="D283" s="47">
        <v>4</v>
      </c>
      <c r="E283" s="118"/>
      <c r="F283" s="47"/>
      <c r="G283" s="47" t="str">
        <f t="shared" si="66"/>
        <v>3#3#11|3#4#11|3#5#11|3#6#11|3#7#11|3#8#11|3#9#5|3#10#5|3#11#5|3#12#5</v>
      </c>
      <c r="H283" s="120" t="str">
        <f t="shared" si="65"/>
        <v>神器图纸2/防具碎片4/烈焰玄铁4/火龙币41</v>
      </c>
    </row>
    <row r="284" spans="1:8" ht="15.75" x14ac:dyDescent="0.3">
      <c r="A284" s="47" t="s">
        <v>3498</v>
      </c>
      <c r="B284" s="47" t="s">
        <v>3521</v>
      </c>
      <c r="C284" s="48" t="s">
        <v>3527</v>
      </c>
      <c r="D284" s="47">
        <v>5</v>
      </c>
      <c r="E284" s="118"/>
      <c r="F284" s="47"/>
      <c r="G284" s="47" t="str">
        <f t="shared" si="66"/>
        <v>3#3#15|3#4#15|3#5#15|3#6#15|3#7#15|3#8#15|3#9#7|3#10#7|3#11#7|3#12#7</v>
      </c>
      <c r="H284" s="120" t="str">
        <f t="shared" si="65"/>
        <v>神器图纸2/防具碎片4/烈焰玄铁4/火龙币44</v>
      </c>
    </row>
    <row r="285" spans="1:8" ht="15.75" x14ac:dyDescent="0.3">
      <c r="A285" s="47" t="s">
        <v>3498</v>
      </c>
      <c r="B285" s="47" t="s">
        <v>3521</v>
      </c>
      <c r="C285" s="48" t="s">
        <v>3527</v>
      </c>
      <c r="D285" s="47">
        <v>6</v>
      </c>
      <c r="E285" s="118"/>
      <c r="F285" s="47"/>
      <c r="G285" s="47" t="str">
        <f t="shared" si="66"/>
        <v>3#3#20|3#4#20|3#5#20|3#6#20|3#7#20|3#8#20|3#9#10|3#10#10|3#11#10|3#12#10</v>
      </c>
      <c r="H285" s="120" t="str">
        <f t="shared" si="65"/>
        <v>神器图纸2/防具碎片5/烈焰玄铁5/火龙币46</v>
      </c>
    </row>
    <row r="286" spans="1:8" ht="15.75" x14ac:dyDescent="0.3">
      <c r="A286" s="47" t="s">
        <v>3498</v>
      </c>
      <c r="B286" s="47" t="s">
        <v>3521</v>
      </c>
      <c r="C286" s="48" t="s">
        <v>3527</v>
      </c>
      <c r="D286" s="47">
        <v>7</v>
      </c>
      <c r="E286" s="118"/>
      <c r="F286" s="47"/>
      <c r="G286" s="47" t="str">
        <f t="shared" si="66"/>
        <v>3#3#25|3#4#25|3#5#25|3#6#25|3#7#25|3#8#25|3#9#12|3#10#12|3#11#12|3#12#12</v>
      </c>
      <c r="H286" s="120" t="str">
        <f t="shared" si="65"/>
        <v>神器图纸2/防具碎片5/烈焰玄铁5/火龙币48</v>
      </c>
    </row>
    <row r="287" spans="1:8" ht="15.75" x14ac:dyDescent="0.3">
      <c r="A287" s="47" t="s">
        <v>3498</v>
      </c>
      <c r="B287" s="47" t="s">
        <v>3521</v>
      </c>
      <c r="C287" s="48" t="s">
        <v>3527</v>
      </c>
      <c r="D287" s="47">
        <v>8</v>
      </c>
      <c r="E287" s="118"/>
      <c r="F287" s="47"/>
      <c r="G287" s="47" t="str">
        <f t="shared" si="66"/>
        <v>3#3#30|3#4#30|3#5#30|3#6#30|3#7#30|3#8#30|3#9#15|3#10#15|3#11#15|3#12#15</v>
      </c>
      <c r="H287" s="120" t="str">
        <f t="shared" si="65"/>
        <v>神器图纸2/防具碎片5/烈焰玄铁5/火龙币50</v>
      </c>
    </row>
    <row r="288" spans="1:8" ht="15.75" x14ac:dyDescent="0.3">
      <c r="A288" s="47" t="s">
        <v>3498</v>
      </c>
      <c r="B288" s="47" t="s">
        <v>3521</v>
      </c>
      <c r="C288" s="48" t="s">
        <v>3527</v>
      </c>
      <c r="D288" s="47">
        <v>9</v>
      </c>
      <c r="E288" s="118"/>
      <c r="F288" s="47"/>
      <c r="G288" s="47" t="str">
        <f t="shared" si="66"/>
        <v>3#3#36|3#4#36|3#5#36|3#6#36|3#7#36|3#8#36|3#9#18|3#10#18|3#11#18|3#12#18</v>
      </c>
      <c r="H288" s="120" t="str">
        <f t="shared" si="65"/>
        <v>神器图纸2/防具碎片5/烈焰玄铁5/火龙币53</v>
      </c>
    </row>
    <row r="289" spans="1:8" ht="15.75" x14ac:dyDescent="0.3">
      <c r="A289" s="47" t="s">
        <v>3498</v>
      </c>
      <c r="B289" s="47" t="s">
        <v>3521</v>
      </c>
      <c r="C289" s="48" t="s">
        <v>3527</v>
      </c>
      <c r="D289" s="47">
        <v>10</v>
      </c>
      <c r="E289" s="118"/>
      <c r="F289" s="47"/>
      <c r="G289" s="47" t="str">
        <f t="shared" si="66"/>
        <v>3#3#45|3#4#45|3#5#45|3#6#45|3#7#45|3#8#45|3#9#22|3#10#22|3#11#22|3#12#22</v>
      </c>
      <c r="H289" s="120"/>
    </row>
    <row r="290" spans="1:8" ht="15.75" x14ac:dyDescent="0.3">
      <c r="A290" s="47" t="s">
        <v>3498</v>
      </c>
      <c r="B290" s="47" t="s">
        <v>3521</v>
      </c>
      <c r="C290" s="48" t="s">
        <v>3528</v>
      </c>
      <c r="D290" s="47">
        <v>0</v>
      </c>
      <c r="E290" s="118"/>
      <c r="F290" s="47"/>
      <c r="G290" s="121"/>
      <c r="H290" s="120" t="str">
        <f>"神器图纸"&amp;Z3&amp;"/防具碎片"&amp;AA3&amp;"/烈焰玄铁"&amp;AB3&amp;"/火龙币"&amp;AC3</f>
        <v>神器图纸1/防具碎片3/烈焰玄铁3/火龙币32</v>
      </c>
    </row>
    <row r="291" spans="1:8" ht="15.75" x14ac:dyDescent="0.3">
      <c r="A291" s="47" t="s">
        <v>3498</v>
      </c>
      <c r="B291" s="47" t="s">
        <v>3521</v>
      </c>
      <c r="C291" s="48" t="s">
        <v>3528</v>
      </c>
      <c r="D291" s="47">
        <v>1</v>
      </c>
      <c r="E291" s="118"/>
      <c r="F291" s="47"/>
      <c r="G291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91" s="120" t="str">
        <f t="shared" ref="H291:H299" si="67">"神器图纸"&amp;Z4&amp;"/防具碎片"&amp;AA4&amp;"/烈焰玄铁"&amp;AB4&amp;"/火龙币"&amp;AC4</f>
        <v>神器图纸1/防具碎片3/烈焰玄铁3/火龙币35</v>
      </c>
    </row>
    <row r="292" spans="1:8" ht="15.75" x14ac:dyDescent="0.3">
      <c r="A292" s="47" t="s">
        <v>3498</v>
      </c>
      <c r="B292" s="47" t="s">
        <v>3521</v>
      </c>
      <c r="C292" s="48" t="s">
        <v>3528</v>
      </c>
      <c r="D292" s="47">
        <v>2</v>
      </c>
      <c r="E292" s="118"/>
      <c r="F292" s="47"/>
      <c r="G292" s="47" t="str">
        <f t="shared" ref="G292:G300" si="6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92" s="120" t="str">
        <f t="shared" si="67"/>
        <v>神器图纸1/防具碎片4/烈焰玄铁4/火龙币37</v>
      </c>
    </row>
    <row r="293" spans="1:8" ht="15.75" x14ac:dyDescent="0.3">
      <c r="A293" s="47" t="s">
        <v>3498</v>
      </c>
      <c r="B293" s="47" t="s">
        <v>3521</v>
      </c>
      <c r="C293" s="48" t="s">
        <v>3528</v>
      </c>
      <c r="D293" s="47">
        <v>3</v>
      </c>
      <c r="E293" s="118"/>
      <c r="F293" s="47"/>
      <c r="G293" s="47" t="str">
        <f t="shared" si="68"/>
        <v>3#3#8|3#4#8|3#5#8|3#6#8|3#7#8|3#8#8|3#9#4|3#10#4|3#11#4|3#12#4</v>
      </c>
      <c r="H293" s="120" t="str">
        <f t="shared" si="67"/>
        <v>神器图纸2/防具碎片4/烈焰玄铁4/火龙币39</v>
      </c>
    </row>
    <row r="294" spans="1:8" ht="15.75" x14ac:dyDescent="0.3">
      <c r="A294" s="47" t="s">
        <v>3498</v>
      </c>
      <c r="B294" s="47" t="s">
        <v>3521</v>
      </c>
      <c r="C294" s="48" t="s">
        <v>3528</v>
      </c>
      <c r="D294" s="47">
        <v>4</v>
      </c>
      <c r="E294" s="118"/>
      <c r="F294" s="47"/>
      <c r="G294" s="47" t="str">
        <f t="shared" si="68"/>
        <v>3#3#11|3#4#11|3#5#11|3#6#11|3#7#11|3#8#11|3#9#5|3#10#5|3#11#5|3#12#5</v>
      </c>
      <c r="H294" s="120" t="str">
        <f t="shared" si="67"/>
        <v>神器图纸2/防具碎片4/烈焰玄铁4/火龙币41</v>
      </c>
    </row>
    <row r="295" spans="1:8" ht="15.75" x14ac:dyDescent="0.3">
      <c r="A295" s="47" t="s">
        <v>3498</v>
      </c>
      <c r="B295" s="47" t="s">
        <v>3521</v>
      </c>
      <c r="C295" s="48" t="s">
        <v>3528</v>
      </c>
      <c r="D295" s="47">
        <v>5</v>
      </c>
      <c r="E295" s="118"/>
      <c r="F295" s="47"/>
      <c r="G295" s="47" t="str">
        <f t="shared" si="68"/>
        <v>3#3#15|3#4#15|3#5#15|3#6#15|3#7#15|3#8#15|3#9#7|3#10#7|3#11#7|3#12#7</v>
      </c>
      <c r="H295" s="120" t="str">
        <f t="shared" si="67"/>
        <v>神器图纸2/防具碎片4/烈焰玄铁4/火龙币44</v>
      </c>
    </row>
    <row r="296" spans="1:8" ht="15.75" x14ac:dyDescent="0.3">
      <c r="A296" s="47" t="s">
        <v>3498</v>
      </c>
      <c r="B296" s="47" t="s">
        <v>3521</v>
      </c>
      <c r="C296" s="48" t="s">
        <v>3528</v>
      </c>
      <c r="D296" s="47">
        <v>6</v>
      </c>
      <c r="E296" s="118"/>
      <c r="F296" s="47"/>
      <c r="G296" s="47" t="str">
        <f t="shared" si="68"/>
        <v>3#3#20|3#4#20|3#5#20|3#6#20|3#7#20|3#8#20|3#9#10|3#10#10|3#11#10|3#12#10</v>
      </c>
      <c r="H296" s="120" t="str">
        <f t="shared" si="67"/>
        <v>神器图纸2/防具碎片5/烈焰玄铁5/火龙币46</v>
      </c>
    </row>
    <row r="297" spans="1:8" ht="15.75" x14ac:dyDescent="0.3">
      <c r="A297" s="47" t="s">
        <v>3498</v>
      </c>
      <c r="B297" s="47" t="s">
        <v>3521</v>
      </c>
      <c r="C297" s="48" t="s">
        <v>3528</v>
      </c>
      <c r="D297" s="47">
        <v>7</v>
      </c>
      <c r="E297" s="118"/>
      <c r="F297" s="47"/>
      <c r="G297" s="47" t="str">
        <f t="shared" si="68"/>
        <v>3#3#25|3#4#25|3#5#25|3#6#25|3#7#25|3#8#25|3#9#12|3#10#12|3#11#12|3#12#12</v>
      </c>
      <c r="H297" s="120" t="str">
        <f t="shared" si="67"/>
        <v>神器图纸2/防具碎片5/烈焰玄铁5/火龙币48</v>
      </c>
    </row>
    <row r="298" spans="1:8" ht="15.75" x14ac:dyDescent="0.3">
      <c r="A298" s="47" t="s">
        <v>3498</v>
      </c>
      <c r="B298" s="47" t="s">
        <v>3521</v>
      </c>
      <c r="C298" s="48" t="s">
        <v>3528</v>
      </c>
      <c r="D298" s="47">
        <v>8</v>
      </c>
      <c r="E298" s="118"/>
      <c r="F298" s="47"/>
      <c r="G298" s="47" t="str">
        <f t="shared" si="68"/>
        <v>3#3#30|3#4#30|3#5#30|3#6#30|3#7#30|3#8#30|3#9#15|3#10#15|3#11#15|3#12#15</v>
      </c>
      <c r="H298" s="120" t="str">
        <f t="shared" si="67"/>
        <v>神器图纸2/防具碎片5/烈焰玄铁5/火龙币50</v>
      </c>
    </row>
    <row r="299" spans="1:8" ht="15.75" x14ac:dyDescent="0.3">
      <c r="A299" s="47" t="s">
        <v>3498</v>
      </c>
      <c r="B299" s="47" t="s">
        <v>3521</v>
      </c>
      <c r="C299" s="48" t="s">
        <v>3528</v>
      </c>
      <c r="D299" s="47">
        <v>9</v>
      </c>
      <c r="E299" s="118"/>
      <c r="F299" s="47"/>
      <c r="G299" s="47" t="str">
        <f t="shared" si="68"/>
        <v>3#3#36|3#4#36|3#5#36|3#6#36|3#7#36|3#8#36|3#9#18|3#10#18|3#11#18|3#12#18</v>
      </c>
      <c r="H299" s="120" t="str">
        <f t="shared" si="67"/>
        <v>神器图纸2/防具碎片5/烈焰玄铁5/火龙币53</v>
      </c>
    </row>
    <row r="300" spans="1:8" ht="15.75" x14ac:dyDescent="0.3">
      <c r="A300" s="47" t="s">
        <v>3498</v>
      </c>
      <c r="B300" s="47" t="s">
        <v>3521</v>
      </c>
      <c r="C300" s="48" t="s">
        <v>3528</v>
      </c>
      <c r="D300" s="47">
        <v>10</v>
      </c>
      <c r="E300" s="118"/>
      <c r="F300" s="47"/>
      <c r="G300" s="47" t="str">
        <f t="shared" si="68"/>
        <v>3#3#45|3#4#45|3#5#45|3#6#45|3#7#45|3#8#45|3#9#22|3#10#22|3#11#22|3#12#22</v>
      </c>
      <c r="H300" s="120"/>
    </row>
    <row r="301" spans="1:8" ht="15.75" x14ac:dyDescent="0.3">
      <c r="A301" s="47" t="s">
        <v>3498</v>
      </c>
      <c r="B301" s="47" t="s">
        <v>3521</v>
      </c>
      <c r="C301" s="48" t="s">
        <v>3529</v>
      </c>
      <c r="D301" s="47">
        <v>0</v>
      </c>
      <c r="E301" s="118"/>
      <c r="F301" s="47"/>
      <c r="G301" s="121"/>
      <c r="H301" s="120" t="str">
        <f>"神器图纸"&amp;Z3&amp;"/防具碎片"&amp;AA3&amp;"/烈焰玄铁"&amp;AB3&amp;"/火龙币"&amp;AC3</f>
        <v>神器图纸1/防具碎片3/烈焰玄铁3/火龙币32</v>
      </c>
    </row>
    <row r="302" spans="1:8" ht="15.75" x14ac:dyDescent="0.3">
      <c r="A302" s="47" t="s">
        <v>3498</v>
      </c>
      <c r="B302" s="47" t="s">
        <v>3521</v>
      </c>
      <c r="C302" s="48" t="s">
        <v>3529</v>
      </c>
      <c r="D302" s="47">
        <v>1</v>
      </c>
      <c r="E302" s="118"/>
      <c r="F302" s="47"/>
      <c r="G302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02" s="120" t="str">
        <f t="shared" ref="H302:H310" si="69">"神器图纸"&amp;Z4&amp;"/防具碎片"&amp;AA4&amp;"/烈焰玄铁"&amp;AB4&amp;"/火龙币"&amp;AC4</f>
        <v>神器图纸1/防具碎片3/烈焰玄铁3/火龙币35</v>
      </c>
    </row>
    <row r="303" spans="1:8" ht="15.75" x14ac:dyDescent="0.3">
      <c r="A303" s="47" t="s">
        <v>3498</v>
      </c>
      <c r="B303" s="47" t="s">
        <v>3521</v>
      </c>
      <c r="C303" s="48" t="s">
        <v>3529</v>
      </c>
      <c r="D303" s="47">
        <v>2</v>
      </c>
      <c r="E303" s="118"/>
      <c r="F303" s="47"/>
      <c r="G303" s="47" t="str">
        <f t="shared" ref="G303:G311" si="7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03" s="120" t="str">
        <f t="shared" si="69"/>
        <v>神器图纸1/防具碎片4/烈焰玄铁4/火龙币37</v>
      </c>
    </row>
    <row r="304" spans="1:8" ht="15.75" x14ac:dyDescent="0.3">
      <c r="A304" s="47" t="s">
        <v>3498</v>
      </c>
      <c r="B304" s="47" t="s">
        <v>3521</v>
      </c>
      <c r="C304" s="48" t="s">
        <v>3529</v>
      </c>
      <c r="D304" s="47">
        <v>3</v>
      </c>
      <c r="E304" s="118"/>
      <c r="F304" s="47"/>
      <c r="G304" s="47" t="str">
        <f t="shared" si="70"/>
        <v>3#3#8|3#4#8|3#5#8|3#6#8|3#7#8|3#8#8|3#9#4|3#10#4|3#11#4|3#12#4</v>
      </c>
      <c r="H304" s="120" t="str">
        <f t="shared" si="69"/>
        <v>神器图纸2/防具碎片4/烈焰玄铁4/火龙币39</v>
      </c>
    </row>
    <row r="305" spans="1:8" ht="15.75" x14ac:dyDescent="0.3">
      <c r="A305" s="47" t="s">
        <v>3498</v>
      </c>
      <c r="B305" s="47" t="s">
        <v>3521</v>
      </c>
      <c r="C305" s="48" t="s">
        <v>3529</v>
      </c>
      <c r="D305" s="47">
        <v>4</v>
      </c>
      <c r="E305" s="118"/>
      <c r="F305" s="47"/>
      <c r="G305" s="47" t="str">
        <f t="shared" si="70"/>
        <v>3#3#11|3#4#11|3#5#11|3#6#11|3#7#11|3#8#11|3#9#5|3#10#5|3#11#5|3#12#5</v>
      </c>
      <c r="H305" s="120" t="str">
        <f t="shared" si="69"/>
        <v>神器图纸2/防具碎片4/烈焰玄铁4/火龙币41</v>
      </c>
    </row>
    <row r="306" spans="1:8" ht="15.75" x14ac:dyDescent="0.3">
      <c r="A306" s="47" t="s">
        <v>3498</v>
      </c>
      <c r="B306" s="47" t="s">
        <v>3521</v>
      </c>
      <c r="C306" s="48" t="s">
        <v>3529</v>
      </c>
      <c r="D306" s="47">
        <v>5</v>
      </c>
      <c r="E306" s="118"/>
      <c r="F306" s="47"/>
      <c r="G306" s="47" t="str">
        <f t="shared" si="70"/>
        <v>3#3#15|3#4#15|3#5#15|3#6#15|3#7#15|3#8#15|3#9#7|3#10#7|3#11#7|3#12#7</v>
      </c>
      <c r="H306" s="120" t="str">
        <f t="shared" si="69"/>
        <v>神器图纸2/防具碎片4/烈焰玄铁4/火龙币44</v>
      </c>
    </row>
    <row r="307" spans="1:8" ht="15.75" x14ac:dyDescent="0.3">
      <c r="A307" s="47" t="s">
        <v>3498</v>
      </c>
      <c r="B307" s="47" t="s">
        <v>3521</v>
      </c>
      <c r="C307" s="48" t="s">
        <v>3529</v>
      </c>
      <c r="D307" s="47">
        <v>6</v>
      </c>
      <c r="E307" s="118"/>
      <c r="F307" s="47"/>
      <c r="G307" s="47" t="str">
        <f t="shared" si="70"/>
        <v>3#3#20|3#4#20|3#5#20|3#6#20|3#7#20|3#8#20|3#9#10|3#10#10|3#11#10|3#12#10</v>
      </c>
      <c r="H307" s="120" t="str">
        <f t="shared" si="69"/>
        <v>神器图纸2/防具碎片5/烈焰玄铁5/火龙币46</v>
      </c>
    </row>
    <row r="308" spans="1:8" ht="15.75" x14ac:dyDescent="0.3">
      <c r="A308" s="47" t="s">
        <v>3498</v>
      </c>
      <c r="B308" s="47" t="s">
        <v>3521</v>
      </c>
      <c r="C308" s="48" t="s">
        <v>3529</v>
      </c>
      <c r="D308" s="47">
        <v>7</v>
      </c>
      <c r="E308" s="118"/>
      <c r="F308" s="47"/>
      <c r="G308" s="47" t="str">
        <f t="shared" si="70"/>
        <v>3#3#25|3#4#25|3#5#25|3#6#25|3#7#25|3#8#25|3#9#12|3#10#12|3#11#12|3#12#12</v>
      </c>
      <c r="H308" s="120" t="str">
        <f t="shared" si="69"/>
        <v>神器图纸2/防具碎片5/烈焰玄铁5/火龙币48</v>
      </c>
    </row>
    <row r="309" spans="1:8" ht="15.75" x14ac:dyDescent="0.3">
      <c r="A309" s="47" t="s">
        <v>3498</v>
      </c>
      <c r="B309" s="47" t="s">
        <v>3521</v>
      </c>
      <c r="C309" s="48" t="s">
        <v>3529</v>
      </c>
      <c r="D309" s="47">
        <v>8</v>
      </c>
      <c r="E309" s="118"/>
      <c r="F309" s="47"/>
      <c r="G309" s="47" t="str">
        <f t="shared" si="70"/>
        <v>3#3#30|3#4#30|3#5#30|3#6#30|3#7#30|3#8#30|3#9#15|3#10#15|3#11#15|3#12#15</v>
      </c>
      <c r="H309" s="120" t="str">
        <f t="shared" si="69"/>
        <v>神器图纸2/防具碎片5/烈焰玄铁5/火龙币50</v>
      </c>
    </row>
    <row r="310" spans="1:8" ht="15.75" x14ac:dyDescent="0.3">
      <c r="A310" s="47" t="s">
        <v>3498</v>
      </c>
      <c r="B310" s="47" t="s">
        <v>3521</v>
      </c>
      <c r="C310" s="48" t="s">
        <v>3529</v>
      </c>
      <c r="D310" s="47">
        <v>9</v>
      </c>
      <c r="E310" s="118"/>
      <c r="F310" s="47"/>
      <c r="G310" s="47" t="str">
        <f t="shared" si="70"/>
        <v>3#3#36|3#4#36|3#5#36|3#6#36|3#7#36|3#8#36|3#9#18|3#10#18|3#11#18|3#12#18</v>
      </c>
      <c r="H310" s="120" t="str">
        <f t="shared" si="69"/>
        <v>神器图纸2/防具碎片5/烈焰玄铁5/火龙币53</v>
      </c>
    </row>
    <row r="311" spans="1:8" ht="15.75" x14ac:dyDescent="0.3">
      <c r="A311" s="47" t="s">
        <v>3498</v>
      </c>
      <c r="B311" s="47" t="s">
        <v>3521</v>
      </c>
      <c r="C311" s="48" t="s">
        <v>3529</v>
      </c>
      <c r="D311" s="47">
        <v>10</v>
      </c>
      <c r="E311" s="118"/>
      <c r="F311" s="47"/>
      <c r="G311" s="47" t="str">
        <f t="shared" si="70"/>
        <v>3#3#45|3#4#45|3#5#45|3#6#45|3#7#45|3#8#45|3#9#22|3#10#22|3#11#22|3#12#22</v>
      </c>
      <c r="H311" s="120"/>
    </row>
    <row r="312" spans="1:8" ht="15.75" x14ac:dyDescent="0.3">
      <c r="A312" s="47" t="s">
        <v>3498</v>
      </c>
      <c r="B312" s="47" t="s">
        <v>3521</v>
      </c>
      <c r="C312" s="48" t="s">
        <v>3530</v>
      </c>
      <c r="D312" s="47">
        <v>0</v>
      </c>
      <c r="E312" s="118"/>
      <c r="F312" s="47"/>
      <c r="G312" s="121"/>
      <c r="H312" s="120" t="str">
        <f>"神器图纸"&amp;Z3&amp;"/防具碎片"&amp;AA3&amp;"/烈焰玄铁"&amp;AB3&amp;"/火龙币"&amp;AC3</f>
        <v>神器图纸1/防具碎片3/烈焰玄铁3/火龙币32</v>
      </c>
    </row>
    <row r="313" spans="1:8" ht="15.75" x14ac:dyDescent="0.3">
      <c r="A313" s="47" t="s">
        <v>3498</v>
      </c>
      <c r="B313" s="47" t="s">
        <v>3521</v>
      </c>
      <c r="C313" s="48" t="s">
        <v>3530</v>
      </c>
      <c r="D313" s="47">
        <v>1</v>
      </c>
      <c r="E313" s="118"/>
      <c r="F313" s="47"/>
      <c r="G313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13" s="120" t="str">
        <f t="shared" ref="H313:H321" si="71">"神器图纸"&amp;Z4&amp;"/防具碎片"&amp;AA4&amp;"/烈焰玄铁"&amp;AB4&amp;"/火龙币"&amp;AC4</f>
        <v>神器图纸1/防具碎片3/烈焰玄铁3/火龙币35</v>
      </c>
    </row>
    <row r="314" spans="1:8" ht="15.75" x14ac:dyDescent="0.3">
      <c r="A314" s="47" t="s">
        <v>3498</v>
      </c>
      <c r="B314" s="47" t="s">
        <v>3521</v>
      </c>
      <c r="C314" s="48" t="s">
        <v>3530</v>
      </c>
      <c r="D314" s="47">
        <v>2</v>
      </c>
      <c r="E314" s="118"/>
      <c r="F314" s="47"/>
      <c r="G314" s="47" t="str">
        <f t="shared" ref="G314:G322" si="7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14" s="120" t="str">
        <f t="shared" si="71"/>
        <v>神器图纸1/防具碎片4/烈焰玄铁4/火龙币37</v>
      </c>
    </row>
    <row r="315" spans="1:8" ht="15.75" x14ac:dyDescent="0.3">
      <c r="A315" s="47" t="s">
        <v>3498</v>
      </c>
      <c r="B315" s="47" t="s">
        <v>3521</v>
      </c>
      <c r="C315" s="48" t="s">
        <v>3530</v>
      </c>
      <c r="D315" s="47">
        <v>3</v>
      </c>
      <c r="E315" s="118"/>
      <c r="F315" s="47"/>
      <c r="G315" s="47" t="str">
        <f t="shared" si="72"/>
        <v>3#3#8|3#4#8|3#5#8|3#6#8|3#7#8|3#8#8|3#9#4|3#10#4|3#11#4|3#12#4</v>
      </c>
      <c r="H315" s="120" t="str">
        <f t="shared" si="71"/>
        <v>神器图纸2/防具碎片4/烈焰玄铁4/火龙币39</v>
      </c>
    </row>
    <row r="316" spans="1:8" ht="15.75" x14ac:dyDescent="0.3">
      <c r="A316" s="47" t="s">
        <v>3498</v>
      </c>
      <c r="B316" s="47" t="s">
        <v>3521</v>
      </c>
      <c r="C316" s="48" t="s">
        <v>3530</v>
      </c>
      <c r="D316" s="47">
        <v>4</v>
      </c>
      <c r="E316" s="118"/>
      <c r="F316" s="47"/>
      <c r="G316" s="47" t="str">
        <f t="shared" si="72"/>
        <v>3#3#11|3#4#11|3#5#11|3#6#11|3#7#11|3#8#11|3#9#5|3#10#5|3#11#5|3#12#5</v>
      </c>
      <c r="H316" s="120" t="str">
        <f t="shared" si="71"/>
        <v>神器图纸2/防具碎片4/烈焰玄铁4/火龙币41</v>
      </c>
    </row>
    <row r="317" spans="1:8" ht="15.75" x14ac:dyDescent="0.3">
      <c r="A317" s="47" t="s">
        <v>3498</v>
      </c>
      <c r="B317" s="47" t="s">
        <v>3521</v>
      </c>
      <c r="C317" s="48" t="s">
        <v>3530</v>
      </c>
      <c r="D317" s="47">
        <v>5</v>
      </c>
      <c r="E317" s="118"/>
      <c r="F317" s="47"/>
      <c r="G317" s="47" t="str">
        <f t="shared" si="72"/>
        <v>3#3#15|3#4#15|3#5#15|3#6#15|3#7#15|3#8#15|3#9#7|3#10#7|3#11#7|3#12#7</v>
      </c>
      <c r="H317" s="120" t="str">
        <f t="shared" si="71"/>
        <v>神器图纸2/防具碎片4/烈焰玄铁4/火龙币44</v>
      </c>
    </row>
    <row r="318" spans="1:8" ht="15.75" x14ac:dyDescent="0.3">
      <c r="A318" s="47" t="s">
        <v>3498</v>
      </c>
      <c r="B318" s="47" t="s">
        <v>3521</v>
      </c>
      <c r="C318" s="48" t="s">
        <v>3530</v>
      </c>
      <c r="D318" s="47">
        <v>6</v>
      </c>
      <c r="E318" s="118"/>
      <c r="F318" s="47"/>
      <c r="G318" s="47" t="str">
        <f t="shared" si="72"/>
        <v>3#3#20|3#4#20|3#5#20|3#6#20|3#7#20|3#8#20|3#9#10|3#10#10|3#11#10|3#12#10</v>
      </c>
      <c r="H318" s="120" t="str">
        <f t="shared" si="71"/>
        <v>神器图纸2/防具碎片5/烈焰玄铁5/火龙币46</v>
      </c>
    </row>
    <row r="319" spans="1:8" ht="15.75" x14ac:dyDescent="0.3">
      <c r="A319" s="47" t="s">
        <v>3498</v>
      </c>
      <c r="B319" s="47" t="s">
        <v>3521</v>
      </c>
      <c r="C319" s="48" t="s">
        <v>3530</v>
      </c>
      <c r="D319" s="47">
        <v>7</v>
      </c>
      <c r="E319" s="118"/>
      <c r="F319" s="47"/>
      <c r="G319" s="47" t="str">
        <f t="shared" si="72"/>
        <v>3#3#25|3#4#25|3#5#25|3#6#25|3#7#25|3#8#25|3#9#12|3#10#12|3#11#12|3#12#12</v>
      </c>
      <c r="H319" s="120" t="str">
        <f t="shared" si="71"/>
        <v>神器图纸2/防具碎片5/烈焰玄铁5/火龙币48</v>
      </c>
    </row>
    <row r="320" spans="1:8" ht="15.75" x14ac:dyDescent="0.3">
      <c r="A320" s="47" t="s">
        <v>3498</v>
      </c>
      <c r="B320" s="47" t="s">
        <v>3521</v>
      </c>
      <c r="C320" s="48" t="s">
        <v>3530</v>
      </c>
      <c r="D320" s="47">
        <v>8</v>
      </c>
      <c r="E320" s="118"/>
      <c r="F320" s="47"/>
      <c r="G320" s="47" t="str">
        <f t="shared" si="72"/>
        <v>3#3#30|3#4#30|3#5#30|3#6#30|3#7#30|3#8#30|3#9#15|3#10#15|3#11#15|3#12#15</v>
      </c>
      <c r="H320" s="120" t="str">
        <f t="shared" si="71"/>
        <v>神器图纸2/防具碎片5/烈焰玄铁5/火龙币50</v>
      </c>
    </row>
    <row r="321" spans="1:8" ht="15.75" x14ac:dyDescent="0.3">
      <c r="A321" s="47" t="s">
        <v>3498</v>
      </c>
      <c r="B321" s="47" t="s">
        <v>3521</v>
      </c>
      <c r="C321" s="48" t="s">
        <v>3530</v>
      </c>
      <c r="D321" s="47">
        <v>9</v>
      </c>
      <c r="E321" s="118"/>
      <c r="F321" s="47"/>
      <c r="G321" s="47" t="str">
        <f t="shared" si="72"/>
        <v>3#3#36|3#4#36|3#5#36|3#6#36|3#7#36|3#8#36|3#9#18|3#10#18|3#11#18|3#12#18</v>
      </c>
      <c r="H321" s="120" t="str">
        <f t="shared" si="71"/>
        <v>神器图纸2/防具碎片5/烈焰玄铁5/火龙币53</v>
      </c>
    </row>
    <row r="322" spans="1:8" ht="15.75" x14ac:dyDescent="0.3">
      <c r="A322" s="47" t="s">
        <v>3498</v>
      </c>
      <c r="B322" s="47" t="s">
        <v>3521</v>
      </c>
      <c r="C322" s="48" t="s">
        <v>3530</v>
      </c>
      <c r="D322" s="47">
        <v>10</v>
      </c>
      <c r="E322" s="118"/>
      <c r="F322" s="47"/>
      <c r="G322" s="47" t="str">
        <f t="shared" si="72"/>
        <v>3#3#45|3#4#45|3#5#45|3#6#45|3#7#45|3#8#45|3#9#22|3#10#22|3#11#22|3#12#22</v>
      </c>
      <c r="H322" s="120"/>
    </row>
    <row r="323" spans="1:8" ht="15.75" x14ac:dyDescent="0.3">
      <c r="A323" s="47" t="s">
        <v>3498</v>
      </c>
      <c r="B323" s="47" t="s">
        <v>3521</v>
      </c>
      <c r="C323" s="48" t="s">
        <v>3531</v>
      </c>
      <c r="D323" s="47">
        <v>0</v>
      </c>
      <c r="E323" s="118"/>
      <c r="F323" s="47"/>
      <c r="G323" s="121"/>
      <c r="H323" s="120" t="str">
        <f>"神器图纸"&amp;Z3&amp;"/防具碎片"&amp;AA3&amp;"/烈焰玄铁"&amp;AB3&amp;"/火龙币"&amp;AC3</f>
        <v>神器图纸1/防具碎片3/烈焰玄铁3/火龙币32</v>
      </c>
    </row>
    <row r="324" spans="1:8" ht="15.75" x14ac:dyDescent="0.3">
      <c r="A324" s="47" t="s">
        <v>3498</v>
      </c>
      <c r="B324" s="47" t="s">
        <v>3521</v>
      </c>
      <c r="C324" s="48" t="s">
        <v>3531</v>
      </c>
      <c r="D324" s="47">
        <v>1</v>
      </c>
      <c r="E324" s="118"/>
      <c r="F324" s="47"/>
      <c r="G324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24" s="120" t="str">
        <f t="shared" ref="H324:H332" si="73">"神器图纸"&amp;Z4&amp;"/防具碎片"&amp;AA4&amp;"/烈焰玄铁"&amp;AB4&amp;"/火龙币"&amp;AC4</f>
        <v>神器图纸1/防具碎片3/烈焰玄铁3/火龙币35</v>
      </c>
    </row>
    <row r="325" spans="1:8" ht="15.75" x14ac:dyDescent="0.3">
      <c r="A325" s="47" t="s">
        <v>3498</v>
      </c>
      <c r="B325" s="47" t="s">
        <v>3521</v>
      </c>
      <c r="C325" s="48" t="s">
        <v>3531</v>
      </c>
      <c r="D325" s="47">
        <v>2</v>
      </c>
      <c r="E325" s="118"/>
      <c r="F325" s="47"/>
      <c r="G325" s="47" t="str">
        <f t="shared" ref="G325:G333" si="7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25" s="120" t="str">
        <f t="shared" si="73"/>
        <v>神器图纸1/防具碎片4/烈焰玄铁4/火龙币37</v>
      </c>
    </row>
    <row r="326" spans="1:8" ht="15.75" x14ac:dyDescent="0.3">
      <c r="A326" s="47" t="s">
        <v>3498</v>
      </c>
      <c r="B326" s="47" t="s">
        <v>3521</v>
      </c>
      <c r="C326" s="48" t="s">
        <v>3531</v>
      </c>
      <c r="D326" s="47">
        <v>3</v>
      </c>
      <c r="E326" s="118"/>
      <c r="F326" s="47"/>
      <c r="G326" s="47" t="str">
        <f t="shared" si="74"/>
        <v>3#3#8|3#4#8|3#5#8|3#6#8|3#7#8|3#8#8|3#9#4|3#10#4|3#11#4|3#12#4</v>
      </c>
      <c r="H326" s="120" t="str">
        <f t="shared" si="73"/>
        <v>神器图纸2/防具碎片4/烈焰玄铁4/火龙币39</v>
      </c>
    </row>
    <row r="327" spans="1:8" ht="15.75" x14ac:dyDescent="0.3">
      <c r="A327" s="47" t="s">
        <v>3498</v>
      </c>
      <c r="B327" s="47" t="s">
        <v>3521</v>
      </c>
      <c r="C327" s="48" t="s">
        <v>3531</v>
      </c>
      <c r="D327" s="47">
        <v>4</v>
      </c>
      <c r="E327" s="118"/>
      <c r="F327" s="47"/>
      <c r="G327" s="47" t="str">
        <f t="shared" si="74"/>
        <v>3#3#11|3#4#11|3#5#11|3#6#11|3#7#11|3#8#11|3#9#5|3#10#5|3#11#5|3#12#5</v>
      </c>
      <c r="H327" s="120" t="str">
        <f t="shared" si="73"/>
        <v>神器图纸2/防具碎片4/烈焰玄铁4/火龙币41</v>
      </c>
    </row>
    <row r="328" spans="1:8" ht="15.75" x14ac:dyDescent="0.3">
      <c r="A328" s="47" t="s">
        <v>3498</v>
      </c>
      <c r="B328" s="47" t="s">
        <v>3521</v>
      </c>
      <c r="C328" s="48" t="s">
        <v>3531</v>
      </c>
      <c r="D328" s="47">
        <v>5</v>
      </c>
      <c r="E328" s="118"/>
      <c r="F328" s="47"/>
      <c r="G328" s="47" t="str">
        <f t="shared" si="74"/>
        <v>3#3#15|3#4#15|3#5#15|3#6#15|3#7#15|3#8#15|3#9#7|3#10#7|3#11#7|3#12#7</v>
      </c>
      <c r="H328" s="120" t="str">
        <f t="shared" si="73"/>
        <v>神器图纸2/防具碎片4/烈焰玄铁4/火龙币44</v>
      </c>
    </row>
    <row r="329" spans="1:8" ht="15.75" x14ac:dyDescent="0.3">
      <c r="A329" s="47" t="s">
        <v>3498</v>
      </c>
      <c r="B329" s="47" t="s">
        <v>3521</v>
      </c>
      <c r="C329" s="48" t="s">
        <v>3531</v>
      </c>
      <c r="D329" s="47">
        <v>6</v>
      </c>
      <c r="E329" s="118"/>
      <c r="F329" s="47"/>
      <c r="G329" s="47" t="str">
        <f t="shared" si="74"/>
        <v>3#3#20|3#4#20|3#5#20|3#6#20|3#7#20|3#8#20|3#9#10|3#10#10|3#11#10|3#12#10</v>
      </c>
      <c r="H329" s="120" t="str">
        <f t="shared" si="73"/>
        <v>神器图纸2/防具碎片5/烈焰玄铁5/火龙币46</v>
      </c>
    </row>
    <row r="330" spans="1:8" ht="15.75" x14ac:dyDescent="0.3">
      <c r="A330" s="47" t="s">
        <v>3498</v>
      </c>
      <c r="B330" s="47" t="s">
        <v>3521</v>
      </c>
      <c r="C330" s="48" t="s">
        <v>3531</v>
      </c>
      <c r="D330" s="47">
        <v>7</v>
      </c>
      <c r="E330" s="118"/>
      <c r="F330" s="47"/>
      <c r="G330" s="47" t="str">
        <f t="shared" si="74"/>
        <v>3#3#25|3#4#25|3#5#25|3#6#25|3#7#25|3#8#25|3#9#12|3#10#12|3#11#12|3#12#12</v>
      </c>
      <c r="H330" s="120" t="str">
        <f t="shared" si="73"/>
        <v>神器图纸2/防具碎片5/烈焰玄铁5/火龙币48</v>
      </c>
    </row>
    <row r="331" spans="1:8" ht="15.75" x14ac:dyDescent="0.3">
      <c r="A331" s="47" t="s">
        <v>3498</v>
      </c>
      <c r="B331" s="47" t="s">
        <v>3521</v>
      </c>
      <c r="C331" s="48" t="s">
        <v>3531</v>
      </c>
      <c r="D331" s="47">
        <v>8</v>
      </c>
      <c r="E331" s="118"/>
      <c r="F331" s="47"/>
      <c r="G331" s="47" t="str">
        <f t="shared" si="74"/>
        <v>3#3#30|3#4#30|3#5#30|3#6#30|3#7#30|3#8#30|3#9#15|3#10#15|3#11#15|3#12#15</v>
      </c>
      <c r="H331" s="120" t="str">
        <f t="shared" si="73"/>
        <v>神器图纸2/防具碎片5/烈焰玄铁5/火龙币50</v>
      </c>
    </row>
    <row r="332" spans="1:8" ht="15.75" x14ac:dyDescent="0.3">
      <c r="A332" s="47" t="s">
        <v>3498</v>
      </c>
      <c r="B332" s="47" t="s">
        <v>3521</v>
      </c>
      <c r="C332" s="48" t="s">
        <v>3531</v>
      </c>
      <c r="D332" s="47">
        <v>9</v>
      </c>
      <c r="E332" s="118"/>
      <c r="F332" s="47"/>
      <c r="G332" s="47" t="str">
        <f t="shared" si="74"/>
        <v>3#3#36|3#4#36|3#5#36|3#6#36|3#7#36|3#8#36|3#9#18|3#10#18|3#11#18|3#12#18</v>
      </c>
      <c r="H332" s="120" t="str">
        <f t="shared" si="73"/>
        <v>神器图纸2/防具碎片5/烈焰玄铁5/火龙币53</v>
      </c>
    </row>
    <row r="333" spans="1:8" ht="15.75" x14ac:dyDescent="0.3">
      <c r="A333" s="47" t="s">
        <v>3498</v>
      </c>
      <c r="B333" s="47" t="s">
        <v>3521</v>
      </c>
      <c r="C333" s="48" t="s">
        <v>3531</v>
      </c>
      <c r="D333" s="47">
        <v>10</v>
      </c>
      <c r="E333" s="118"/>
      <c r="F333" s="47"/>
      <c r="G333" s="47" t="str">
        <f t="shared" si="74"/>
        <v>3#3#45|3#4#45|3#5#45|3#6#45|3#7#45|3#8#45|3#9#22|3#10#22|3#11#22|3#12#22</v>
      </c>
      <c r="H333" s="120"/>
    </row>
    <row r="334" spans="1:8" ht="15.75" x14ac:dyDescent="0.3">
      <c r="A334" s="122" t="s">
        <v>3498</v>
      </c>
      <c r="B334" s="122" t="s">
        <v>3532</v>
      </c>
      <c r="C334" s="123" t="s">
        <v>3533</v>
      </c>
      <c r="D334" s="122">
        <v>0</v>
      </c>
      <c r="E334" s="124"/>
      <c r="F334" s="122"/>
      <c r="G334" s="127"/>
      <c r="H334" s="126" t="str">
        <f>"神器图纸"&amp;Z3&amp;"/首饰碎片"&amp;AA3&amp;"/烈焰玄铁"&amp;AB3&amp;"/火龙币"&amp;AC3</f>
        <v>神器图纸1/首饰碎片3/烈焰玄铁3/火龙币32</v>
      </c>
    </row>
    <row r="335" spans="1:8" ht="15.75" x14ac:dyDescent="0.3">
      <c r="A335" s="122" t="s">
        <v>3498</v>
      </c>
      <c r="B335" s="122" t="s">
        <v>3532</v>
      </c>
      <c r="C335" s="123" t="s">
        <v>3533</v>
      </c>
      <c r="D335" s="122">
        <v>1</v>
      </c>
      <c r="E335" s="124"/>
      <c r="F335" s="122"/>
      <c r="G335" s="122">
        <v>6</v>
      </c>
      <c r="H335" s="126" t="str">
        <f t="shared" ref="H335:H343" si="75">"神器图纸"&amp;Z4&amp;"/首饰碎片"&amp;AA4&amp;"/烈焰玄铁"&amp;AB4&amp;"/火龙币"&amp;AC4</f>
        <v>神器图纸1/首饰碎片3/烈焰玄铁3/火龙币35</v>
      </c>
    </row>
    <row r="336" spans="1:8" ht="15.75" x14ac:dyDescent="0.3">
      <c r="A336" s="122" t="s">
        <v>3498</v>
      </c>
      <c r="B336" s="122" t="s">
        <v>3532</v>
      </c>
      <c r="C336" s="123" t="s">
        <v>3533</v>
      </c>
      <c r="D336" s="122">
        <v>2</v>
      </c>
      <c r="E336" s="124"/>
      <c r="F336" s="122"/>
      <c r="G336" s="122">
        <v>12</v>
      </c>
      <c r="H336" s="126" t="str">
        <f t="shared" si="75"/>
        <v>神器图纸1/首饰碎片4/烈焰玄铁4/火龙币37</v>
      </c>
    </row>
    <row r="337" spans="1:8" ht="15.75" x14ac:dyDescent="0.3">
      <c r="A337" s="122" t="s">
        <v>3498</v>
      </c>
      <c r="B337" s="122" t="s">
        <v>3532</v>
      </c>
      <c r="C337" s="123" t="s">
        <v>3533</v>
      </c>
      <c r="D337" s="122">
        <v>3</v>
      </c>
      <c r="E337" s="124"/>
      <c r="F337" s="122"/>
      <c r="G337" s="122">
        <v>18</v>
      </c>
      <c r="H337" s="126" t="str">
        <f t="shared" si="75"/>
        <v>神器图纸2/首饰碎片4/烈焰玄铁4/火龙币39</v>
      </c>
    </row>
    <row r="338" spans="1:8" ht="15.75" x14ac:dyDescent="0.3">
      <c r="A338" s="122" t="s">
        <v>3498</v>
      </c>
      <c r="B338" s="122" t="s">
        <v>3532</v>
      </c>
      <c r="C338" s="123" t="s">
        <v>3533</v>
      </c>
      <c r="D338" s="122">
        <v>4</v>
      </c>
      <c r="E338" s="124"/>
      <c r="F338" s="122"/>
      <c r="G338" s="122">
        <v>24</v>
      </c>
      <c r="H338" s="126" t="str">
        <f t="shared" si="75"/>
        <v>神器图纸2/首饰碎片4/烈焰玄铁4/火龙币41</v>
      </c>
    </row>
    <row r="339" spans="1:8" ht="15.75" x14ac:dyDescent="0.3">
      <c r="A339" s="122" t="s">
        <v>3498</v>
      </c>
      <c r="B339" s="122" t="s">
        <v>3532</v>
      </c>
      <c r="C339" s="123" t="s">
        <v>3533</v>
      </c>
      <c r="D339" s="122">
        <v>5</v>
      </c>
      <c r="E339" s="124"/>
      <c r="F339" s="122"/>
      <c r="G339" s="122">
        <v>30</v>
      </c>
      <c r="H339" s="126" t="str">
        <f t="shared" si="75"/>
        <v>神器图纸2/首饰碎片4/烈焰玄铁4/火龙币44</v>
      </c>
    </row>
    <row r="340" spans="1:8" ht="15.75" x14ac:dyDescent="0.3">
      <c r="A340" s="122" t="s">
        <v>3498</v>
      </c>
      <c r="B340" s="122" t="s">
        <v>3532</v>
      </c>
      <c r="C340" s="123" t="s">
        <v>3533</v>
      </c>
      <c r="D340" s="122">
        <v>6</v>
      </c>
      <c r="E340" s="124"/>
      <c r="F340" s="122"/>
      <c r="G340" s="122">
        <v>36</v>
      </c>
      <c r="H340" s="126" t="str">
        <f t="shared" si="75"/>
        <v>神器图纸2/首饰碎片5/烈焰玄铁5/火龙币46</v>
      </c>
    </row>
    <row r="341" spans="1:8" ht="15.75" x14ac:dyDescent="0.3">
      <c r="A341" s="122" t="s">
        <v>3498</v>
      </c>
      <c r="B341" s="122" t="s">
        <v>3532</v>
      </c>
      <c r="C341" s="123" t="s">
        <v>3533</v>
      </c>
      <c r="D341" s="122">
        <v>7</v>
      </c>
      <c r="E341" s="124"/>
      <c r="F341" s="122"/>
      <c r="G341" s="122">
        <v>42</v>
      </c>
      <c r="H341" s="126" t="str">
        <f t="shared" si="75"/>
        <v>神器图纸2/首饰碎片5/烈焰玄铁5/火龙币48</v>
      </c>
    </row>
    <row r="342" spans="1:8" ht="15.75" x14ac:dyDescent="0.3">
      <c r="A342" s="122" t="s">
        <v>3498</v>
      </c>
      <c r="B342" s="122" t="s">
        <v>3532</v>
      </c>
      <c r="C342" s="123" t="s">
        <v>3533</v>
      </c>
      <c r="D342" s="122">
        <v>8</v>
      </c>
      <c r="E342" s="124"/>
      <c r="F342" s="122"/>
      <c r="G342" s="122">
        <v>48</v>
      </c>
      <c r="H342" s="126" t="str">
        <f t="shared" si="75"/>
        <v>神器图纸2/首饰碎片5/烈焰玄铁5/火龙币50</v>
      </c>
    </row>
    <row r="343" spans="1:8" ht="15.75" x14ac:dyDescent="0.3">
      <c r="A343" s="122" t="s">
        <v>3498</v>
      </c>
      <c r="B343" s="122" t="s">
        <v>3532</v>
      </c>
      <c r="C343" s="123" t="s">
        <v>3533</v>
      </c>
      <c r="D343" s="122">
        <v>9</v>
      </c>
      <c r="E343" s="124"/>
      <c r="F343" s="122"/>
      <c r="G343" s="122">
        <v>54</v>
      </c>
      <c r="H343" s="126" t="str">
        <f t="shared" si="75"/>
        <v>神器图纸2/首饰碎片5/烈焰玄铁5/火龙币53</v>
      </c>
    </row>
    <row r="344" spans="1:8" ht="15.75" x14ac:dyDescent="0.3">
      <c r="A344" s="122" t="s">
        <v>3498</v>
      </c>
      <c r="B344" s="122" t="s">
        <v>3532</v>
      </c>
      <c r="C344" s="123" t="s">
        <v>3533</v>
      </c>
      <c r="D344" s="122">
        <v>10</v>
      </c>
      <c r="E344" s="124"/>
      <c r="F344" s="122"/>
      <c r="G344" s="122">
        <v>60</v>
      </c>
      <c r="H344" s="126"/>
    </row>
    <row r="345" spans="1:8" ht="15.75" x14ac:dyDescent="0.3">
      <c r="A345" s="122" t="s">
        <v>3498</v>
      </c>
      <c r="B345" s="122" t="s">
        <v>3532</v>
      </c>
      <c r="C345" s="123" t="s">
        <v>3534</v>
      </c>
      <c r="D345" s="122">
        <v>0</v>
      </c>
      <c r="E345" s="124"/>
      <c r="F345" s="122"/>
      <c r="G345" s="127"/>
      <c r="H345" s="126" t="str">
        <f>"神器图纸"&amp;Z3&amp;"/首饰碎片"&amp;AA3&amp;"/烈焰玄铁"&amp;AB3&amp;"/火龙币"&amp;AC3</f>
        <v>神器图纸1/首饰碎片3/烈焰玄铁3/火龙币32</v>
      </c>
    </row>
    <row r="346" spans="1:8" ht="15.75" x14ac:dyDescent="0.3">
      <c r="A346" s="122" t="s">
        <v>3498</v>
      </c>
      <c r="B346" s="122" t="s">
        <v>3532</v>
      </c>
      <c r="C346" s="123" t="s">
        <v>3534</v>
      </c>
      <c r="D346" s="122">
        <v>1</v>
      </c>
      <c r="E346" s="124"/>
      <c r="F346" s="122"/>
      <c r="G346" s="122">
        <v>7</v>
      </c>
      <c r="H346" s="126" t="str">
        <f t="shared" ref="H346:H354" si="76">"神器图纸"&amp;Z4&amp;"/首饰碎片"&amp;AA4&amp;"/烈焰玄铁"&amp;AB4&amp;"/火龙币"&amp;AC4</f>
        <v>神器图纸1/首饰碎片3/烈焰玄铁3/火龙币35</v>
      </c>
    </row>
    <row r="347" spans="1:8" ht="15.75" x14ac:dyDescent="0.3">
      <c r="A347" s="122" t="s">
        <v>3498</v>
      </c>
      <c r="B347" s="122" t="s">
        <v>3532</v>
      </c>
      <c r="C347" s="123" t="s">
        <v>3534</v>
      </c>
      <c r="D347" s="122">
        <v>2</v>
      </c>
      <c r="E347" s="124"/>
      <c r="F347" s="122"/>
      <c r="G347" s="122">
        <v>14</v>
      </c>
      <c r="H347" s="126" t="str">
        <f t="shared" si="76"/>
        <v>神器图纸1/首饰碎片4/烈焰玄铁4/火龙币37</v>
      </c>
    </row>
    <row r="348" spans="1:8" ht="15.75" x14ac:dyDescent="0.3">
      <c r="A348" s="122" t="s">
        <v>3498</v>
      </c>
      <c r="B348" s="122" t="s">
        <v>3532</v>
      </c>
      <c r="C348" s="123" t="s">
        <v>3534</v>
      </c>
      <c r="D348" s="122">
        <v>3</v>
      </c>
      <c r="E348" s="124"/>
      <c r="F348" s="122"/>
      <c r="G348" s="122">
        <v>21</v>
      </c>
      <c r="H348" s="126" t="str">
        <f t="shared" si="76"/>
        <v>神器图纸2/首饰碎片4/烈焰玄铁4/火龙币39</v>
      </c>
    </row>
    <row r="349" spans="1:8" ht="15.75" x14ac:dyDescent="0.3">
      <c r="A349" s="122" t="s">
        <v>3498</v>
      </c>
      <c r="B349" s="122" t="s">
        <v>3532</v>
      </c>
      <c r="C349" s="123" t="s">
        <v>3534</v>
      </c>
      <c r="D349" s="122">
        <v>4</v>
      </c>
      <c r="E349" s="124"/>
      <c r="F349" s="122"/>
      <c r="G349" s="122">
        <v>28</v>
      </c>
      <c r="H349" s="126" t="str">
        <f t="shared" si="76"/>
        <v>神器图纸2/首饰碎片4/烈焰玄铁4/火龙币41</v>
      </c>
    </row>
    <row r="350" spans="1:8" ht="15.75" x14ac:dyDescent="0.3">
      <c r="A350" s="122" t="s">
        <v>3498</v>
      </c>
      <c r="B350" s="122" t="s">
        <v>3532</v>
      </c>
      <c r="C350" s="123" t="s">
        <v>3534</v>
      </c>
      <c r="D350" s="122">
        <v>5</v>
      </c>
      <c r="E350" s="124"/>
      <c r="F350" s="122"/>
      <c r="G350" s="122">
        <v>35</v>
      </c>
      <c r="H350" s="126" t="str">
        <f t="shared" si="76"/>
        <v>神器图纸2/首饰碎片4/烈焰玄铁4/火龙币44</v>
      </c>
    </row>
    <row r="351" spans="1:8" ht="15.75" x14ac:dyDescent="0.3">
      <c r="A351" s="122" t="s">
        <v>3498</v>
      </c>
      <c r="B351" s="122" t="s">
        <v>3532</v>
      </c>
      <c r="C351" s="123" t="s">
        <v>3534</v>
      </c>
      <c r="D351" s="122">
        <v>6</v>
      </c>
      <c r="E351" s="124"/>
      <c r="F351" s="122"/>
      <c r="G351" s="122">
        <v>42</v>
      </c>
      <c r="H351" s="126" t="str">
        <f t="shared" si="76"/>
        <v>神器图纸2/首饰碎片5/烈焰玄铁5/火龙币46</v>
      </c>
    </row>
    <row r="352" spans="1:8" ht="15.75" x14ac:dyDescent="0.3">
      <c r="A352" s="122" t="s">
        <v>3498</v>
      </c>
      <c r="B352" s="122" t="s">
        <v>3532</v>
      </c>
      <c r="C352" s="123" t="s">
        <v>3534</v>
      </c>
      <c r="D352" s="122">
        <v>7</v>
      </c>
      <c r="E352" s="124"/>
      <c r="F352" s="122"/>
      <c r="G352" s="122">
        <v>49</v>
      </c>
      <c r="H352" s="126" t="str">
        <f t="shared" si="76"/>
        <v>神器图纸2/首饰碎片5/烈焰玄铁5/火龙币48</v>
      </c>
    </row>
    <row r="353" spans="1:8" ht="15.75" x14ac:dyDescent="0.3">
      <c r="A353" s="122" t="s">
        <v>3498</v>
      </c>
      <c r="B353" s="122" t="s">
        <v>3532</v>
      </c>
      <c r="C353" s="123" t="s">
        <v>3534</v>
      </c>
      <c r="D353" s="122">
        <v>8</v>
      </c>
      <c r="E353" s="124"/>
      <c r="F353" s="122"/>
      <c r="G353" s="122">
        <v>56</v>
      </c>
      <c r="H353" s="126" t="str">
        <f t="shared" si="76"/>
        <v>神器图纸2/首饰碎片5/烈焰玄铁5/火龙币50</v>
      </c>
    </row>
    <row r="354" spans="1:8" ht="15.75" x14ac:dyDescent="0.3">
      <c r="A354" s="122" t="s">
        <v>3498</v>
      </c>
      <c r="B354" s="122" t="s">
        <v>3532</v>
      </c>
      <c r="C354" s="123" t="s">
        <v>3534</v>
      </c>
      <c r="D354" s="122">
        <v>9</v>
      </c>
      <c r="E354" s="124"/>
      <c r="F354" s="122"/>
      <c r="G354" s="122">
        <v>63</v>
      </c>
      <c r="H354" s="126" t="str">
        <f t="shared" si="76"/>
        <v>神器图纸2/首饰碎片5/烈焰玄铁5/火龙币53</v>
      </c>
    </row>
    <row r="355" spans="1:8" ht="15.75" x14ac:dyDescent="0.3">
      <c r="A355" s="122" t="s">
        <v>3498</v>
      </c>
      <c r="B355" s="122" t="s">
        <v>3532</v>
      </c>
      <c r="C355" s="123" t="s">
        <v>3534</v>
      </c>
      <c r="D355" s="122">
        <v>10</v>
      </c>
      <c r="E355" s="124"/>
      <c r="F355" s="122"/>
      <c r="G355" s="122">
        <v>70</v>
      </c>
      <c r="H355" s="126"/>
    </row>
    <row r="356" spans="1:8" ht="15.75" x14ac:dyDescent="0.3">
      <c r="A356" s="122" t="s">
        <v>3498</v>
      </c>
      <c r="B356" s="122" t="s">
        <v>3532</v>
      </c>
      <c r="C356" s="123" t="s">
        <v>3535</v>
      </c>
      <c r="D356" s="122">
        <v>0</v>
      </c>
      <c r="E356" s="124"/>
      <c r="F356" s="122"/>
      <c r="G356" s="127"/>
      <c r="H356" s="126" t="str">
        <f>"神器图纸"&amp;Z3&amp;"/首饰碎片"&amp;AA3&amp;"/烈焰玄铁"&amp;AB3&amp;"/火龙币"&amp;AC3</f>
        <v>神器图纸1/首饰碎片3/烈焰玄铁3/火龙币32</v>
      </c>
    </row>
    <row r="357" spans="1:8" ht="15.75" x14ac:dyDescent="0.3">
      <c r="A357" s="122" t="s">
        <v>3498</v>
      </c>
      <c r="B357" s="122" t="s">
        <v>3532</v>
      </c>
      <c r="C357" s="123" t="s">
        <v>3535</v>
      </c>
      <c r="D357" s="122">
        <v>1</v>
      </c>
      <c r="E357" s="124"/>
      <c r="F357" s="122"/>
      <c r="G357" s="122">
        <v>8</v>
      </c>
      <c r="H357" s="126" t="str">
        <f t="shared" ref="H357:H365" si="77">"神器图纸"&amp;Z4&amp;"/首饰碎片"&amp;AA4&amp;"/烈焰玄铁"&amp;AB4&amp;"/火龙币"&amp;AC4</f>
        <v>神器图纸1/首饰碎片3/烈焰玄铁3/火龙币35</v>
      </c>
    </row>
    <row r="358" spans="1:8" ht="15.75" x14ac:dyDescent="0.3">
      <c r="A358" s="122" t="s">
        <v>3498</v>
      </c>
      <c r="B358" s="122" t="s">
        <v>3532</v>
      </c>
      <c r="C358" s="123" t="s">
        <v>3535</v>
      </c>
      <c r="D358" s="122">
        <v>2</v>
      </c>
      <c r="E358" s="124"/>
      <c r="F358" s="122"/>
      <c r="G358" s="122">
        <v>16</v>
      </c>
      <c r="H358" s="126" t="str">
        <f t="shared" si="77"/>
        <v>神器图纸1/首饰碎片4/烈焰玄铁4/火龙币37</v>
      </c>
    </row>
    <row r="359" spans="1:8" ht="15.75" x14ac:dyDescent="0.3">
      <c r="A359" s="122" t="s">
        <v>3498</v>
      </c>
      <c r="B359" s="122" t="s">
        <v>3532</v>
      </c>
      <c r="C359" s="123" t="s">
        <v>3535</v>
      </c>
      <c r="D359" s="122">
        <v>3</v>
      </c>
      <c r="E359" s="124"/>
      <c r="F359" s="122"/>
      <c r="G359" s="122">
        <v>24</v>
      </c>
      <c r="H359" s="126" t="str">
        <f t="shared" si="77"/>
        <v>神器图纸2/首饰碎片4/烈焰玄铁4/火龙币39</v>
      </c>
    </row>
    <row r="360" spans="1:8" ht="15.75" x14ac:dyDescent="0.3">
      <c r="A360" s="122" t="s">
        <v>3498</v>
      </c>
      <c r="B360" s="122" t="s">
        <v>3532</v>
      </c>
      <c r="C360" s="123" t="s">
        <v>3535</v>
      </c>
      <c r="D360" s="122">
        <v>4</v>
      </c>
      <c r="E360" s="124"/>
      <c r="F360" s="122"/>
      <c r="G360" s="122">
        <v>32</v>
      </c>
      <c r="H360" s="126" t="str">
        <f t="shared" si="77"/>
        <v>神器图纸2/首饰碎片4/烈焰玄铁4/火龙币41</v>
      </c>
    </row>
    <row r="361" spans="1:8" ht="15.75" x14ac:dyDescent="0.3">
      <c r="A361" s="122" t="s">
        <v>3498</v>
      </c>
      <c r="B361" s="122" t="s">
        <v>3532</v>
      </c>
      <c r="C361" s="123" t="s">
        <v>3535</v>
      </c>
      <c r="D361" s="122">
        <v>5</v>
      </c>
      <c r="E361" s="124"/>
      <c r="F361" s="122"/>
      <c r="G361" s="122">
        <v>40</v>
      </c>
      <c r="H361" s="126" t="str">
        <f t="shared" si="77"/>
        <v>神器图纸2/首饰碎片4/烈焰玄铁4/火龙币44</v>
      </c>
    </row>
    <row r="362" spans="1:8" ht="15.75" x14ac:dyDescent="0.3">
      <c r="A362" s="122" t="s">
        <v>3498</v>
      </c>
      <c r="B362" s="122" t="s">
        <v>3532</v>
      </c>
      <c r="C362" s="123" t="s">
        <v>3535</v>
      </c>
      <c r="D362" s="122">
        <v>6</v>
      </c>
      <c r="E362" s="124"/>
      <c r="F362" s="122"/>
      <c r="G362" s="122">
        <v>48</v>
      </c>
      <c r="H362" s="126" t="str">
        <f t="shared" si="77"/>
        <v>神器图纸2/首饰碎片5/烈焰玄铁5/火龙币46</v>
      </c>
    </row>
    <row r="363" spans="1:8" ht="15.75" x14ac:dyDescent="0.3">
      <c r="A363" s="122" t="s">
        <v>3498</v>
      </c>
      <c r="B363" s="122" t="s">
        <v>3532</v>
      </c>
      <c r="C363" s="123" t="s">
        <v>3535</v>
      </c>
      <c r="D363" s="122">
        <v>7</v>
      </c>
      <c r="E363" s="124"/>
      <c r="F363" s="122"/>
      <c r="G363" s="122">
        <v>56</v>
      </c>
      <c r="H363" s="126" t="str">
        <f t="shared" si="77"/>
        <v>神器图纸2/首饰碎片5/烈焰玄铁5/火龙币48</v>
      </c>
    </row>
    <row r="364" spans="1:8" ht="15.75" x14ac:dyDescent="0.3">
      <c r="A364" s="122" t="s">
        <v>3498</v>
      </c>
      <c r="B364" s="122" t="s">
        <v>3532</v>
      </c>
      <c r="C364" s="123" t="s">
        <v>3535</v>
      </c>
      <c r="D364" s="122">
        <v>8</v>
      </c>
      <c r="E364" s="124"/>
      <c r="F364" s="122"/>
      <c r="G364" s="122">
        <v>64</v>
      </c>
      <c r="H364" s="126" t="str">
        <f t="shared" si="77"/>
        <v>神器图纸2/首饰碎片5/烈焰玄铁5/火龙币50</v>
      </c>
    </row>
    <row r="365" spans="1:8" ht="15.75" x14ac:dyDescent="0.3">
      <c r="A365" s="122" t="s">
        <v>3498</v>
      </c>
      <c r="B365" s="122" t="s">
        <v>3532</v>
      </c>
      <c r="C365" s="123" t="s">
        <v>3535</v>
      </c>
      <c r="D365" s="122">
        <v>9</v>
      </c>
      <c r="E365" s="124"/>
      <c r="F365" s="122"/>
      <c r="G365" s="122">
        <v>72</v>
      </c>
      <c r="H365" s="126" t="str">
        <f t="shared" si="77"/>
        <v>神器图纸2/首饰碎片5/烈焰玄铁5/火龙币53</v>
      </c>
    </row>
    <row r="366" spans="1:8" ht="15.75" x14ac:dyDescent="0.3">
      <c r="A366" s="122" t="s">
        <v>3498</v>
      </c>
      <c r="B366" s="122" t="s">
        <v>3532</v>
      </c>
      <c r="C366" s="123" t="s">
        <v>3535</v>
      </c>
      <c r="D366" s="122">
        <v>10</v>
      </c>
      <c r="E366" s="124"/>
      <c r="F366" s="122"/>
      <c r="G366" s="122">
        <v>80</v>
      </c>
      <c r="H366" s="126"/>
    </row>
    <row r="367" spans="1:8" ht="15.75" x14ac:dyDescent="0.3">
      <c r="A367" s="122" t="s">
        <v>3498</v>
      </c>
      <c r="B367" s="122" t="s">
        <v>3532</v>
      </c>
      <c r="C367" s="123" t="s">
        <v>3536</v>
      </c>
      <c r="D367" s="122">
        <v>0</v>
      </c>
      <c r="E367" s="124"/>
      <c r="F367" s="122"/>
      <c r="G367" s="127"/>
      <c r="H367" s="126" t="str">
        <f>"神器图纸"&amp;Z3&amp;"/首饰碎片"&amp;AA3&amp;"/烈焰玄铁"&amp;AB3&amp;"/火龙币"&amp;AC3</f>
        <v>神器图纸1/首饰碎片3/烈焰玄铁3/火龙币32</v>
      </c>
    </row>
    <row r="368" spans="1:8" ht="15.75" x14ac:dyDescent="0.3">
      <c r="A368" s="122" t="s">
        <v>3498</v>
      </c>
      <c r="B368" s="122" t="s">
        <v>3532</v>
      </c>
      <c r="C368" s="123" t="s">
        <v>3536</v>
      </c>
      <c r="D368" s="122">
        <v>1</v>
      </c>
      <c r="E368" s="124"/>
      <c r="F368" s="122"/>
      <c r="G368" s="122">
        <v>9</v>
      </c>
      <c r="H368" s="126" t="str">
        <f t="shared" ref="H368:H376" si="78">"神器图纸"&amp;Z4&amp;"/首饰碎片"&amp;AA4&amp;"/烈焰玄铁"&amp;AB4&amp;"/火龙币"&amp;AC4</f>
        <v>神器图纸1/首饰碎片3/烈焰玄铁3/火龙币35</v>
      </c>
    </row>
    <row r="369" spans="1:8" ht="15.75" x14ac:dyDescent="0.3">
      <c r="A369" s="122" t="s">
        <v>3498</v>
      </c>
      <c r="B369" s="122" t="s">
        <v>3532</v>
      </c>
      <c r="C369" s="123" t="s">
        <v>3536</v>
      </c>
      <c r="D369" s="122">
        <v>2</v>
      </c>
      <c r="E369" s="124"/>
      <c r="F369" s="122"/>
      <c r="G369" s="122">
        <v>18</v>
      </c>
      <c r="H369" s="126" t="str">
        <f t="shared" si="78"/>
        <v>神器图纸1/首饰碎片4/烈焰玄铁4/火龙币37</v>
      </c>
    </row>
    <row r="370" spans="1:8" ht="15.75" x14ac:dyDescent="0.3">
      <c r="A370" s="122" t="s">
        <v>3498</v>
      </c>
      <c r="B370" s="122" t="s">
        <v>3532</v>
      </c>
      <c r="C370" s="123" t="s">
        <v>3536</v>
      </c>
      <c r="D370" s="122">
        <v>3</v>
      </c>
      <c r="E370" s="124"/>
      <c r="F370" s="122"/>
      <c r="G370" s="122">
        <v>27</v>
      </c>
      <c r="H370" s="126" t="str">
        <f t="shared" si="78"/>
        <v>神器图纸2/首饰碎片4/烈焰玄铁4/火龙币39</v>
      </c>
    </row>
    <row r="371" spans="1:8" ht="15.75" x14ac:dyDescent="0.3">
      <c r="A371" s="122" t="s">
        <v>3498</v>
      </c>
      <c r="B371" s="122" t="s">
        <v>3532</v>
      </c>
      <c r="C371" s="123" t="s">
        <v>3536</v>
      </c>
      <c r="D371" s="122">
        <v>4</v>
      </c>
      <c r="E371" s="124"/>
      <c r="F371" s="122"/>
      <c r="G371" s="122">
        <v>36</v>
      </c>
      <c r="H371" s="126" t="str">
        <f t="shared" si="78"/>
        <v>神器图纸2/首饰碎片4/烈焰玄铁4/火龙币41</v>
      </c>
    </row>
    <row r="372" spans="1:8" ht="15.75" x14ac:dyDescent="0.3">
      <c r="A372" s="122" t="s">
        <v>3498</v>
      </c>
      <c r="B372" s="122" t="s">
        <v>3532</v>
      </c>
      <c r="C372" s="123" t="s">
        <v>3536</v>
      </c>
      <c r="D372" s="122">
        <v>5</v>
      </c>
      <c r="E372" s="124"/>
      <c r="F372" s="122"/>
      <c r="G372" s="122">
        <v>45</v>
      </c>
      <c r="H372" s="126" t="str">
        <f t="shared" si="78"/>
        <v>神器图纸2/首饰碎片4/烈焰玄铁4/火龙币44</v>
      </c>
    </row>
    <row r="373" spans="1:8" ht="15.75" x14ac:dyDescent="0.3">
      <c r="A373" s="122" t="s">
        <v>3498</v>
      </c>
      <c r="B373" s="122" t="s">
        <v>3532</v>
      </c>
      <c r="C373" s="123" t="s">
        <v>3536</v>
      </c>
      <c r="D373" s="122">
        <v>6</v>
      </c>
      <c r="E373" s="124"/>
      <c r="F373" s="122"/>
      <c r="G373" s="122">
        <v>54</v>
      </c>
      <c r="H373" s="126" t="str">
        <f t="shared" si="78"/>
        <v>神器图纸2/首饰碎片5/烈焰玄铁5/火龙币46</v>
      </c>
    </row>
    <row r="374" spans="1:8" ht="15.75" x14ac:dyDescent="0.3">
      <c r="A374" s="122" t="s">
        <v>3498</v>
      </c>
      <c r="B374" s="122" t="s">
        <v>3532</v>
      </c>
      <c r="C374" s="123" t="s">
        <v>3536</v>
      </c>
      <c r="D374" s="122">
        <v>7</v>
      </c>
      <c r="E374" s="124"/>
      <c r="F374" s="122"/>
      <c r="G374" s="122">
        <v>63</v>
      </c>
      <c r="H374" s="126" t="str">
        <f t="shared" si="78"/>
        <v>神器图纸2/首饰碎片5/烈焰玄铁5/火龙币48</v>
      </c>
    </row>
    <row r="375" spans="1:8" ht="15.75" x14ac:dyDescent="0.3">
      <c r="A375" s="122" t="s">
        <v>3498</v>
      </c>
      <c r="B375" s="122" t="s">
        <v>3532</v>
      </c>
      <c r="C375" s="123" t="s">
        <v>3536</v>
      </c>
      <c r="D375" s="122">
        <v>8</v>
      </c>
      <c r="E375" s="124"/>
      <c r="F375" s="122"/>
      <c r="G375" s="122">
        <v>72</v>
      </c>
      <c r="H375" s="126" t="str">
        <f t="shared" si="78"/>
        <v>神器图纸2/首饰碎片5/烈焰玄铁5/火龙币50</v>
      </c>
    </row>
    <row r="376" spans="1:8" ht="15.75" x14ac:dyDescent="0.3">
      <c r="A376" s="122" t="s">
        <v>3498</v>
      </c>
      <c r="B376" s="122" t="s">
        <v>3532</v>
      </c>
      <c r="C376" s="123" t="s">
        <v>3536</v>
      </c>
      <c r="D376" s="122">
        <v>9</v>
      </c>
      <c r="E376" s="124"/>
      <c r="F376" s="122"/>
      <c r="G376" s="122">
        <v>81</v>
      </c>
      <c r="H376" s="126" t="str">
        <f t="shared" si="78"/>
        <v>神器图纸2/首饰碎片5/烈焰玄铁5/火龙币53</v>
      </c>
    </row>
    <row r="377" spans="1:8" ht="15.75" x14ac:dyDescent="0.3">
      <c r="A377" s="122" t="s">
        <v>3498</v>
      </c>
      <c r="B377" s="122" t="s">
        <v>3532</v>
      </c>
      <c r="C377" s="123" t="s">
        <v>3536</v>
      </c>
      <c r="D377" s="122">
        <v>10</v>
      </c>
      <c r="E377" s="124"/>
      <c r="F377" s="122"/>
      <c r="G377" s="122">
        <v>90</v>
      </c>
      <c r="H377" s="126"/>
    </row>
    <row r="378" spans="1:8" ht="15.75" x14ac:dyDescent="0.3">
      <c r="A378" s="122" t="s">
        <v>3498</v>
      </c>
      <c r="B378" s="122" t="s">
        <v>3532</v>
      </c>
      <c r="C378" s="123" t="s">
        <v>3537</v>
      </c>
      <c r="D378" s="122">
        <v>0</v>
      </c>
      <c r="E378" s="124"/>
      <c r="F378" s="122"/>
      <c r="G378" s="127"/>
      <c r="H378" s="126" t="str">
        <f>"神器图纸"&amp;Z3&amp;"/首饰碎片"&amp;AA3&amp;"/烈焰玄铁"&amp;AB3&amp;"/火龙币"&amp;AC3</f>
        <v>神器图纸1/首饰碎片3/烈焰玄铁3/火龙币32</v>
      </c>
    </row>
    <row r="379" spans="1:8" ht="15.75" x14ac:dyDescent="0.3">
      <c r="A379" s="122" t="s">
        <v>3498</v>
      </c>
      <c r="B379" s="122" t="s">
        <v>3532</v>
      </c>
      <c r="C379" s="123" t="s">
        <v>3537</v>
      </c>
      <c r="D379" s="122">
        <v>1</v>
      </c>
      <c r="E379" s="124"/>
      <c r="F379" s="122"/>
      <c r="G379" s="122">
        <v>10</v>
      </c>
      <c r="H379" s="126" t="str">
        <f t="shared" ref="H379:H387" si="79">"神器图纸"&amp;Z4&amp;"/首饰碎片"&amp;AA4&amp;"/烈焰玄铁"&amp;AB4&amp;"/火龙币"&amp;AC4</f>
        <v>神器图纸1/首饰碎片3/烈焰玄铁3/火龙币35</v>
      </c>
    </row>
    <row r="380" spans="1:8" ht="15.75" x14ac:dyDescent="0.3">
      <c r="A380" s="122" t="s">
        <v>3498</v>
      </c>
      <c r="B380" s="122" t="s">
        <v>3532</v>
      </c>
      <c r="C380" s="123" t="s">
        <v>3537</v>
      </c>
      <c r="D380" s="122">
        <v>2</v>
      </c>
      <c r="E380" s="124"/>
      <c r="F380" s="122"/>
      <c r="G380" s="122">
        <v>20</v>
      </c>
      <c r="H380" s="126" t="str">
        <f t="shared" si="79"/>
        <v>神器图纸1/首饰碎片4/烈焰玄铁4/火龙币37</v>
      </c>
    </row>
    <row r="381" spans="1:8" ht="15.75" x14ac:dyDescent="0.3">
      <c r="A381" s="122" t="s">
        <v>3498</v>
      </c>
      <c r="B381" s="122" t="s">
        <v>3532</v>
      </c>
      <c r="C381" s="123" t="s">
        <v>3537</v>
      </c>
      <c r="D381" s="122">
        <v>3</v>
      </c>
      <c r="E381" s="124"/>
      <c r="F381" s="122"/>
      <c r="G381" s="122">
        <v>30</v>
      </c>
      <c r="H381" s="126" t="str">
        <f t="shared" si="79"/>
        <v>神器图纸2/首饰碎片4/烈焰玄铁4/火龙币39</v>
      </c>
    </row>
    <row r="382" spans="1:8" ht="15.75" x14ac:dyDescent="0.3">
      <c r="A382" s="122" t="s">
        <v>3498</v>
      </c>
      <c r="B382" s="122" t="s">
        <v>3532</v>
      </c>
      <c r="C382" s="123" t="s">
        <v>3537</v>
      </c>
      <c r="D382" s="122">
        <v>4</v>
      </c>
      <c r="E382" s="124"/>
      <c r="F382" s="122"/>
      <c r="G382" s="122">
        <v>40</v>
      </c>
      <c r="H382" s="126" t="str">
        <f t="shared" si="79"/>
        <v>神器图纸2/首饰碎片4/烈焰玄铁4/火龙币41</v>
      </c>
    </row>
    <row r="383" spans="1:8" ht="15.75" x14ac:dyDescent="0.3">
      <c r="A383" s="122" t="s">
        <v>3498</v>
      </c>
      <c r="B383" s="122" t="s">
        <v>3532</v>
      </c>
      <c r="C383" s="123" t="s">
        <v>3537</v>
      </c>
      <c r="D383" s="122">
        <v>5</v>
      </c>
      <c r="E383" s="124"/>
      <c r="F383" s="122"/>
      <c r="G383" s="122">
        <v>50</v>
      </c>
      <c r="H383" s="126" t="str">
        <f t="shared" si="79"/>
        <v>神器图纸2/首饰碎片4/烈焰玄铁4/火龙币44</v>
      </c>
    </row>
    <row r="384" spans="1:8" ht="15.75" x14ac:dyDescent="0.3">
      <c r="A384" s="122" t="s">
        <v>3498</v>
      </c>
      <c r="B384" s="122" t="s">
        <v>3532</v>
      </c>
      <c r="C384" s="123" t="s">
        <v>3537</v>
      </c>
      <c r="D384" s="122">
        <v>6</v>
      </c>
      <c r="E384" s="124"/>
      <c r="F384" s="122"/>
      <c r="G384" s="122">
        <v>60</v>
      </c>
      <c r="H384" s="126" t="str">
        <f t="shared" si="79"/>
        <v>神器图纸2/首饰碎片5/烈焰玄铁5/火龙币46</v>
      </c>
    </row>
    <row r="385" spans="1:8" ht="15.75" x14ac:dyDescent="0.3">
      <c r="A385" s="122" t="s">
        <v>3498</v>
      </c>
      <c r="B385" s="122" t="s">
        <v>3532</v>
      </c>
      <c r="C385" s="123" t="s">
        <v>3537</v>
      </c>
      <c r="D385" s="122">
        <v>7</v>
      </c>
      <c r="E385" s="124"/>
      <c r="F385" s="122"/>
      <c r="G385" s="122">
        <v>70</v>
      </c>
      <c r="H385" s="126" t="str">
        <f t="shared" si="79"/>
        <v>神器图纸2/首饰碎片5/烈焰玄铁5/火龙币48</v>
      </c>
    </row>
    <row r="386" spans="1:8" ht="15.75" x14ac:dyDescent="0.3">
      <c r="A386" s="122" t="s">
        <v>3498</v>
      </c>
      <c r="B386" s="122" t="s">
        <v>3532</v>
      </c>
      <c r="C386" s="123" t="s">
        <v>3537</v>
      </c>
      <c r="D386" s="122">
        <v>8</v>
      </c>
      <c r="E386" s="124"/>
      <c r="F386" s="122"/>
      <c r="G386" s="122">
        <v>80</v>
      </c>
      <c r="H386" s="126" t="str">
        <f t="shared" si="79"/>
        <v>神器图纸2/首饰碎片5/烈焰玄铁5/火龙币50</v>
      </c>
    </row>
    <row r="387" spans="1:8" ht="15.75" x14ac:dyDescent="0.3">
      <c r="A387" s="122" t="s">
        <v>3498</v>
      </c>
      <c r="B387" s="122" t="s">
        <v>3532</v>
      </c>
      <c r="C387" s="123" t="s">
        <v>3537</v>
      </c>
      <c r="D387" s="122">
        <v>9</v>
      </c>
      <c r="E387" s="124"/>
      <c r="F387" s="122"/>
      <c r="G387" s="122">
        <v>90</v>
      </c>
      <c r="H387" s="126" t="str">
        <f t="shared" si="79"/>
        <v>神器图纸2/首饰碎片5/烈焰玄铁5/火龙币53</v>
      </c>
    </row>
    <row r="388" spans="1:8" ht="15.75" x14ac:dyDescent="0.3">
      <c r="A388" s="122" t="s">
        <v>3498</v>
      </c>
      <c r="B388" s="122" t="s">
        <v>3532</v>
      </c>
      <c r="C388" s="123" t="s">
        <v>3537</v>
      </c>
      <c r="D388" s="122">
        <v>10</v>
      </c>
      <c r="E388" s="124"/>
      <c r="F388" s="122"/>
      <c r="G388" s="122">
        <v>100</v>
      </c>
      <c r="H388" s="126"/>
    </row>
    <row r="389" spans="1:8" ht="15.75" x14ac:dyDescent="0.3">
      <c r="A389" s="122" t="s">
        <v>3498</v>
      </c>
      <c r="B389" s="122" t="s">
        <v>3532</v>
      </c>
      <c r="C389" s="123" t="s">
        <v>3538</v>
      </c>
      <c r="D389" s="122">
        <v>0</v>
      </c>
      <c r="E389" s="124"/>
      <c r="F389" s="122"/>
      <c r="G389" s="127"/>
      <c r="H389" s="126" t="str">
        <f>"神器图纸"&amp;Z3&amp;"/首饰碎片"&amp;AA3&amp;"/烈焰玄铁"&amp;AB3&amp;"/火龙币"&amp;AC3</f>
        <v>神器图纸1/首饰碎片3/烈焰玄铁3/火龙币32</v>
      </c>
    </row>
    <row r="390" spans="1:8" ht="15.75" x14ac:dyDescent="0.3">
      <c r="A390" s="122" t="s">
        <v>3498</v>
      </c>
      <c r="B390" s="122" t="s">
        <v>3532</v>
      </c>
      <c r="C390" s="123" t="s">
        <v>3538</v>
      </c>
      <c r="D390" s="122">
        <v>1</v>
      </c>
      <c r="E390" s="124"/>
      <c r="F390" s="122"/>
      <c r="G390" s="122">
        <v>11</v>
      </c>
      <c r="H390" s="126" t="str">
        <f t="shared" ref="H390:H398" si="80">"神器图纸"&amp;Z4&amp;"/首饰碎片"&amp;AA4&amp;"/烈焰玄铁"&amp;AB4&amp;"/火龙币"&amp;AC4</f>
        <v>神器图纸1/首饰碎片3/烈焰玄铁3/火龙币35</v>
      </c>
    </row>
    <row r="391" spans="1:8" ht="15.75" x14ac:dyDescent="0.3">
      <c r="A391" s="122" t="s">
        <v>3498</v>
      </c>
      <c r="B391" s="122" t="s">
        <v>3532</v>
      </c>
      <c r="C391" s="123" t="s">
        <v>3538</v>
      </c>
      <c r="D391" s="122">
        <v>2</v>
      </c>
      <c r="E391" s="124"/>
      <c r="F391" s="122"/>
      <c r="G391" s="122">
        <v>22</v>
      </c>
      <c r="H391" s="126" t="str">
        <f t="shared" si="80"/>
        <v>神器图纸1/首饰碎片4/烈焰玄铁4/火龙币37</v>
      </c>
    </row>
    <row r="392" spans="1:8" ht="15.75" x14ac:dyDescent="0.3">
      <c r="A392" s="122" t="s">
        <v>3498</v>
      </c>
      <c r="B392" s="122" t="s">
        <v>3532</v>
      </c>
      <c r="C392" s="123" t="s">
        <v>3538</v>
      </c>
      <c r="D392" s="122">
        <v>3</v>
      </c>
      <c r="E392" s="124"/>
      <c r="F392" s="122"/>
      <c r="G392" s="122">
        <v>33</v>
      </c>
      <c r="H392" s="126" t="str">
        <f t="shared" si="80"/>
        <v>神器图纸2/首饰碎片4/烈焰玄铁4/火龙币39</v>
      </c>
    </row>
    <row r="393" spans="1:8" ht="15.75" x14ac:dyDescent="0.3">
      <c r="A393" s="122" t="s">
        <v>3498</v>
      </c>
      <c r="B393" s="122" t="s">
        <v>3532</v>
      </c>
      <c r="C393" s="123" t="s">
        <v>3538</v>
      </c>
      <c r="D393" s="122">
        <v>4</v>
      </c>
      <c r="E393" s="124"/>
      <c r="F393" s="122"/>
      <c r="G393" s="122">
        <v>44</v>
      </c>
      <c r="H393" s="126" t="str">
        <f t="shared" si="80"/>
        <v>神器图纸2/首饰碎片4/烈焰玄铁4/火龙币41</v>
      </c>
    </row>
    <row r="394" spans="1:8" ht="15.75" x14ac:dyDescent="0.3">
      <c r="A394" s="122" t="s">
        <v>3498</v>
      </c>
      <c r="B394" s="122" t="s">
        <v>3532</v>
      </c>
      <c r="C394" s="123" t="s">
        <v>3538</v>
      </c>
      <c r="D394" s="122">
        <v>5</v>
      </c>
      <c r="E394" s="124"/>
      <c r="F394" s="122"/>
      <c r="G394" s="122">
        <v>55</v>
      </c>
      <c r="H394" s="126" t="str">
        <f t="shared" si="80"/>
        <v>神器图纸2/首饰碎片4/烈焰玄铁4/火龙币44</v>
      </c>
    </row>
    <row r="395" spans="1:8" ht="15.75" x14ac:dyDescent="0.3">
      <c r="A395" s="122" t="s">
        <v>3498</v>
      </c>
      <c r="B395" s="122" t="s">
        <v>3532</v>
      </c>
      <c r="C395" s="123" t="s">
        <v>3538</v>
      </c>
      <c r="D395" s="122">
        <v>6</v>
      </c>
      <c r="E395" s="124"/>
      <c r="F395" s="122"/>
      <c r="G395" s="122">
        <v>66</v>
      </c>
      <c r="H395" s="126" t="str">
        <f t="shared" si="80"/>
        <v>神器图纸2/首饰碎片5/烈焰玄铁5/火龙币46</v>
      </c>
    </row>
    <row r="396" spans="1:8" ht="15.75" x14ac:dyDescent="0.3">
      <c r="A396" s="122" t="s">
        <v>3498</v>
      </c>
      <c r="B396" s="122" t="s">
        <v>3532</v>
      </c>
      <c r="C396" s="123" t="s">
        <v>3538</v>
      </c>
      <c r="D396" s="122">
        <v>7</v>
      </c>
      <c r="E396" s="124"/>
      <c r="F396" s="122"/>
      <c r="G396" s="122">
        <v>77</v>
      </c>
      <c r="H396" s="126" t="str">
        <f t="shared" si="80"/>
        <v>神器图纸2/首饰碎片5/烈焰玄铁5/火龙币48</v>
      </c>
    </row>
    <row r="397" spans="1:8" ht="15.75" x14ac:dyDescent="0.3">
      <c r="A397" s="122" t="s">
        <v>3498</v>
      </c>
      <c r="B397" s="122" t="s">
        <v>3532</v>
      </c>
      <c r="C397" s="123" t="s">
        <v>3538</v>
      </c>
      <c r="D397" s="122">
        <v>8</v>
      </c>
      <c r="E397" s="124"/>
      <c r="F397" s="122"/>
      <c r="G397" s="122">
        <v>88</v>
      </c>
      <c r="H397" s="126" t="str">
        <f t="shared" si="80"/>
        <v>神器图纸2/首饰碎片5/烈焰玄铁5/火龙币50</v>
      </c>
    </row>
    <row r="398" spans="1:8" ht="15.75" x14ac:dyDescent="0.3">
      <c r="A398" s="122" t="s">
        <v>3498</v>
      </c>
      <c r="B398" s="122" t="s">
        <v>3532</v>
      </c>
      <c r="C398" s="123" t="s">
        <v>3538</v>
      </c>
      <c r="D398" s="122">
        <v>9</v>
      </c>
      <c r="E398" s="124"/>
      <c r="F398" s="122"/>
      <c r="G398" s="122">
        <v>99</v>
      </c>
      <c r="H398" s="126" t="str">
        <f t="shared" si="80"/>
        <v>神器图纸2/首饰碎片5/烈焰玄铁5/火龙币53</v>
      </c>
    </row>
    <row r="399" spans="1:8" ht="15.75" x14ac:dyDescent="0.3">
      <c r="A399" s="122" t="s">
        <v>3498</v>
      </c>
      <c r="B399" s="122" t="s">
        <v>3532</v>
      </c>
      <c r="C399" s="123" t="s">
        <v>3538</v>
      </c>
      <c r="D399" s="122">
        <v>10</v>
      </c>
      <c r="E399" s="124"/>
      <c r="F399" s="122"/>
      <c r="G399" s="122">
        <v>110</v>
      </c>
      <c r="H399" s="126"/>
    </row>
    <row r="400" spans="1:8" ht="15.75" x14ac:dyDescent="0.3">
      <c r="A400" s="122" t="s">
        <v>3498</v>
      </c>
      <c r="B400" s="122" t="s">
        <v>3532</v>
      </c>
      <c r="C400" s="123" t="s">
        <v>3539</v>
      </c>
      <c r="D400" s="122">
        <v>0</v>
      </c>
      <c r="E400" s="124"/>
      <c r="F400" s="122"/>
      <c r="G400" s="127"/>
      <c r="H400" s="126" t="str">
        <f>"神器图纸"&amp;Z3&amp;"/首饰碎片"&amp;AA3&amp;"/烈焰玄铁"&amp;AB3&amp;"/火龙币"&amp;AC3</f>
        <v>神器图纸1/首饰碎片3/烈焰玄铁3/火龙币32</v>
      </c>
    </row>
    <row r="401" spans="1:8" ht="15.75" x14ac:dyDescent="0.3">
      <c r="A401" s="122" t="s">
        <v>3498</v>
      </c>
      <c r="B401" s="122" t="s">
        <v>3532</v>
      </c>
      <c r="C401" s="123" t="s">
        <v>3539</v>
      </c>
      <c r="D401" s="122">
        <v>1</v>
      </c>
      <c r="E401" s="124"/>
      <c r="F401" s="122"/>
      <c r="G401" s="122">
        <v>12</v>
      </c>
      <c r="H401" s="126" t="str">
        <f t="shared" ref="H401:H409" si="81">"神器图纸"&amp;Z4&amp;"/首饰碎片"&amp;AA4&amp;"/烈焰玄铁"&amp;AB4&amp;"/火龙币"&amp;AC4</f>
        <v>神器图纸1/首饰碎片3/烈焰玄铁3/火龙币35</v>
      </c>
    </row>
    <row r="402" spans="1:8" ht="15.75" x14ac:dyDescent="0.3">
      <c r="A402" s="122" t="s">
        <v>3498</v>
      </c>
      <c r="B402" s="122" t="s">
        <v>3532</v>
      </c>
      <c r="C402" s="123" t="s">
        <v>3539</v>
      </c>
      <c r="D402" s="122">
        <v>2</v>
      </c>
      <c r="E402" s="124"/>
      <c r="F402" s="122"/>
      <c r="G402" s="122">
        <v>24</v>
      </c>
      <c r="H402" s="126" t="str">
        <f t="shared" si="81"/>
        <v>神器图纸1/首饰碎片4/烈焰玄铁4/火龙币37</v>
      </c>
    </row>
    <row r="403" spans="1:8" ht="15.75" x14ac:dyDescent="0.3">
      <c r="A403" s="122" t="s">
        <v>3498</v>
      </c>
      <c r="B403" s="122" t="s">
        <v>3532</v>
      </c>
      <c r="C403" s="123" t="s">
        <v>3539</v>
      </c>
      <c r="D403" s="122">
        <v>3</v>
      </c>
      <c r="E403" s="124"/>
      <c r="F403" s="122"/>
      <c r="G403" s="122">
        <v>36</v>
      </c>
      <c r="H403" s="126" t="str">
        <f t="shared" si="81"/>
        <v>神器图纸2/首饰碎片4/烈焰玄铁4/火龙币39</v>
      </c>
    </row>
    <row r="404" spans="1:8" ht="15.75" x14ac:dyDescent="0.3">
      <c r="A404" s="122" t="s">
        <v>3498</v>
      </c>
      <c r="B404" s="122" t="s">
        <v>3532</v>
      </c>
      <c r="C404" s="123" t="s">
        <v>3539</v>
      </c>
      <c r="D404" s="122">
        <v>4</v>
      </c>
      <c r="E404" s="124"/>
      <c r="F404" s="122"/>
      <c r="G404" s="122">
        <v>48</v>
      </c>
      <c r="H404" s="126" t="str">
        <f t="shared" si="81"/>
        <v>神器图纸2/首饰碎片4/烈焰玄铁4/火龙币41</v>
      </c>
    </row>
    <row r="405" spans="1:8" ht="15.75" x14ac:dyDescent="0.3">
      <c r="A405" s="122" t="s">
        <v>3498</v>
      </c>
      <c r="B405" s="122" t="s">
        <v>3532</v>
      </c>
      <c r="C405" s="123" t="s">
        <v>3539</v>
      </c>
      <c r="D405" s="122">
        <v>5</v>
      </c>
      <c r="E405" s="124"/>
      <c r="F405" s="122"/>
      <c r="G405" s="122">
        <v>60</v>
      </c>
      <c r="H405" s="126" t="str">
        <f t="shared" si="81"/>
        <v>神器图纸2/首饰碎片4/烈焰玄铁4/火龙币44</v>
      </c>
    </row>
    <row r="406" spans="1:8" ht="15.75" x14ac:dyDescent="0.3">
      <c r="A406" s="122" t="s">
        <v>3498</v>
      </c>
      <c r="B406" s="122" t="s">
        <v>3532</v>
      </c>
      <c r="C406" s="123" t="s">
        <v>3539</v>
      </c>
      <c r="D406" s="122">
        <v>6</v>
      </c>
      <c r="E406" s="124"/>
      <c r="F406" s="122"/>
      <c r="G406" s="122">
        <v>72</v>
      </c>
      <c r="H406" s="126" t="str">
        <f t="shared" si="81"/>
        <v>神器图纸2/首饰碎片5/烈焰玄铁5/火龙币46</v>
      </c>
    </row>
    <row r="407" spans="1:8" ht="15.75" x14ac:dyDescent="0.3">
      <c r="A407" s="122" t="s">
        <v>3498</v>
      </c>
      <c r="B407" s="122" t="s">
        <v>3532</v>
      </c>
      <c r="C407" s="123" t="s">
        <v>3539</v>
      </c>
      <c r="D407" s="122">
        <v>7</v>
      </c>
      <c r="E407" s="124"/>
      <c r="F407" s="122"/>
      <c r="G407" s="122">
        <v>84</v>
      </c>
      <c r="H407" s="126" t="str">
        <f t="shared" si="81"/>
        <v>神器图纸2/首饰碎片5/烈焰玄铁5/火龙币48</v>
      </c>
    </row>
    <row r="408" spans="1:8" ht="15.75" x14ac:dyDescent="0.3">
      <c r="A408" s="122" t="s">
        <v>3498</v>
      </c>
      <c r="B408" s="122" t="s">
        <v>3532</v>
      </c>
      <c r="C408" s="123" t="s">
        <v>3539</v>
      </c>
      <c r="D408" s="122">
        <v>8</v>
      </c>
      <c r="E408" s="124"/>
      <c r="F408" s="122"/>
      <c r="G408" s="122">
        <v>96</v>
      </c>
      <c r="H408" s="126" t="str">
        <f t="shared" si="81"/>
        <v>神器图纸2/首饰碎片5/烈焰玄铁5/火龙币50</v>
      </c>
    </row>
    <row r="409" spans="1:8" ht="15.75" x14ac:dyDescent="0.3">
      <c r="A409" s="122" t="s">
        <v>3498</v>
      </c>
      <c r="B409" s="122" t="s">
        <v>3532</v>
      </c>
      <c r="C409" s="123" t="s">
        <v>3539</v>
      </c>
      <c r="D409" s="122">
        <v>9</v>
      </c>
      <c r="E409" s="124"/>
      <c r="F409" s="122"/>
      <c r="G409" s="122">
        <v>108</v>
      </c>
      <c r="H409" s="126" t="str">
        <f t="shared" si="81"/>
        <v>神器图纸2/首饰碎片5/烈焰玄铁5/火龙币53</v>
      </c>
    </row>
    <row r="410" spans="1:8" ht="15.75" x14ac:dyDescent="0.3">
      <c r="A410" s="122" t="s">
        <v>3498</v>
      </c>
      <c r="B410" s="122" t="s">
        <v>3532</v>
      </c>
      <c r="C410" s="123" t="s">
        <v>3539</v>
      </c>
      <c r="D410" s="122">
        <v>10</v>
      </c>
      <c r="E410" s="124"/>
      <c r="F410" s="122"/>
      <c r="G410" s="122">
        <v>120</v>
      </c>
      <c r="H410" s="126"/>
    </row>
    <row r="411" spans="1:8" ht="15.75" x14ac:dyDescent="0.3">
      <c r="A411" s="122" t="s">
        <v>3498</v>
      </c>
      <c r="B411" s="122" t="s">
        <v>3532</v>
      </c>
      <c r="C411" s="123" t="s">
        <v>3540</v>
      </c>
      <c r="D411" s="122">
        <v>0</v>
      </c>
      <c r="E411" s="124"/>
      <c r="F411" s="122"/>
      <c r="G411" s="127"/>
      <c r="H411" s="126" t="str">
        <f>"神器图纸"&amp;Z3&amp;"/首饰碎片"&amp;AA3&amp;"/烈焰玄铁"&amp;AB3&amp;"/火龙币"&amp;AC3</f>
        <v>神器图纸1/首饰碎片3/烈焰玄铁3/火龙币32</v>
      </c>
    </row>
    <row r="412" spans="1:8" ht="15.75" x14ac:dyDescent="0.3">
      <c r="A412" s="122" t="s">
        <v>3498</v>
      </c>
      <c r="B412" s="122" t="s">
        <v>3532</v>
      </c>
      <c r="C412" s="123" t="s">
        <v>3540</v>
      </c>
      <c r="D412" s="122">
        <v>1</v>
      </c>
      <c r="E412" s="124"/>
      <c r="F412" s="122"/>
      <c r="G412" s="122">
        <v>13</v>
      </c>
      <c r="H412" s="126" t="str">
        <f t="shared" ref="H412:H420" si="82">"神器图纸"&amp;Z4&amp;"/首饰碎片"&amp;AA4&amp;"/烈焰玄铁"&amp;AB4&amp;"/火龙币"&amp;AC4</f>
        <v>神器图纸1/首饰碎片3/烈焰玄铁3/火龙币35</v>
      </c>
    </row>
    <row r="413" spans="1:8" ht="15.75" x14ac:dyDescent="0.3">
      <c r="A413" s="122" t="s">
        <v>3498</v>
      </c>
      <c r="B413" s="122" t="s">
        <v>3532</v>
      </c>
      <c r="C413" s="123" t="s">
        <v>3540</v>
      </c>
      <c r="D413" s="122">
        <v>2</v>
      </c>
      <c r="E413" s="124"/>
      <c r="F413" s="122"/>
      <c r="G413" s="122">
        <v>26</v>
      </c>
      <c r="H413" s="126" t="str">
        <f t="shared" si="82"/>
        <v>神器图纸1/首饰碎片4/烈焰玄铁4/火龙币37</v>
      </c>
    </row>
    <row r="414" spans="1:8" ht="15.75" x14ac:dyDescent="0.3">
      <c r="A414" s="122" t="s">
        <v>3498</v>
      </c>
      <c r="B414" s="122" t="s">
        <v>3532</v>
      </c>
      <c r="C414" s="123" t="s">
        <v>3540</v>
      </c>
      <c r="D414" s="122">
        <v>3</v>
      </c>
      <c r="E414" s="124"/>
      <c r="F414" s="122"/>
      <c r="G414" s="122">
        <v>39</v>
      </c>
      <c r="H414" s="126" t="str">
        <f t="shared" si="82"/>
        <v>神器图纸2/首饰碎片4/烈焰玄铁4/火龙币39</v>
      </c>
    </row>
    <row r="415" spans="1:8" ht="15.75" x14ac:dyDescent="0.3">
      <c r="A415" s="122" t="s">
        <v>3498</v>
      </c>
      <c r="B415" s="122" t="s">
        <v>3532</v>
      </c>
      <c r="C415" s="123" t="s">
        <v>3540</v>
      </c>
      <c r="D415" s="122">
        <v>4</v>
      </c>
      <c r="E415" s="124"/>
      <c r="F415" s="122"/>
      <c r="G415" s="122">
        <v>52</v>
      </c>
      <c r="H415" s="126" t="str">
        <f t="shared" si="82"/>
        <v>神器图纸2/首饰碎片4/烈焰玄铁4/火龙币41</v>
      </c>
    </row>
    <row r="416" spans="1:8" ht="15.75" x14ac:dyDescent="0.3">
      <c r="A416" s="122" t="s">
        <v>3498</v>
      </c>
      <c r="B416" s="122" t="s">
        <v>3532</v>
      </c>
      <c r="C416" s="123" t="s">
        <v>3540</v>
      </c>
      <c r="D416" s="122">
        <v>5</v>
      </c>
      <c r="E416" s="124"/>
      <c r="F416" s="122"/>
      <c r="G416" s="122">
        <v>65</v>
      </c>
      <c r="H416" s="126" t="str">
        <f t="shared" si="82"/>
        <v>神器图纸2/首饰碎片4/烈焰玄铁4/火龙币44</v>
      </c>
    </row>
    <row r="417" spans="1:8" ht="15.75" x14ac:dyDescent="0.3">
      <c r="A417" s="122" t="s">
        <v>3498</v>
      </c>
      <c r="B417" s="122" t="s">
        <v>3532</v>
      </c>
      <c r="C417" s="123" t="s">
        <v>3540</v>
      </c>
      <c r="D417" s="122">
        <v>6</v>
      </c>
      <c r="E417" s="124"/>
      <c r="F417" s="122"/>
      <c r="G417" s="122">
        <v>78</v>
      </c>
      <c r="H417" s="126" t="str">
        <f t="shared" si="82"/>
        <v>神器图纸2/首饰碎片5/烈焰玄铁5/火龙币46</v>
      </c>
    </row>
    <row r="418" spans="1:8" ht="15.75" x14ac:dyDescent="0.3">
      <c r="A418" s="122" t="s">
        <v>3498</v>
      </c>
      <c r="B418" s="122" t="s">
        <v>3532</v>
      </c>
      <c r="C418" s="123" t="s">
        <v>3540</v>
      </c>
      <c r="D418" s="122">
        <v>7</v>
      </c>
      <c r="E418" s="124"/>
      <c r="F418" s="122"/>
      <c r="G418" s="122">
        <v>91</v>
      </c>
      <c r="H418" s="126" t="str">
        <f t="shared" si="82"/>
        <v>神器图纸2/首饰碎片5/烈焰玄铁5/火龙币48</v>
      </c>
    </row>
    <row r="419" spans="1:8" ht="15.75" x14ac:dyDescent="0.3">
      <c r="A419" s="122" t="s">
        <v>3498</v>
      </c>
      <c r="B419" s="122" t="s">
        <v>3532</v>
      </c>
      <c r="C419" s="123" t="s">
        <v>3540</v>
      </c>
      <c r="D419" s="122">
        <v>8</v>
      </c>
      <c r="E419" s="124"/>
      <c r="F419" s="122"/>
      <c r="G419" s="122">
        <v>104</v>
      </c>
      <c r="H419" s="126" t="str">
        <f t="shared" si="82"/>
        <v>神器图纸2/首饰碎片5/烈焰玄铁5/火龙币50</v>
      </c>
    </row>
    <row r="420" spans="1:8" ht="15.75" x14ac:dyDescent="0.3">
      <c r="A420" s="122" t="s">
        <v>3498</v>
      </c>
      <c r="B420" s="122" t="s">
        <v>3532</v>
      </c>
      <c r="C420" s="123" t="s">
        <v>3540</v>
      </c>
      <c r="D420" s="122">
        <v>9</v>
      </c>
      <c r="E420" s="124"/>
      <c r="F420" s="122"/>
      <c r="G420" s="122">
        <v>117</v>
      </c>
      <c r="H420" s="126" t="str">
        <f t="shared" si="82"/>
        <v>神器图纸2/首饰碎片5/烈焰玄铁5/火龙币53</v>
      </c>
    </row>
    <row r="421" spans="1:8" ht="15.75" x14ac:dyDescent="0.3">
      <c r="A421" s="122" t="s">
        <v>3498</v>
      </c>
      <c r="B421" s="122" t="s">
        <v>3532</v>
      </c>
      <c r="C421" s="123" t="s">
        <v>3540</v>
      </c>
      <c r="D421" s="122">
        <v>10</v>
      </c>
      <c r="E421" s="124"/>
      <c r="F421" s="122"/>
      <c r="G421" s="122">
        <v>130</v>
      </c>
      <c r="H421" s="126"/>
    </row>
    <row r="422" spans="1:8" ht="15.75" x14ac:dyDescent="0.3">
      <c r="A422" s="122" t="s">
        <v>3498</v>
      </c>
      <c r="B422" s="122" t="s">
        <v>3532</v>
      </c>
      <c r="C422" s="123" t="s">
        <v>3541</v>
      </c>
      <c r="D422" s="122">
        <v>0</v>
      </c>
      <c r="E422" s="124"/>
      <c r="F422" s="122"/>
      <c r="G422" s="127"/>
      <c r="H422" s="126" t="str">
        <f>"神器图纸"&amp;Z3&amp;"/首饰碎片"&amp;AA3&amp;"/烈焰玄铁"&amp;AB3&amp;"/火龙币"&amp;AC3</f>
        <v>神器图纸1/首饰碎片3/烈焰玄铁3/火龙币32</v>
      </c>
    </row>
    <row r="423" spans="1:8" ht="15.75" x14ac:dyDescent="0.3">
      <c r="A423" s="122" t="s">
        <v>3498</v>
      </c>
      <c r="B423" s="122" t="s">
        <v>3532</v>
      </c>
      <c r="C423" s="123" t="s">
        <v>3541</v>
      </c>
      <c r="D423" s="122">
        <v>1</v>
      </c>
      <c r="E423" s="124"/>
      <c r="F423" s="122"/>
      <c r="G423" s="122">
        <v>14</v>
      </c>
      <c r="H423" s="126" t="str">
        <f t="shared" ref="H423:H431" si="83">"神器图纸"&amp;Z4&amp;"/首饰碎片"&amp;AA4&amp;"/烈焰玄铁"&amp;AB4&amp;"/火龙币"&amp;AC4</f>
        <v>神器图纸1/首饰碎片3/烈焰玄铁3/火龙币35</v>
      </c>
    </row>
    <row r="424" spans="1:8" ht="15.75" x14ac:dyDescent="0.3">
      <c r="A424" s="122" t="s">
        <v>3498</v>
      </c>
      <c r="B424" s="122" t="s">
        <v>3532</v>
      </c>
      <c r="C424" s="123" t="s">
        <v>3541</v>
      </c>
      <c r="D424" s="122">
        <v>2</v>
      </c>
      <c r="E424" s="124"/>
      <c r="F424" s="122"/>
      <c r="G424" s="122">
        <v>28</v>
      </c>
      <c r="H424" s="126" t="str">
        <f t="shared" si="83"/>
        <v>神器图纸1/首饰碎片4/烈焰玄铁4/火龙币37</v>
      </c>
    </row>
    <row r="425" spans="1:8" ht="15.75" x14ac:dyDescent="0.3">
      <c r="A425" s="122" t="s">
        <v>3498</v>
      </c>
      <c r="B425" s="122" t="s">
        <v>3532</v>
      </c>
      <c r="C425" s="123" t="s">
        <v>3541</v>
      </c>
      <c r="D425" s="122">
        <v>3</v>
      </c>
      <c r="E425" s="124"/>
      <c r="F425" s="122"/>
      <c r="G425" s="122">
        <v>42</v>
      </c>
      <c r="H425" s="126" t="str">
        <f t="shared" si="83"/>
        <v>神器图纸2/首饰碎片4/烈焰玄铁4/火龙币39</v>
      </c>
    </row>
    <row r="426" spans="1:8" ht="15.75" x14ac:dyDescent="0.3">
      <c r="A426" s="122" t="s">
        <v>3498</v>
      </c>
      <c r="B426" s="122" t="s">
        <v>3532</v>
      </c>
      <c r="C426" s="123" t="s">
        <v>3541</v>
      </c>
      <c r="D426" s="122">
        <v>4</v>
      </c>
      <c r="E426" s="124"/>
      <c r="F426" s="122"/>
      <c r="G426" s="122">
        <v>56</v>
      </c>
      <c r="H426" s="126" t="str">
        <f t="shared" si="83"/>
        <v>神器图纸2/首饰碎片4/烈焰玄铁4/火龙币41</v>
      </c>
    </row>
    <row r="427" spans="1:8" ht="15.75" x14ac:dyDescent="0.3">
      <c r="A427" s="122" t="s">
        <v>3498</v>
      </c>
      <c r="B427" s="122" t="s">
        <v>3532</v>
      </c>
      <c r="C427" s="123" t="s">
        <v>3541</v>
      </c>
      <c r="D427" s="122">
        <v>5</v>
      </c>
      <c r="E427" s="124"/>
      <c r="F427" s="122"/>
      <c r="G427" s="122">
        <v>70</v>
      </c>
      <c r="H427" s="126" t="str">
        <f t="shared" si="83"/>
        <v>神器图纸2/首饰碎片4/烈焰玄铁4/火龙币44</v>
      </c>
    </row>
    <row r="428" spans="1:8" ht="15.75" x14ac:dyDescent="0.3">
      <c r="A428" s="122" t="s">
        <v>3498</v>
      </c>
      <c r="B428" s="122" t="s">
        <v>3532</v>
      </c>
      <c r="C428" s="123" t="s">
        <v>3541</v>
      </c>
      <c r="D428" s="122">
        <v>6</v>
      </c>
      <c r="E428" s="124"/>
      <c r="F428" s="122"/>
      <c r="G428" s="122">
        <v>84</v>
      </c>
      <c r="H428" s="126" t="str">
        <f t="shared" si="83"/>
        <v>神器图纸2/首饰碎片5/烈焰玄铁5/火龙币46</v>
      </c>
    </row>
    <row r="429" spans="1:8" ht="15.75" x14ac:dyDescent="0.3">
      <c r="A429" s="122" t="s">
        <v>3498</v>
      </c>
      <c r="B429" s="122" t="s">
        <v>3532</v>
      </c>
      <c r="C429" s="123" t="s">
        <v>3541</v>
      </c>
      <c r="D429" s="122">
        <v>7</v>
      </c>
      <c r="E429" s="124"/>
      <c r="F429" s="122"/>
      <c r="G429" s="122">
        <v>98</v>
      </c>
      <c r="H429" s="126" t="str">
        <f t="shared" si="83"/>
        <v>神器图纸2/首饰碎片5/烈焰玄铁5/火龙币48</v>
      </c>
    </row>
    <row r="430" spans="1:8" ht="15.75" x14ac:dyDescent="0.3">
      <c r="A430" s="122" t="s">
        <v>3498</v>
      </c>
      <c r="B430" s="122" t="s">
        <v>3532</v>
      </c>
      <c r="C430" s="123" t="s">
        <v>3541</v>
      </c>
      <c r="D430" s="122">
        <v>8</v>
      </c>
      <c r="E430" s="124"/>
      <c r="F430" s="122"/>
      <c r="G430" s="122">
        <v>112</v>
      </c>
      <c r="H430" s="126" t="str">
        <f t="shared" si="83"/>
        <v>神器图纸2/首饰碎片5/烈焰玄铁5/火龙币50</v>
      </c>
    </row>
    <row r="431" spans="1:8" ht="15.75" x14ac:dyDescent="0.3">
      <c r="A431" s="122" t="s">
        <v>3498</v>
      </c>
      <c r="B431" s="122" t="s">
        <v>3532</v>
      </c>
      <c r="C431" s="123" t="s">
        <v>3541</v>
      </c>
      <c r="D431" s="122">
        <v>9</v>
      </c>
      <c r="E431" s="124"/>
      <c r="F431" s="122"/>
      <c r="G431" s="122">
        <v>126</v>
      </c>
      <c r="H431" s="126" t="str">
        <f t="shared" si="83"/>
        <v>神器图纸2/首饰碎片5/烈焰玄铁5/火龙币53</v>
      </c>
    </row>
    <row r="432" spans="1:8" ht="15.75" x14ac:dyDescent="0.3">
      <c r="A432" s="122" t="s">
        <v>3498</v>
      </c>
      <c r="B432" s="122" t="s">
        <v>3532</v>
      </c>
      <c r="C432" s="123" t="s">
        <v>3541</v>
      </c>
      <c r="D432" s="122">
        <v>10</v>
      </c>
      <c r="E432" s="124"/>
      <c r="F432" s="122"/>
      <c r="G432" s="122">
        <v>140</v>
      </c>
      <c r="H432" s="126"/>
    </row>
    <row r="433" spans="1:8" ht="15.75" x14ac:dyDescent="0.3">
      <c r="A433" s="122" t="s">
        <v>3498</v>
      </c>
      <c r="B433" s="122" t="s">
        <v>3532</v>
      </c>
      <c r="C433" s="123" t="s">
        <v>3542</v>
      </c>
      <c r="D433" s="122">
        <v>0</v>
      </c>
      <c r="E433" s="124"/>
      <c r="F433" s="122"/>
      <c r="G433" s="127"/>
      <c r="H433" s="126" t="str">
        <f>"神器图纸"&amp;Z3&amp;"/首饰碎片"&amp;AA3&amp;"/烈焰玄铁"&amp;AB3&amp;"/火龙币"&amp;AC3</f>
        <v>神器图纸1/首饰碎片3/烈焰玄铁3/火龙币32</v>
      </c>
    </row>
    <row r="434" spans="1:8" ht="15.75" x14ac:dyDescent="0.3">
      <c r="A434" s="122" t="s">
        <v>3498</v>
      </c>
      <c r="B434" s="122" t="s">
        <v>3532</v>
      </c>
      <c r="C434" s="123" t="s">
        <v>3542</v>
      </c>
      <c r="D434" s="122">
        <v>1</v>
      </c>
      <c r="E434" s="124"/>
      <c r="F434" s="122"/>
      <c r="G434" s="122">
        <v>15</v>
      </c>
      <c r="H434" s="126" t="str">
        <f t="shared" ref="H434:H442" si="84">"神器图纸"&amp;Z4&amp;"/首饰碎片"&amp;AA4&amp;"/烈焰玄铁"&amp;AB4&amp;"/火龙币"&amp;AC4</f>
        <v>神器图纸1/首饰碎片3/烈焰玄铁3/火龙币35</v>
      </c>
    </row>
    <row r="435" spans="1:8" ht="15.75" x14ac:dyDescent="0.3">
      <c r="A435" s="122" t="s">
        <v>3498</v>
      </c>
      <c r="B435" s="122" t="s">
        <v>3532</v>
      </c>
      <c r="C435" s="123" t="s">
        <v>3542</v>
      </c>
      <c r="D435" s="122">
        <v>2</v>
      </c>
      <c r="E435" s="124"/>
      <c r="F435" s="122"/>
      <c r="G435" s="122">
        <v>30</v>
      </c>
      <c r="H435" s="126" t="str">
        <f t="shared" si="84"/>
        <v>神器图纸1/首饰碎片4/烈焰玄铁4/火龙币37</v>
      </c>
    </row>
    <row r="436" spans="1:8" ht="15.75" x14ac:dyDescent="0.3">
      <c r="A436" s="122" t="s">
        <v>3498</v>
      </c>
      <c r="B436" s="122" t="s">
        <v>3532</v>
      </c>
      <c r="C436" s="123" t="s">
        <v>3542</v>
      </c>
      <c r="D436" s="122">
        <v>3</v>
      </c>
      <c r="E436" s="124"/>
      <c r="F436" s="122"/>
      <c r="G436" s="122">
        <v>45</v>
      </c>
      <c r="H436" s="126" t="str">
        <f t="shared" si="84"/>
        <v>神器图纸2/首饰碎片4/烈焰玄铁4/火龙币39</v>
      </c>
    </row>
    <row r="437" spans="1:8" ht="15.75" x14ac:dyDescent="0.3">
      <c r="A437" s="122" t="s">
        <v>3498</v>
      </c>
      <c r="B437" s="122" t="s">
        <v>3532</v>
      </c>
      <c r="C437" s="123" t="s">
        <v>3542</v>
      </c>
      <c r="D437" s="122">
        <v>4</v>
      </c>
      <c r="E437" s="124"/>
      <c r="F437" s="122"/>
      <c r="G437" s="122">
        <v>60</v>
      </c>
      <c r="H437" s="126" t="str">
        <f t="shared" si="84"/>
        <v>神器图纸2/首饰碎片4/烈焰玄铁4/火龙币41</v>
      </c>
    </row>
    <row r="438" spans="1:8" ht="15.75" x14ac:dyDescent="0.3">
      <c r="A438" s="122" t="s">
        <v>3498</v>
      </c>
      <c r="B438" s="122" t="s">
        <v>3532</v>
      </c>
      <c r="C438" s="123" t="s">
        <v>3542</v>
      </c>
      <c r="D438" s="122">
        <v>5</v>
      </c>
      <c r="E438" s="124"/>
      <c r="F438" s="122"/>
      <c r="G438" s="122">
        <v>75</v>
      </c>
      <c r="H438" s="126" t="str">
        <f t="shared" si="84"/>
        <v>神器图纸2/首饰碎片4/烈焰玄铁4/火龙币44</v>
      </c>
    </row>
    <row r="439" spans="1:8" ht="15.75" x14ac:dyDescent="0.3">
      <c r="A439" s="122" t="s">
        <v>3498</v>
      </c>
      <c r="B439" s="122" t="s">
        <v>3532</v>
      </c>
      <c r="C439" s="123" t="s">
        <v>3542</v>
      </c>
      <c r="D439" s="122">
        <v>6</v>
      </c>
      <c r="E439" s="124"/>
      <c r="F439" s="122"/>
      <c r="G439" s="122">
        <v>90</v>
      </c>
      <c r="H439" s="126" t="str">
        <f t="shared" si="84"/>
        <v>神器图纸2/首饰碎片5/烈焰玄铁5/火龙币46</v>
      </c>
    </row>
    <row r="440" spans="1:8" ht="15.75" x14ac:dyDescent="0.3">
      <c r="A440" s="122" t="s">
        <v>3498</v>
      </c>
      <c r="B440" s="122" t="s">
        <v>3532</v>
      </c>
      <c r="C440" s="123" t="s">
        <v>3542</v>
      </c>
      <c r="D440" s="122">
        <v>7</v>
      </c>
      <c r="E440" s="124"/>
      <c r="F440" s="122"/>
      <c r="G440" s="122">
        <v>105</v>
      </c>
      <c r="H440" s="126" t="str">
        <f t="shared" si="84"/>
        <v>神器图纸2/首饰碎片5/烈焰玄铁5/火龙币48</v>
      </c>
    </row>
    <row r="441" spans="1:8" ht="15.75" x14ac:dyDescent="0.3">
      <c r="A441" s="122" t="s">
        <v>3498</v>
      </c>
      <c r="B441" s="122" t="s">
        <v>3532</v>
      </c>
      <c r="C441" s="123" t="s">
        <v>3542</v>
      </c>
      <c r="D441" s="122">
        <v>8</v>
      </c>
      <c r="E441" s="124"/>
      <c r="F441" s="122"/>
      <c r="G441" s="122">
        <v>120</v>
      </c>
      <c r="H441" s="126" t="str">
        <f t="shared" si="84"/>
        <v>神器图纸2/首饰碎片5/烈焰玄铁5/火龙币50</v>
      </c>
    </row>
    <row r="442" spans="1:8" ht="15.75" x14ac:dyDescent="0.3">
      <c r="A442" s="122" t="s">
        <v>3498</v>
      </c>
      <c r="B442" s="122" t="s">
        <v>3532</v>
      </c>
      <c r="C442" s="123" t="s">
        <v>3542</v>
      </c>
      <c r="D442" s="122">
        <v>9</v>
      </c>
      <c r="E442" s="124"/>
      <c r="F442" s="122"/>
      <c r="G442" s="122">
        <v>135</v>
      </c>
      <c r="H442" s="126" t="str">
        <f t="shared" si="84"/>
        <v>神器图纸2/首饰碎片5/烈焰玄铁5/火龙币53</v>
      </c>
    </row>
    <row r="443" spans="1:8" ht="15.75" x14ac:dyDescent="0.3">
      <c r="A443" s="122" t="s">
        <v>3498</v>
      </c>
      <c r="B443" s="122" t="s">
        <v>3532</v>
      </c>
      <c r="C443" s="123" t="s">
        <v>3542</v>
      </c>
      <c r="D443" s="122">
        <v>10</v>
      </c>
      <c r="E443" s="124"/>
      <c r="F443" s="122"/>
      <c r="G443" s="122">
        <v>150</v>
      </c>
      <c r="H443" s="126"/>
    </row>
    <row r="444" spans="1:8" ht="15.75" x14ac:dyDescent="0.3">
      <c r="A444" s="50" t="s">
        <v>3498</v>
      </c>
      <c r="B444" s="50" t="s">
        <v>3543</v>
      </c>
      <c r="C444" s="51" t="s">
        <v>3544</v>
      </c>
      <c r="D444" s="50">
        <v>0</v>
      </c>
      <c r="E444" s="128"/>
      <c r="F444" s="50"/>
      <c r="G444" s="131"/>
      <c r="H444" s="130" t="str">
        <f>"神器图纸"&amp;Z3&amp;"/首饰碎片"&amp;AA3&amp;"/烈焰玄铁"&amp;AB3&amp;"/火龙币"&amp;AC3</f>
        <v>神器图纸1/首饰碎片3/烈焰玄铁3/火龙币32</v>
      </c>
    </row>
    <row r="445" spans="1:8" ht="15.75" x14ac:dyDescent="0.3">
      <c r="A445" s="50" t="s">
        <v>3498</v>
      </c>
      <c r="B445" s="50" t="s">
        <v>3543</v>
      </c>
      <c r="C445" s="51" t="s">
        <v>3544</v>
      </c>
      <c r="D445" s="50">
        <v>1</v>
      </c>
      <c r="E445" s="128"/>
      <c r="F445" s="50"/>
      <c r="G445" s="50">
        <v>6</v>
      </c>
      <c r="H445" s="130" t="str">
        <f t="shared" ref="H445:H453" si="85">"神器图纸"&amp;Z4&amp;"/首饰碎片"&amp;AA4&amp;"/烈焰玄铁"&amp;AB4&amp;"/火龙币"&amp;AC4</f>
        <v>神器图纸1/首饰碎片3/烈焰玄铁3/火龙币35</v>
      </c>
    </row>
    <row r="446" spans="1:8" ht="15.75" x14ac:dyDescent="0.3">
      <c r="A446" s="50" t="s">
        <v>3498</v>
      </c>
      <c r="B446" s="50" t="s">
        <v>3543</v>
      </c>
      <c r="C446" s="51" t="s">
        <v>3544</v>
      </c>
      <c r="D446" s="50">
        <v>2</v>
      </c>
      <c r="E446" s="128"/>
      <c r="F446" s="50"/>
      <c r="G446" s="50">
        <v>12</v>
      </c>
      <c r="H446" s="130" t="str">
        <f t="shared" si="85"/>
        <v>神器图纸1/首饰碎片4/烈焰玄铁4/火龙币37</v>
      </c>
    </row>
    <row r="447" spans="1:8" ht="15.75" x14ac:dyDescent="0.3">
      <c r="A447" s="50" t="s">
        <v>3498</v>
      </c>
      <c r="B447" s="50" t="s">
        <v>3543</v>
      </c>
      <c r="C447" s="51" t="s">
        <v>3544</v>
      </c>
      <c r="D447" s="50">
        <v>3</v>
      </c>
      <c r="E447" s="128"/>
      <c r="F447" s="50"/>
      <c r="G447" s="50">
        <v>18</v>
      </c>
      <c r="H447" s="130" t="str">
        <f t="shared" si="85"/>
        <v>神器图纸2/首饰碎片4/烈焰玄铁4/火龙币39</v>
      </c>
    </row>
    <row r="448" spans="1:8" ht="15.75" x14ac:dyDescent="0.3">
      <c r="A448" s="50" t="s">
        <v>3498</v>
      </c>
      <c r="B448" s="50" t="s">
        <v>3543</v>
      </c>
      <c r="C448" s="51" t="s">
        <v>3544</v>
      </c>
      <c r="D448" s="50">
        <v>4</v>
      </c>
      <c r="E448" s="128"/>
      <c r="F448" s="50"/>
      <c r="G448" s="50">
        <v>24</v>
      </c>
      <c r="H448" s="130" t="str">
        <f t="shared" si="85"/>
        <v>神器图纸2/首饰碎片4/烈焰玄铁4/火龙币41</v>
      </c>
    </row>
    <row r="449" spans="1:8" ht="15.75" x14ac:dyDescent="0.3">
      <c r="A449" s="50" t="s">
        <v>3498</v>
      </c>
      <c r="B449" s="50" t="s">
        <v>3543</v>
      </c>
      <c r="C449" s="51" t="s">
        <v>3544</v>
      </c>
      <c r="D449" s="50">
        <v>5</v>
      </c>
      <c r="E449" s="128"/>
      <c r="F449" s="50"/>
      <c r="G449" s="50">
        <v>30</v>
      </c>
      <c r="H449" s="130" t="str">
        <f t="shared" si="85"/>
        <v>神器图纸2/首饰碎片4/烈焰玄铁4/火龙币44</v>
      </c>
    </row>
    <row r="450" spans="1:8" ht="15.75" x14ac:dyDescent="0.3">
      <c r="A450" s="50" t="s">
        <v>3498</v>
      </c>
      <c r="B450" s="50" t="s">
        <v>3543</v>
      </c>
      <c r="C450" s="51" t="s">
        <v>3544</v>
      </c>
      <c r="D450" s="50">
        <v>6</v>
      </c>
      <c r="E450" s="128"/>
      <c r="F450" s="50"/>
      <c r="G450" s="50">
        <v>36</v>
      </c>
      <c r="H450" s="130" t="str">
        <f t="shared" si="85"/>
        <v>神器图纸2/首饰碎片5/烈焰玄铁5/火龙币46</v>
      </c>
    </row>
    <row r="451" spans="1:8" ht="15.75" x14ac:dyDescent="0.3">
      <c r="A451" s="50" t="s">
        <v>3498</v>
      </c>
      <c r="B451" s="50" t="s">
        <v>3543</v>
      </c>
      <c r="C451" s="51" t="s">
        <v>3544</v>
      </c>
      <c r="D451" s="50">
        <v>7</v>
      </c>
      <c r="E451" s="128"/>
      <c r="F451" s="50"/>
      <c r="G451" s="50">
        <v>42</v>
      </c>
      <c r="H451" s="130" t="str">
        <f t="shared" si="85"/>
        <v>神器图纸2/首饰碎片5/烈焰玄铁5/火龙币48</v>
      </c>
    </row>
    <row r="452" spans="1:8" ht="15.75" x14ac:dyDescent="0.3">
      <c r="A452" s="50" t="s">
        <v>3498</v>
      </c>
      <c r="B452" s="50" t="s">
        <v>3543</v>
      </c>
      <c r="C452" s="51" t="s">
        <v>3544</v>
      </c>
      <c r="D452" s="50">
        <v>8</v>
      </c>
      <c r="E452" s="128"/>
      <c r="F452" s="50"/>
      <c r="G452" s="50">
        <v>48</v>
      </c>
      <c r="H452" s="130" t="str">
        <f t="shared" si="85"/>
        <v>神器图纸2/首饰碎片5/烈焰玄铁5/火龙币50</v>
      </c>
    </row>
    <row r="453" spans="1:8" ht="15.75" x14ac:dyDescent="0.3">
      <c r="A453" s="50" t="s">
        <v>3498</v>
      </c>
      <c r="B453" s="50" t="s">
        <v>3543</v>
      </c>
      <c r="C453" s="51" t="s">
        <v>3544</v>
      </c>
      <c r="D453" s="50">
        <v>9</v>
      </c>
      <c r="E453" s="128"/>
      <c r="F453" s="50"/>
      <c r="G453" s="50">
        <v>54</v>
      </c>
      <c r="H453" s="130" t="str">
        <f t="shared" si="85"/>
        <v>神器图纸2/首饰碎片5/烈焰玄铁5/火龙币53</v>
      </c>
    </row>
    <row r="454" spans="1:8" ht="15.75" x14ac:dyDescent="0.3">
      <c r="A454" s="50" t="s">
        <v>3498</v>
      </c>
      <c r="B454" s="50" t="s">
        <v>3543</v>
      </c>
      <c r="C454" s="51" t="s">
        <v>3544</v>
      </c>
      <c r="D454" s="50">
        <v>10</v>
      </c>
      <c r="E454" s="128"/>
      <c r="F454" s="50"/>
      <c r="G454" s="50">
        <v>60</v>
      </c>
      <c r="H454" s="130"/>
    </row>
    <row r="455" spans="1:8" ht="15.75" x14ac:dyDescent="0.3">
      <c r="A455" s="50" t="s">
        <v>3498</v>
      </c>
      <c r="B455" s="50" t="s">
        <v>3543</v>
      </c>
      <c r="C455" s="51" t="s">
        <v>3545</v>
      </c>
      <c r="D455" s="50">
        <v>0</v>
      </c>
      <c r="E455" s="128"/>
      <c r="F455" s="50"/>
      <c r="G455" s="131"/>
      <c r="H455" s="130" t="str">
        <f>"神器图纸"&amp;Z3&amp;"/首饰碎片"&amp;AA3&amp;"/烈焰玄铁"&amp;AB3&amp;"/火龙币"&amp;AC3</f>
        <v>神器图纸1/首饰碎片3/烈焰玄铁3/火龙币32</v>
      </c>
    </row>
    <row r="456" spans="1:8" ht="15.75" x14ac:dyDescent="0.3">
      <c r="A456" s="50" t="s">
        <v>3498</v>
      </c>
      <c r="B456" s="50" t="s">
        <v>3543</v>
      </c>
      <c r="C456" s="51" t="s">
        <v>3545</v>
      </c>
      <c r="D456" s="50">
        <v>1</v>
      </c>
      <c r="E456" s="128"/>
      <c r="F456" s="50"/>
      <c r="G456" s="50">
        <v>7</v>
      </c>
      <c r="H456" s="130" t="str">
        <f t="shared" ref="H456:H464" si="86">"神器图纸"&amp;Z4&amp;"/首饰碎片"&amp;AA4&amp;"/烈焰玄铁"&amp;AB4&amp;"/火龙币"&amp;AC4</f>
        <v>神器图纸1/首饰碎片3/烈焰玄铁3/火龙币35</v>
      </c>
    </row>
    <row r="457" spans="1:8" ht="15.75" x14ac:dyDescent="0.3">
      <c r="A457" s="50" t="s">
        <v>3498</v>
      </c>
      <c r="B457" s="50" t="s">
        <v>3543</v>
      </c>
      <c r="C457" s="51" t="s">
        <v>3545</v>
      </c>
      <c r="D457" s="50">
        <v>2</v>
      </c>
      <c r="E457" s="128"/>
      <c r="F457" s="50"/>
      <c r="G457" s="50">
        <v>14</v>
      </c>
      <c r="H457" s="130" t="str">
        <f t="shared" si="86"/>
        <v>神器图纸1/首饰碎片4/烈焰玄铁4/火龙币37</v>
      </c>
    </row>
    <row r="458" spans="1:8" ht="15.75" x14ac:dyDescent="0.3">
      <c r="A458" s="50" t="s">
        <v>3498</v>
      </c>
      <c r="B458" s="50" t="s">
        <v>3543</v>
      </c>
      <c r="C458" s="51" t="s">
        <v>3545</v>
      </c>
      <c r="D458" s="50">
        <v>3</v>
      </c>
      <c r="E458" s="128"/>
      <c r="F458" s="50"/>
      <c r="G458" s="50">
        <v>21</v>
      </c>
      <c r="H458" s="130" t="str">
        <f t="shared" si="86"/>
        <v>神器图纸2/首饰碎片4/烈焰玄铁4/火龙币39</v>
      </c>
    </row>
    <row r="459" spans="1:8" ht="15.75" x14ac:dyDescent="0.3">
      <c r="A459" s="50" t="s">
        <v>3498</v>
      </c>
      <c r="B459" s="50" t="s">
        <v>3543</v>
      </c>
      <c r="C459" s="51" t="s">
        <v>3545</v>
      </c>
      <c r="D459" s="50">
        <v>4</v>
      </c>
      <c r="E459" s="128"/>
      <c r="F459" s="50"/>
      <c r="G459" s="50">
        <v>28</v>
      </c>
      <c r="H459" s="130" t="str">
        <f t="shared" si="86"/>
        <v>神器图纸2/首饰碎片4/烈焰玄铁4/火龙币41</v>
      </c>
    </row>
    <row r="460" spans="1:8" ht="15.75" x14ac:dyDescent="0.3">
      <c r="A460" s="50" t="s">
        <v>3498</v>
      </c>
      <c r="B460" s="50" t="s">
        <v>3543</v>
      </c>
      <c r="C460" s="51" t="s">
        <v>3545</v>
      </c>
      <c r="D460" s="50">
        <v>5</v>
      </c>
      <c r="E460" s="128"/>
      <c r="F460" s="50"/>
      <c r="G460" s="50">
        <v>35</v>
      </c>
      <c r="H460" s="130" t="str">
        <f t="shared" si="86"/>
        <v>神器图纸2/首饰碎片4/烈焰玄铁4/火龙币44</v>
      </c>
    </row>
    <row r="461" spans="1:8" ht="15.75" x14ac:dyDescent="0.3">
      <c r="A461" s="50" t="s">
        <v>3498</v>
      </c>
      <c r="B461" s="50" t="s">
        <v>3543</v>
      </c>
      <c r="C461" s="51" t="s">
        <v>3545</v>
      </c>
      <c r="D461" s="50">
        <v>6</v>
      </c>
      <c r="E461" s="128"/>
      <c r="F461" s="50"/>
      <c r="G461" s="50">
        <v>42</v>
      </c>
      <c r="H461" s="130" t="str">
        <f t="shared" si="86"/>
        <v>神器图纸2/首饰碎片5/烈焰玄铁5/火龙币46</v>
      </c>
    </row>
    <row r="462" spans="1:8" ht="15.75" x14ac:dyDescent="0.3">
      <c r="A462" s="50" t="s">
        <v>3498</v>
      </c>
      <c r="B462" s="50" t="s">
        <v>3543</v>
      </c>
      <c r="C462" s="51" t="s">
        <v>3545</v>
      </c>
      <c r="D462" s="50">
        <v>7</v>
      </c>
      <c r="E462" s="128"/>
      <c r="F462" s="50"/>
      <c r="G462" s="50">
        <v>49</v>
      </c>
      <c r="H462" s="130" t="str">
        <f t="shared" si="86"/>
        <v>神器图纸2/首饰碎片5/烈焰玄铁5/火龙币48</v>
      </c>
    </row>
    <row r="463" spans="1:8" ht="15.75" x14ac:dyDescent="0.3">
      <c r="A463" s="50" t="s">
        <v>3498</v>
      </c>
      <c r="B463" s="50" t="s">
        <v>3543</v>
      </c>
      <c r="C463" s="51" t="s">
        <v>3545</v>
      </c>
      <c r="D463" s="50">
        <v>8</v>
      </c>
      <c r="E463" s="128"/>
      <c r="F463" s="50"/>
      <c r="G463" s="50">
        <v>56</v>
      </c>
      <c r="H463" s="130" t="str">
        <f t="shared" si="86"/>
        <v>神器图纸2/首饰碎片5/烈焰玄铁5/火龙币50</v>
      </c>
    </row>
    <row r="464" spans="1:8" ht="15.75" x14ac:dyDescent="0.3">
      <c r="A464" s="50" t="s">
        <v>3498</v>
      </c>
      <c r="B464" s="50" t="s">
        <v>3543</v>
      </c>
      <c r="C464" s="51" t="s">
        <v>3545</v>
      </c>
      <c r="D464" s="50">
        <v>9</v>
      </c>
      <c r="E464" s="128"/>
      <c r="F464" s="50"/>
      <c r="G464" s="50">
        <v>63</v>
      </c>
      <c r="H464" s="130" t="str">
        <f t="shared" si="86"/>
        <v>神器图纸2/首饰碎片5/烈焰玄铁5/火龙币53</v>
      </c>
    </row>
    <row r="465" spans="1:8" ht="15.75" x14ac:dyDescent="0.3">
      <c r="A465" s="50" t="s">
        <v>3498</v>
      </c>
      <c r="B465" s="50" t="s">
        <v>3543</v>
      </c>
      <c r="C465" s="51" t="s">
        <v>3545</v>
      </c>
      <c r="D465" s="50">
        <v>10</v>
      </c>
      <c r="E465" s="128"/>
      <c r="F465" s="50"/>
      <c r="G465" s="50">
        <v>70</v>
      </c>
      <c r="H465" s="130"/>
    </row>
    <row r="466" spans="1:8" ht="15.75" x14ac:dyDescent="0.3">
      <c r="A466" s="50" t="s">
        <v>3498</v>
      </c>
      <c r="B466" s="50" t="s">
        <v>3543</v>
      </c>
      <c r="C466" s="51" t="s">
        <v>3546</v>
      </c>
      <c r="D466" s="50">
        <v>0</v>
      </c>
      <c r="E466" s="128"/>
      <c r="F466" s="50"/>
      <c r="G466" s="131"/>
      <c r="H466" s="130" t="str">
        <f>"神器图纸"&amp;Z3&amp;"/首饰碎片"&amp;AA3&amp;"/烈焰玄铁"&amp;AB3&amp;"/火龙币"&amp;AC3</f>
        <v>神器图纸1/首饰碎片3/烈焰玄铁3/火龙币32</v>
      </c>
    </row>
    <row r="467" spans="1:8" ht="15.75" x14ac:dyDescent="0.3">
      <c r="A467" s="50" t="s">
        <v>3498</v>
      </c>
      <c r="B467" s="50" t="s">
        <v>3543</v>
      </c>
      <c r="C467" s="51" t="s">
        <v>3546</v>
      </c>
      <c r="D467" s="50">
        <v>1</v>
      </c>
      <c r="E467" s="128"/>
      <c r="F467" s="50"/>
      <c r="G467" s="50">
        <v>8</v>
      </c>
      <c r="H467" s="130" t="str">
        <f t="shared" ref="H467:H475" si="87">"神器图纸"&amp;Z4&amp;"/首饰碎片"&amp;AA4&amp;"/烈焰玄铁"&amp;AB4&amp;"/火龙币"&amp;AC4</f>
        <v>神器图纸1/首饰碎片3/烈焰玄铁3/火龙币35</v>
      </c>
    </row>
    <row r="468" spans="1:8" ht="15.75" x14ac:dyDescent="0.3">
      <c r="A468" s="50" t="s">
        <v>3498</v>
      </c>
      <c r="B468" s="50" t="s">
        <v>3543</v>
      </c>
      <c r="C468" s="51" t="s">
        <v>3546</v>
      </c>
      <c r="D468" s="50">
        <v>2</v>
      </c>
      <c r="E468" s="128"/>
      <c r="F468" s="50"/>
      <c r="G468" s="50">
        <v>16</v>
      </c>
      <c r="H468" s="130" t="str">
        <f t="shared" si="87"/>
        <v>神器图纸1/首饰碎片4/烈焰玄铁4/火龙币37</v>
      </c>
    </row>
    <row r="469" spans="1:8" ht="15.75" x14ac:dyDescent="0.3">
      <c r="A469" s="50" t="s">
        <v>3498</v>
      </c>
      <c r="B469" s="50" t="s">
        <v>3543</v>
      </c>
      <c r="C469" s="51" t="s">
        <v>3546</v>
      </c>
      <c r="D469" s="50">
        <v>3</v>
      </c>
      <c r="E469" s="128"/>
      <c r="F469" s="50"/>
      <c r="G469" s="50">
        <v>24</v>
      </c>
      <c r="H469" s="130" t="str">
        <f t="shared" si="87"/>
        <v>神器图纸2/首饰碎片4/烈焰玄铁4/火龙币39</v>
      </c>
    </row>
    <row r="470" spans="1:8" ht="15.75" x14ac:dyDescent="0.3">
      <c r="A470" s="50" t="s">
        <v>3498</v>
      </c>
      <c r="B470" s="50" t="s">
        <v>3543</v>
      </c>
      <c r="C470" s="51" t="s">
        <v>3546</v>
      </c>
      <c r="D470" s="50">
        <v>4</v>
      </c>
      <c r="E470" s="128"/>
      <c r="F470" s="50"/>
      <c r="G470" s="50">
        <v>32</v>
      </c>
      <c r="H470" s="130" t="str">
        <f t="shared" si="87"/>
        <v>神器图纸2/首饰碎片4/烈焰玄铁4/火龙币41</v>
      </c>
    </row>
    <row r="471" spans="1:8" ht="15.75" x14ac:dyDescent="0.3">
      <c r="A471" s="50" t="s">
        <v>3498</v>
      </c>
      <c r="B471" s="50" t="s">
        <v>3543</v>
      </c>
      <c r="C471" s="51" t="s">
        <v>3546</v>
      </c>
      <c r="D471" s="50">
        <v>5</v>
      </c>
      <c r="E471" s="128"/>
      <c r="F471" s="50"/>
      <c r="G471" s="50">
        <v>40</v>
      </c>
      <c r="H471" s="130" t="str">
        <f t="shared" si="87"/>
        <v>神器图纸2/首饰碎片4/烈焰玄铁4/火龙币44</v>
      </c>
    </row>
    <row r="472" spans="1:8" ht="15.75" x14ac:dyDescent="0.3">
      <c r="A472" s="50" t="s">
        <v>3498</v>
      </c>
      <c r="B472" s="50" t="s">
        <v>3543</v>
      </c>
      <c r="C472" s="51" t="s">
        <v>3546</v>
      </c>
      <c r="D472" s="50">
        <v>6</v>
      </c>
      <c r="E472" s="128"/>
      <c r="F472" s="50"/>
      <c r="G472" s="50">
        <v>48</v>
      </c>
      <c r="H472" s="130" t="str">
        <f t="shared" si="87"/>
        <v>神器图纸2/首饰碎片5/烈焰玄铁5/火龙币46</v>
      </c>
    </row>
    <row r="473" spans="1:8" ht="15.75" x14ac:dyDescent="0.3">
      <c r="A473" s="50" t="s">
        <v>3498</v>
      </c>
      <c r="B473" s="50" t="s">
        <v>3543</v>
      </c>
      <c r="C473" s="51" t="s">
        <v>3546</v>
      </c>
      <c r="D473" s="50">
        <v>7</v>
      </c>
      <c r="E473" s="128"/>
      <c r="F473" s="50"/>
      <c r="G473" s="50">
        <v>56</v>
      </c>
      <c r="H473" s="130" t="str">
        <f t="shared" si="87"/>
        <v>神器图纸2/首饰碎片5/烈焰玄铁5/火龙币48</v>
      </c>
    </row>
    <row r="474" spans="1:8" ht="15.75" x14ac:dyDescent="0.3">
      <c r="A474" s="50" t="s">
        <v>3498</v>
      </c>
      <c r="B474" s="50" t="s">
        <v>3543</v>
      </c>
      <c r="C474" s="51" t="s">
        <v>3546</v>
      </c>
      <c r="D474" s="50">
        <v>8</v>
      </c>
      <c r="E474" s="128"/>
      <c r="F474" s="50"/>
      <c r="G474" s="50">
        <v>64</v>
      </c>
      <c r="H474" s="130" t="str">
        <f t="shared" si="87"/>
        <v>神器图纸2/首饰碎片5/烈焰玄铁5/火龙币50</v>
      </c>
    </row>
    <row r="475" spans="1:8" ht="15.75" x14ac:dyDescent="0.3">
      <c r="A475" s="50" t="s">
        <v>3498</v>
      </c>
      <c r="B475" s="50" t="s">
        <v>3543</v>
      </c>
      <c r="C475" s="51" t="s">
        <v>3546</v>
      </c>
      <c r="D475" s="50">
        <v>9</v>
      </c>
      <c r="E475" s="128"/>
      <c r="F475" s="50"/>
      <c r="G475" s="50">
        <v>72</v>
      </c>
      <c r="H475" s="130" t="str">
        <f t="shared" si="87"/>
        <v>神器图纸2/首饰碎片5/烈焰玄铁5/火龙币53</v>
      </c>
    </row>
    <row r="476" spans="1:8" ht="15.75" x14ac:dyDescent="0.3">
      <c r="A476" s="50" t="s">
        <v>3498</v>
      </c>
      <c r="B476" s="50" t="s">
        <v>3543</v>
      </c>
      <c r="C476" s="51" t="s">
        <v>3546</v>
      </c>
      <c r="D476" s="50">
        <v>10</v>
      </c>
      <c r="E476" s="128"/>
      <c r="F476" s="50"/>
      <c r="G476" s="50">
        <v>80</v>
      </c>
      <c r="H476" s="130"/>
    </row>
    <row r="477" spans="1:8" ht="15.75" x14ac:dyDescent="0.3">
      <c r="A477" s="50" t="s">
        <v>3498</v>
      </c>
      <c r="B477" s="50" t="s">
        <v>3543</v>
      </c>
      <c r="C477" s="51" t="s">
        <v>3547</v>
      </c>
      <c r="D477" s="50">
        <v>0</v>
      </c>
      <c r="E477" s="128"/>
      <c r="F477" s="50"/>
      <c r="G477" s="131"/>
      <c r="H477" s="130" t="str">
        <f>"神器图纸"&amp;Z3&amp;"/首饰碎片"&amp;AA3&amp;"/烈焰玄铁"&amp;AB3&amp;"/火龙币"&amp;AC3</f>
        <v>神器图纸1/首饰碎片3/烈焰玄铁3/火龙币32</v>
      </c>
    </row>
    <row r="478" spans="1:8" ht="15.75" x14ac:dyDescent="0.3">
      <c r="A478" s="50" t="s">
        <v>3498</v>
      </c>
      <c r="B478" s="50" t="s">
        <v>3543</v>
      </c>
      <c r="C478" s="51" t="s">
        <v>3547</v>
      </c>
      <c r="D478" s="50">
        <v>1</v>
      </c>
      <c r="E478" s="128"/>
      <c r="F478" s="50"/>
      <c r="G478" s="50">
        <v>9</v>
      </c>
      <c r="H478" s="130" t="str">
        <f t="shared" ref="H478:H486" si="88">"神器图纸"&amp;Z4&amp;"/首饰碎片"&amp;AA4&amp;"/烈焰玄铁"&amp;AB4&amp;"/火龙币"&amp;AC4</f>
        <v>神器图纸1/首饰碎片3/烈焰玄铁3/火龙币35</v>
      </c>
    </row>
    <row r="479" spans="1:8" ht="15.75" x14ac:dyDescent="0.3">
      <c r="A479" s="50" t="s">
        <v>3498</v>
      </c>
      <c r="B479" s="50" t="s">
        <v>3543</v>
      </c>
      <c r="C479" s="51" t="s">
        <v>3547</v>
      </c>
      <c r="D479" s="50">
        <v>2</v>
      </c>
      <c r="E479" s="128"/>
      <c r="F479" s="50"/>
      <c r="G479" s="50">
        <v>18</v>
      </c>
      <c r="H479" s="130" t="str">
        <f t="shared" si="88"/>
        <v>神器图纸1/首饰碎片4/烈焰玄铁4/火龙币37</v>
      </c>
    </row>
    <row r="480" spans="1:8" ht="15.75" x14ac:dyDescent="0.3">
      <c r="A480" s="50" t="s">
        <v>3498</v>
      </c>
      <c r="B480" s="50" t="s">
        <v>3543</v>
      </c>
      <c r="C480" s="51" t="s">
        <v>3547</v>
      </c>
      <c r="D480" s="50">
        <v>3</v>
      </c>
      <c r="E480" s="128"/>
      <c r="F480" s="50"/>
      <c r="G480" s="50">
        <v>27</v>
      </c>
      <c r="H480" s="130" t="str">
        <f t="shared" si="88"/>
        <v>神器图纸2/首饰碎片4/烈焰玄铁4/火龙币39</v>
      </c>
    </row>
    <row r="481" spans="1:8" ht="15.75" x14ac:dyDescent="0.3">
      <c r="A481" s="50" t="s">
        <v>3498</v>
      </c>
      <c r="B481" s="50" t="s">
        <v>3543</v>
      </c>
      <c r="C481" s="51" t="s">
        <v>3547</v>
      </c>
      <c r="D481" s="50">
        <v>4</v>
      </c>
      <c r="E481" s="128"/>
      <c r="F481" s="50"/>
      <c r="G481" s="50">
        <v>36</v>
      </c>
      <c r="H481" s="130" t="str">
        <f t="shared" si="88"/>
        <v>神器图纸2/首饰碎片4/烈焰玄铁4/火龙币41</v>
      </c>
    </row>
    <row r="482" spans="1:8" ht="15.75" x14ac:dyDescent="0.3">
      <c r="A482" s="50" t="s">
        <v>3498</v>
      </c>
      <c r="B482" s="50" t="s">
        <v>3543</v>
      </c>
      <c r="C482" s="51" t="s">
        <v>3547</v>
      </c>
      <c r="D482" s="50">
        <v>5</v>
      </c>
      <c r="E482" s="128"/>
      <c r="F482" s="50"/>
      <c r="G482" s="50">
        <v>45</v>
      </c>
      <c r="H482" s="130" t="str">
        <f t="shared" si="88"/>
        <v>神器图纸2/首饰碎片4/烈焰玄铁4/火龙币44</v>
      </c>
    </row>
    <row r="483" spans="1:8" ht="15.75" x14ac:dyDescent="0.3">
      <c r="A483" s="50" t="s">
        <v>3498</v>
      </c>
      <c r="B483" s="50" t="s">
        <v>3543</v>
      </c>
      <c r="C483" s="51" t="s">
        <v>3547</v>
      </c>
      <c r="D483" s="50">
        <v>6</v>
      </c>
      <c r="E483" s="128"/>
      <c r="F483" s="50"/>
      <c r="G483" s="50">
        <v>54</v>
      </c>
      <c r="H483" s="130" t="str">
        <f t="shared" si="88"/>
        <v>神器图纸2/首饰碎片5/烈焰玄铁5/火龙币46</v>
      </c>
    </row>
    <row r="484" spans="1:8" ht="15.75" x14ac:dyDescent="0.3">
      <c r="A484" s="50" t="s">
        <v>3498</v>
      </c>
      <c r="B484" s="50" t="s">
        <v>3543</v>
      </c>
      <c r="C484" s="51" t="s">
        <v>3547</v>
      </c>
      <c r="D484" s="50">
        <v>7</v>
      </c>
      <c r="E484" s="128"/>
      <c r="F484" s="50"/>
      <c r="G484" s="50">
        <v>63</v>
      </c>
      <c r="H484" s="130" t="str">
        <f t="shared" si="88"/>
        <v>神器图纸2/首饰碎片5/烈焰玄铁5/火龙币48</v>
      </c>
    </row>
    <row r="485" spans="1:8" ht="15.75" x14ac:dyDescent="0.3">
      <c r="A485" s="50" t="s">
        <v>3498</v>
      </c>
      <c r="B485" s="50" t="s">
        <v>3543</v>
      </c>
      <c r="C485" s="51" t="s">
        <v>3547</v>
      </c>
      <c r="D485" s="50">
        <v>8</v>
      </c>
      <c r="E485" s="128"/>
      <c r="F485" s="50"/>
      <c r="G485" s="50">
        <v>72</v>
      </c>
      <c r="H485" s="130" t="str">
        <f t="shared" si="88"/>
        <v>神器图纸2/首饰碎片5/烈焰玄铁5/火龙币50</v>
      </c>
    </row>
    <row r="486" spans="1:8" ht="15.75" x14ac:dyDescent="0.3">
      <c r="A486" s="50" t="s">
        <v>3498</v>
      </c>
      <c r="B486" s="50" t="s">
        <v>3543</v>
      </c>
      <c r="C486" s="51" t="s">
        <v>3547</v>
      </c>
      <c r="D486" s="50">
        <v>9</v>
      </c>
      <c r="E486" s="128"/>
      <c r="F486" s="50"/>
      <c r="G486" s="50">
        <v>81</v>
      </c>
      <c r="H486" s="130" t="str">
        <f t="shared" si="88"/>
        <v>神器图纸2/首饰碎片5/烈焰玄铁5/火龙币53</v>
      </c>
    </row>
    <row r="487" spans="1:8" ht="15.75" x14ac:dyDescent="0.3">
      <c r="A487" s="50" t="s">
        <v>3498</v>
      </c>
      <c r="B487" s="50" t="s">
        <v>3543</v>
      </c>
      <c r="C487" s="51" t="s">
        <v>3547</v>
      </c>
      <c r="D487" s="50">
        <v>10</v>
      </c>
      <c r="E487" s="128"/>
      <c r="F487" s="50"/>
      <c r="G487" s="50">
        <v>90</v>
      </c>
      <c r="H487" s="130"/>
    </row>
    <row r="488" spans="1:8" ht="15.75" x14ac:dyDescent="0.3">
      <c r="A488" s="50" t="s">
        <v>3498</v>
      </c>
      <c r="B488" s="50" t="s">
        <v>3543</v>
      </c>
      <c r="C488" s="51" t="s">
        <v>3548</v>
      </c>
      <c r="D488" s="50">
        <v>0</v>
      </c>
      <c r="E488" s="128"/>
      <c r="F488" s="50"/>
      <c r="G488" s="131"/>
      <c r="H488" s="130" t="str">
        <f>"神器图纸"&amp;Z3&amp;"/首饰碎片"&amp;AA3&amp;"/烈焰玄铁"&amp;AB3&amp;"/火龙币"&amp;AC3</f>
        <v>神器图纸1/首饰碎片3/烈焰玄铁3/火龙币32</v>
      </c>
    </row>
    <row r="489" spans="1:8" ht="15.75" x14ac:dyDescent="0.3">
      <c r="A489" s="50" t="s">
        <v>3498</v>
      </c>
      <c r="B489" s="50" t="s">
        <v>3543</v>
      </c>
      <c r="C489" s="51" t="s">
        <v>3548</v>
      </c>
      <c r="D489" s="50">
        <v>1</v>
      </c>
      <c r="E489" s="128"/>
      <c r="F489" s="50"/>
      <c r="G489" s="50">
        <v>10</v>
      </c>
      <c r="H489" s="130" t="str">
        <f t="shared" ref="H489:H497" si="89">"神器图纸"&amp;Z4&amp;"/首饰碎片"&amp;AA4&amp;"/烈焰玄铁"&amp;AB4&amp;"/火龙币"&amp;AC4</f>
        <v>神器图纸1/首饰碎片3/烈焰玄铁3/火龙币35</v>
      </c>
    </row>
    <row r="490" spans="1:8" ht="15.75" x14ac:dyDescent="0.3">
      <c r="A490" s="50" t="s">
        <v>3498</v>
      </c>
      <c r="B490" s="50" t="s">
        <v>3543</v>
      </c>
      <c r="C490" s="51" t="s">
        <v>3548</v>
      </c>
      <c r="D490" s="50">
        <v>2</v>
      </c>
      <c r="E490" s="128"/>
      <c r="F490" s="50"/>
      <c r="G490" s="50">
        <v>20</v>
      </c>
      <c r="H490" s="130" t="str">
        <f t="shared" si="89"/>
        <v>神器图纸1/首饰碎片4/烈焰玄铁4/火龙币37</v>
      </c>
    </row>
    <row r="491" spans="1:8" ht="15.75" x14ac:dyDescent="0.3">
      <c r="A491" s="50" t="s">
        <v>3498</v>
      </c>
      <c r="B491" s="50" t="s">
        <v>3543</v>
      </c>
      <c r="C491" s="51" t="s">
        <v>3548</v>
      </c>
      <c r="D491" s="50">
        <v>3</v>
      </c>
      <c r="E491" s="128"/>
      <c r="F491" s="50"/>
      <c r="G491" s="50">
        <v>30</v>
      </c>
      <c r="H491" s="130" t="str">
        <f t="shared" si="89"/>
        <v>神器图纸2/首饰碎片4/烈焰玄铁4/火龙币39</v>
      </c>
    </row>
    <row r="492" spans="1:8" ht="15.75" x14ac:dyDescent="0.3">
      <c r="A492" s="50" t="s">
        <v>3498</v>
      </c>
      <c r="B492" s="50" t="s">
        <v>3543</v>
      </c>
      <c r="C492" s="51" t="s">
        <v>3548</v>
      </c>
      <c r="D492" s="50">
        <v>4</v>
      </c>
      <c r="E492" s="128"/>
      <c r="F492" s="50"/>
      <c r="G492" s="50">
        <v>40</v>
      </c>
      <c r="H492" s="130" t="str">
        <f t="shared" si="89"/>
        <v>神器图纸2/首饰碎片4/烈焰玄铁4/火龙币41</v>
      </c>
    </row>
    <row r="493" spans="1:8" ht="15.75" x14ac:dyDescent="0.3">
      <c r="A493" s="50" t="s">
        <v>3498</v>
      </c>
      <c r="B493" s="50" t="s">
        <v>3543</v>
      </c>
      <c r="C493" s="51" t="s">
        <v>3548</v>
      </c>
      <c r="D493" s="50">
        <v>5</v>
      </c>
      <c r="E493" s="128"/>
      <c r="F493" s="50"/>
      <c r="G493" s="50">
        <v>50</v>
      </c>
      <c r="H493" s="130" t="str">
        <f t="shared" si="89"/>
        <v>神器图纸2/首饰碎片4/烈焰玄铁4/火龙币44</v>
      </c>
    </row>
    <row r="494" spans="1:8" ht="15.75" x14ac:dyDescent="0.3">
      <c r="A494" s="50" t="s">
        <v>3498</v>
      </c>
      <c r="B494" s="50" t="s">
        <v>3543</v>
      </c>
      <c r="C494" s="51" t="s">
        <v>3548</v>
      </c>
      <c r="D494" s="50">
        <v>6</v>
      </c>
      <c r="E494" s="128"/>
      <c r="F494" s="50"/>
      <c r="G494" s="50">
        <v>60</v>
      </c>
      <c r="H494" s="130" t="str">
        <f t="shared" si="89"/>
        <v>神器图纸2/首饰碎片5/烈焰玄铁5/火龙币46</v>
      </c>
    </row>
    <row r="495" spans="1:8" ht="15.75" x14ac:dyDescent="0.3">
      <c r="A495" s="50" t="s">
        <v>3498</v>
      </c>
      <c r="B495" s="50" t="s">
        <v>3543</v>
      </c>
      <c r="C495" s="51" t="s">
        <v>3548</v>
      </c>
      <c r="D495" s="50">
        <v>7</v>
      </c>
      <c r="E495" s="128"/>
      <c r="F495" s="50"/>
      <c r="G495" s="50">
        <v>70</v>
      </c>
      <c r="H495" s="130" t="str">
        <f t="shared" si="89"/>
        <v>神器图纸2/首饰碎片5/烈焰玄铁5/火龙币48</v>
      </c>
    </row>
    <row r="496" spans="1:8" ht="15.75" x14ac:dyDescent="0.3">
      <c r="A496" s="50" t="s">
        <v>3498</v>
      </c>
      <c r="B496" s="50" t="s">
        <v>3543</v>
      </c>
      <c r="C496" s="51" t="s">
        <v>3548</v>
      </c>
      <c r="D496" s="50">
        <v>8</v>
      </c>
      <c r="E496" s="128"/>
      <c r="F496" s="50"/>
      <c r="G496" s="50">
        <v>80</v>
      </c>
      <c r="H496" s="130" t="str">
        <f t="shared" si="89"/>
        <v>神器图纸2/首饰碎片5/烈焰玄铁5/火龙币50</v>
      </c>
    </row>
    <row r="497" spans="1:8" ht="15.75" x14ac:dyDescent="0.3">
      <c r="A497" s="50" t="s">
        <v>3498</v>
      </c>
      <c r="B497" s="50" t="s">
        <v>3543</v>
      </c>
      <c r="C497" s="51" t="s">
        <v>3548</v>
      </c>
      <c r="D497" s="50">
        <v>9</v>
      </c>
      <c r="E497" s="128"/>
      <c r="F497" s="50"/>
      <c r="G497" s="50">
        <v>90</v>
      </c>
      <c r="H497" s="130" t="str">
        <f t="shared" si="89"/>
        <v>神器图纸2/首饰碎片5/烈焰玄铁5/火龙币53</v>
      </c>
    </row>
    <row r="498" spans="1:8" ht="15.75" x14ac:dyDescent="0.3">
      <c r="A498" s="50" t="s">
        <v>3498</v>
      </c>
      <c r="B498" s="50" t="s">
        <v>3543</v>
      </c>
      <c r="C498" s="51" t="s">
        <v>3548</v>
      </c>
      <c r="D498" s="50">
        <v>10</v>
      </c>
      <c r="E498" s="128"/>
      <c r="F498" s="50"/>
      <c r="G498" s="50">
        <v>100</v>
      </c>
      <c r="H498" s="130"/>
    </row>
    <row r="499" spans="1:8" ht="15.75" x14ac:dyDescent="0.3">
      <c r="A499" s="50" t="s">
        <v>3498</v>
      </c>
      <c r="B499" s="50" t="s">
        <v>3543</v>
      </c>
      <c r="C499" s="51" t="s">
        <v>3549</v>
      </c>
      <c r="D499" s="50">
        <v>0</v>
      </c>
      <c r="E499" s="128"/>
      <c r="F499" s="50"/>
      <c r="G499" s="131"/>
      <c r="H499" s="130" t="str">
        <f>"神器图纸"&amp;Z3&amp;"/首饰碎片"&amp;AA3&amp;"/烈焰玄铁"&amp;AB3&amp;"/火龙币"&amp;AC3</f>
        <v>神器图纸1/首饰碎片3/烈焰玄铁3/火龙币32</v>
      </c>
    </row>
    <row r="500" spans="1:8" ht="15.75" x14ac:dyDescent="0.3">
      <c r="A500" s="50" t="s">
        <v>3498</v>
      </c>
      <c r="B500" s="50" t="s">
        <v>3543</v>
      </c>
      <c r="C500" s="51" t="s">
        <v>3549</v>
      </c>
      <c r="D500" s="50">
        <v>1</v>
      </c>
      <c r="E500" s="128"/>
      <c r="F500" s="50"/>
      <c r="G500" s="50">
        <v>11</v>
      </c>
      <c r="H500" s="130" t="str">
        <f t="shared" ref="H500:H508" si="90">"神器图纸"&amp;Z4&amp;"/首饰碎片"&amp;AA4&amp;"/烈焰玄铁"&amp;AB4&amp;"/火龙币"&amp;AC4</f>
        <v>神器图纸1/首饰碎片3/烈焰玄铁3/火龙币35</v>
      </c>
    </row>
    <row r="501" spans="1:8" ht="15.75" x14ac:dyDescent="0.3">
      <c r="A501" s="50" t="s">
        <v>3498</v>
      </c>
      <c r="B501" s="50" t="s">
        <v>3543</v>
      </c>
      <c r="C501" s="51" t="s">
        <v>3549</v>
      </c>
      <c r="D501" s="50">
        <v>2</v>
      </c>
      <c r="E501" s="128"/>
      <c r="F501" s="50"/>
      <c r="G501" s="50">
        <v>22</v>
      </c>
      <c r="H501" s="130" t="str">
        <f t="shared" si="90"/>
        <v>神器图纸1/首饰碎片4/烈焰玄铁4/火龙币37</v>
      </c>
    </row>
    <row r="502" spans="1:8" ht="15.75" x14ac:dyDescent="0.3">
      <c r="A502" s="50" t="s">
        <v>3498</v>
      </c>
      <c r="B502" s="50" t="s">
        <v>3543</v>
      </c>
      <c r="C502" s="51" t="s">
        <v>3549</v>
      </c>
      <c r="D502" s="50">
        <v>3</v>
      </c>
      <c r="E502" s="128"/>
      <c r="F502" s="50"/>
      <c r="G502" s="50">
        <v>33</v>
      </c>
      <c r="H502" s="130" t="str">
        <f t="shared" si="90"/>
        <v>神器图纸2/首饰碎片4/烈焰玄铁4/火龙币39</v>
      </c>
    </row>
    <row r="503" spans="1:8" ht="15.75" x14ac:dyDescent="0.3">
      <c r="A503" s="50" t="s">
        <v>3498</v>
      </c>
      <c r="B503" s="50" t="s">
        <v>3543</v>
      </c>
      <c r="C503" s="51" t="s">
        <v>3549</v>
      </c>
      <c r="D503" s="50">
        <v>4</v>
      </c>
      <c r="E503" s="128"/>
      <c r="F503" s="50"/>
      <c r="G503" s="50">
        <v>44</v>
      </c>
      <c r="H503" s="130" t="str">
        <f t="shared" si="90"/>
        <v>神器图纸2/首饰碎片4/烈焰玄铁4/火龙币41</v>
      </c>
    </row>
    <row r="504" spans="1:8" ht="15.75" x14ac:dyDescent="0.3">
      <c r="A504" s="50" t="s">
        <v>3498</v>
      </c>
      <c r="B504" s="50" t="s">
        <v>3543</v>
      </c>
      <c r="C504" s="51" t="s">
        <v>3549</v>
      </c>
      <c r="D504" s="50">
        <v>5</v>
      </c>
      <c r="E504" s="128"/>
      <c r="F504" s="50"/>
      <c r="G504" s="50">
        <v>55</v>
      </c>
      <c r="H504" s="130" t="str">
        <f t="shared" si="90"/>
        <v>神器图纸2/首饰碎片4/烈焰玄铁4/火龙币44</v>
      </c>
    </row>
    <row r="505" spans="1:8" ht="15.75" x14ac:dyDescent="0.3">
      <c r="A505" s="50" t="s">
        <v>3498</v>
      </c>
      <c r="B505" s="50" t="s">
        <v>3543</v>
      </c>
      <c r="C505" s="51" t="s">
        <v>3549</v>
      </c>
      <c r="D505" s="50">
        <v>6</v>
      </c>
      <c r="E505" s="128"/>
      <c r="F505" s="50"/>
      <c r="G505" s="50">
        <v>66</v>
      </c>
      <c r="H505" s="130" t="str">
        <f t="shared" si="90"/>
        <v>神器图纸2/首饰碎片5/烈焰玄铁5/火龙币46</v>
      </c>
    </row>
    <row r="506" spans="1:8" ht="15.75" x14ac:dyDescent="0.3">
      <c r="A506" s="50" t="s">
        <v>3498</v>
      </c>
      <c r="B506" s="50" t="s">
        <v>3543</v>
      </c>
      <c r="C506" s="51" t="s">
        <v>3549</v>
      </c>
      <c r="D506" s="50">
        <v>7</v>
      </c>
      <c r="E506" s="128"/>
      <c r="F506" s="50"/>
      <c r="G506" s="50">
        <v>77</v>
      </c>
      <c r="H506" s="130" t="str">
        <f t="shared" si="90"/>
        <v>神器图纸2/首饰碎片5/烈焰玄铁5/火龙币48</v>
      </c>
    </row>
    <row r="507" spans="1:8" ht="15.75" x14ac:dyDescent="0.3">
      <c r="A507" s="50" t="s">
        <v>3498</v>
      </c>
      <c r="B507" s="50" t="s">
        <v>3543</v>
      </c>
      <c r="C507" s="51" t="s">
        <v>3549</v>
      </c>
      <c r="D507" s="50">
        <v>8</v>
      </c>
      <c r="E507" s="128"/>
      <c r="F507" s="50"/>
      <c r="G507" s="50">
        <v>88</v>
      </c>
      <c r="H507" s="130" t="str">
        <f t="shared" si="90"/>
        <v>神器图纸2/首饰碎片5/烈焰玄铁5/火龙币50</v>
      </c>
    </row>
    <row r="508" spans="1:8" ht="15.75" x14ac:dyDescent="0.3">
      <c r="A508" s="50" t="s">
        <v>3498</v>
      </c>
      <c r="B508" s="50" t="s">
        <v>3543</v>
      </c>
      <c r="C508" s="51" t="s">
        <v>3549</v>
      </c>
      <c r="D508" s="50">
        <v>9</v>
      </c>
      <c r="E508" s="128"/>
      <c r="F508" s="50"/>
      <c r="G508" s="50">
        <v>99</v>
      </c>
      <c r="H508" s="130" t="str">
        <f t="shared" si="90"/>
        <v>神器图纸2/首饰碎片5/烈焰玄铁5/火龙币53</v>
      </c>
    </row>
    <row r="509" spans="1:8" ht="15.75" x14ac:dyDescent="0.3">
      <c r="A509" s="50" t="s">
        <v>3498</v>
      </c>
      <c r="B509" s="50" t="s">
        <v>3543</v>
      </c>
      <c r="C509" s="51" t="s">
        <v>3549</v>
      </c>
      <c r="D509" s="50">
        <v>10</v>
      </c>
      <c r="E509" s="128"/>
      <c r="F509" s="50"/>
      <c r="G509" s="50">
        <v>110</v>
      </c>
      <c r="H509" s="130"/>
    </row>
    <row r="510" spans="1:8" ht="15.75" x14ac:dyDescent="0.3">
      <c r="A510" s="50" t="s">
        <v>3498</v>
      </c>
      <c r="B510" s="50" t="s">
        <v>3543</v>
      </c>
      <c r="C510" s="51" t="s">
        <v>3550</v>
      </c>
      <c r="D510" s="50">
        <v>0</v>
      </c>
      <c r="E510" s="128"/>
      <c r="F510" s="50"/>
      <c r="G510" s="131"/>
      <c r="H510" s="130" t="str">
        <f>"神器图纸"&amp;Z3&amp;"/首饰碎片"&amp;AA3&amp;"/烈焰玄铁"&amp;AB3&amp;"/火龙币"&amp;AC3</f>
        <v>神器图纸1/首饰碎片3/烈焰玄铁3/火龙币32</v>
      </c>
    </row>
    <row r="511" spans="1:8" ht="15.75" x14ac:dyDescent="0.3">
      <c r="A511" s="50" t="s">
        <v>3498</v>
      </c>
      <c r="B511" s="50" t="s">
        <v>3543</v>
      </c>
      <c r="C511" s="51" t="s">
        <v>3550</v>
      </c>
      <c r="D511" s="50">
        <v>1</v>
      </c>
      <c r="E511" s="128"/>
      <c r="F511" s="50"/>
      <c r="G511" s="50">
        <v>12</v>
      </c>
      <c r="H511" s="130" t="str">
        <f t="shared" ref="H511:H519" si="91">"神器图纸"&amp;Z4&amp;"/首饰碎片"&amp;AA4&amp;"/烈焰玄铁"&amp;AB4&amp;"/火龙币"&amp;AC4</f>
        <v>神器图纸1/首饰碎片3/烈焰玄铁3/火龙币35</v>
      </c>
    </row>
    <row r="512" spans="1:8" ht="15.75" x14ac:dyDescent="0.3">
      <c r="A512" s="50" t="s">
        <v>3498</v>
      </c>
      <c r="B512" s="50" t="s">
        <v>3543</v>
      </c>
      <c r="C512" s="51" t="s">
        <v>3550</v>
      </c>
      <c r="D512" s="50">
        <v>2</v>
      </c>
      <c r="E512" s="128"/>
      <c r="F512" s="50"/>
      <c r="G512" s="50">
        <v>24</v>
      </c>
      <c r="H512" s="130" t="str">
        <f t="shared" si="91"/>
        <v>神器图纸1/首饰碎片4/烈焰玄铁4/火龙币37</v>
      </c>
    </row>
    <row r="513" spans="1:8" ht="15.75" x14ac:dyDescent="0.3">
      <c r="A513" s="50" t="s">
        <v>3498</v>
      </c>
      <c r="B513" s="50" t="s">
        <v>3543</v>
      </c>
      <c r="C513" s="51" t="s">
        <v>3550</v>
      </c>
      <c r="D513" s="50">
        <v>3</v>
      </c>
      <c r="E513" s="128"/>
      <c r="F513" s="50"/>
      <c r="G513" s="50">
        <v>36</v>
      </c>
      <c r="H513" s="130" t="str">
        <f t="shared" si="91"/>
        <v>神器图纸2/首饰碎片4/烈焰玄铁4/火龙币39</v>
      </c>
    </row>
    <row r="514" spans="1:8" ht="15.75" x14ac:dyDescent="0.3">
      <c r="A514" s="50" t="s">
        <v>3498</v>
      </c>
      <c r="B514" s="50" t="s">
        <v>3543</v>
      </c>
      <c r="C514" s="51" t="s">
        <v>3550</v>
      </c>
      <c r="D514" s="50">
        <v>4</v>
      </c>
      <c r="E514" s="128"/>
      <c r="F514" s="50"/>
      <c r="G514" s="50">
        <v>48</v>
      </c>
      <c r="H514" s="130" t="str">
        <f t="shared" si="91"/>
        <v>神器图纸2/首饰碎片4/烈焰玄铁4/火龙币41</v>
      </c>
    </row>
    <row r="515" spans="1:8" ht="15.75" x14ac:dyDescent="0.3">
      <c r="A515" s="50" t="s">
        <v>3498</v>
      </c>
      <c r="B515" s="50" t="s">
        <v>3543</v>
      </c>
      <c r="C515" s="51" t="s">
        <v>3550</v>
      </c>
      <c r="D515" s="50">
        <v>5</v>
      </c>
      <c r="E515" s="128"/>
      <c r="F515" s="50"/>
      <c r="G515" s="50">
        <v>60</v>
      </c>
      <c r="H515" s="130" t="str">
        <f t="shared" si="91"/>
        <v>神器图纸2/首饰碎片4/烈焰玄铁4/火龙币44</v>
      </c>
    </row>
    <row r="516" spans="1:8" ht="15.75" x14ac:dyDescent="0.3">
      <c r="A516" s="50" t="s">
        <v>3498</v>
      </c>
      <c r="B516" s="50" t="s">
        <v>3543</v>
      </c>
      <c r="C516" s="51" t="s">
        <v>3550</v>
      </c>
      <c r="D516" s="50">
        <v>6</v>
      </c>
      <c r="E516" s="128"/>
      <c r="F516" s="50"/>
      <c r="G516" s="50">
        <v>72</v>
      </c>
      <c r="H516" s="130" t="str">
        <f t="shared" si="91"/>
        <v>神器图纸2/首饰碎片5/烈焰玄铁5/火龙币46</v>
      </c>
    </row>
    <row r="517" spans="1:8" ht="15.75" x14ac:dyDescent="0.3">
      <c r="A517" s="50" t="s">
        <v>3498</v>
      </c>
      <c r="B517" s="50" t="s">
        <v>3543</v>
      </c>
      <c r="C517" s="51" t="s">
        <v>3550</v>
      </c>
      <c r="D517" s="50">
        <v>7</v>
      </c>
      <c r="E517" s="128"/>
      <c r="F517" s="50"/>
      <c r="G517" s="50">
        <v>84</v>
      </c>
      <c r="H517" s="130" t="str">
        <f t="shared" si="91"/>
        <v>神器图纸2/首饰碎片5/烈焰玄铁5/火龙币48</v>
      </c>
    </row>
    <row r="518" spans="1:8" ht="15.75" x14ac:dyDescent="0.3">
      <c r="A518" s="50" t="s">
        <v>3498</v>
      </c>
      <c r="B518" s="50" t="s">
        <v>3543</v>
      </c>
      <c r="C518" s="51" t="s">
        <v>3550</v>
      </c>
      <c r="D518" s="50">
        <v>8</v>
      </c>
      <c r="E518" s="128"/>
      <c r="F518" s="50"/>
      <c r="G518" s="50">
        <v>96</v>
      </c>
      <c r="H518" s="130" t="str">
        <f t="shared" si="91"/>
        <v>神器图纸2/首饰碎片5/烈焰玄铁5/火龙币50</v>
      </c>
    </row>
    <row r="519" spans="1:8" ht="15.75" x14ac:dyDescent="0.3">
      <c r="A519" s="50" t="s">
        <v>3498</v>
      </c>
      <c r="B519" s="50" t="s">
        <v>3543</v>
      </c>
      <c r="C519" s="51" t="s">
        <v>3550</v>
      </c>
      <c r="D519" s="50">
        <v>9</v>
      </c>
      <c r="E519" s="128"/>
      <c r="F519" s="50"/>
      <c r="G519" s="50">
        <v>108</v>
      </c>
      <c r="H519" s="130" t="str">
        <f t="shared" si="91"/>
        <v>神器图纸2/首饰碎片5/烈焰玄铁5/火龙币53</v>
      </c>
    </row>
    <row r="520" spans="1:8" ht="15.75" x14ac:dyDescent="0.3">
      <c r="A520" s="50" t="s">
        <v>3498</v>
      </c>
      <c r="B520" s="50" t="s">
        <v>3543</v>
      </c>
      <c r="C520" s="51" t="s">
        <v>3550</v>
      </c>
      <c r="D520" s="50">
        <v>10</v>
      </c>
      <c r="E520" s="128"/>
      <c r="F520" s="50"/>
      <c r="G520" s="50">
        <v>120</v>
      </c>
      <c r="H520" s="130"/>
    </row>
    <row r="521" spans="1:8" ht="15.75" x14ac:dyDescent="0.3">
      <c r="A521" s="50" t="s">
        <v>3498</v>
      </c>
      <c r="B521" s="50" t="s">
        <v>3543</v>
      </c>
      <c r="C521" s="51" t="s">
        <v>3551</v>
      </c>
      <c r="D521" s="50">
        <v>0</v>
      </c>
      <c r="E521" s="128"/>
      <c r="F521" s="50"/>
      <c r="G521" s="131"/>
      <c r="H521" s="130" t="str">
        <f>"神器图纸"&amp;Z3&amp;"/首饰碎片"&amp;AA3&amp;"/烈焰玄铁"&amp;AB3&amp;"/火龙币"&amp;AC3</f>
        <v>神器图纸1/首饰碎片3/烈焰玄铁3/火龙币32</v>
      </c>
    </row>
    <row r="522" spans="1:8" ht="15.75" x14ac:dyDescent="0.3">
      <c r="A522" s="50" t="s">
        <v>3498</v>
      </c>
      <c r="B522" s="50" t="s">
        <v>3543</v>
      </c>
      <c r="C522" s="51" t="s">
        <v>3551</v>
      </c>
      <c r="D522" s="50">
        <v>1</v>
      </c>
      <c r="E522" s="128"/>
      <c r="F522" s="50"/>
      <c r="G522" s="50">
        <v>13</v>
      </c>
      <c r="H522" s="130" t="str">
        <f t="shared" ref="H522:H530" si="92">"神器图纸"&amp;Z4&amp;"/首饰碎片"&amp;AA4&amp;"/烈焰玄铁"&amp;AB4&amp;"/火龙币"&amp;AC4</f>
        <v>神器图纸1/首饰碎片3/烈焰玄铁3/火龙币35</v>
      </c>
    </row>
    <row r="523" spans="1:8" ht="15.75" x14ac:dyDescent="0.3">
      <c r="A523" s="50" t="s">
        <v>3498</v>
      </c>
      <c r="B523" s="50" t="s">
        <v>3543</v>
      </c>
      <c r="C523" s="51" t="s">
        <v>3551</v>
      </c>
      <c r="D523" s="50">
        <v>2</v>
      </c>
      <c r="E523" s="128"/>
      <c r="F523" s="50"/>
      <c r="G523" s="50">
        <v>26</v>
      </c>
      <c r="H523" s="130" t="str">
        <f t="shared" si="92"/>
        <v>神器图纸1/首饰碎片4/烈焰玄铁4/火龙币37</v>
      </c>
    </row>
    <row r="524" spans="1:8" ht="15.75" x14ac:dyDescent="0.3">
      <c r="A524" s="50" t="s">
        <v>3498</v>
      </c>
      <c r="B524" s="50" t="s">
        <v>3543</v>
      </c>
      <c r="C524" s="51" t="s">
        <v>3551</v>
      </c>
      <c r="D524" s="50">
        <v>3</v>
      </c>
      <c r="E524" s="128"/>
      <c r="F524" s="50"/>
      <c r="G524" s="50">
        <v>39</v>
      </c>
      <c r="H524" s="130" t="str">
        <f t="shared" si="92"/>
        <v>神器图纸2/首饰碎片4/烈焰玄铁4/火龙币39</v>
      </c>
    </row>
    <row r="525" spans="1:8" ht="15.75" x14ac:dyDescent="0.3">
      <c r="A525" s="50" t="s">
        <v>3498</v>
      </c>
      <c r="B525" s="50" t="s">
        <v>3543</v>
      </c>
      <c r="C525" s="51" t="s">
        <v>3551</v>
      </c>
      <c r="D525" s="50">
        <v>4</v>
      </c>
      <c r="E525" s="128"/>
      <c r="F525" s="50"/>
      <c r="G525" s="50">
        <v>52</v>
      </c>
      <c r="H525" s="130" t="str">
        <f t="shared" si="92"/>
        <v>神器图纸2/首饰碎片4/烈焰玄铁4/火龙币41</v>
      </c>
    </row>
    <row r="526" spans="1:8" ht="15.75" x14ac:dyDescent="0.3">
      <c r="A526" s="50" t="s">
        <v>3498</v>
      </c>
      <c r="B526" s="50" t="s">
        <v>3543</v>
      </c>
      <c r="C526" s="51" t="s">
        <v>3551</v>
      </c>
      <c r="D526" s="50">
        <v>5</v>
      </c>
      <c r="E526" s="128"/>
      <c r="F526" s="50"/>
      <c r="G526" s="50">
        <v>65</v>
      </c>
      <c r="H526" s="130" t="str">
        <f t="shared" si="92"/>
        <v>神器图纸2/首饰碎片4/烈焰玄铁4/火龙币44</v>
      </c>
    </row>
    <row r="527" spans="1:8" ht="15.75" x14ac:dyDescent="0.3">
      <c r="A527" s="50" t="s">
        <v>3498</v>
      </c>
      <c r="B527" s="50" t="s">
        <v>3543</v>
      </c>
      <c r="C527" s="51" t="s">
        <v>3551</v>
      </c>
      <c r="D527" s="50">
        <v>6</v>
      </c>
      <c r="E527" s="128"/>
      <c r="F527" s="50"/>
      <c r="G527" s="50">
        <v>78</v>
      </c>
      <c r="H527" s="130" t="str">
        <f t="shared" si="92"/>
        <v>神器图纸2/首饰碎片5/烈焰玄铁5/火龙币46</v>
      </c>
    </row>
    <row r="528" spans="1:8" ht="15.75" x14ac:dyDescent="0.3">
      <c r="A528" s="50" t="s">
        <v>3498</v>
      </c>
      <c r="B528" s="50" t="s">
        <v>3543</v>
      </c>
      <c r="C528" s="51" t="s">
        <v>3551</v>
      </c>
      <c r="D528" s="50">
        <v>7</v>
      </c>
      <c r="E528" s="128"/>
      <c r="F528" s="50"/>
      <c r="G528" s="50">
        <v>91</v>
      </c>
      <c r="H528" s="130" t="str">
        <f t="shared" si="92"/>
        <v>神器图纸2/首饰碎片5/烈焰玄铁5/火龙币48</v>
      </c>
    </row>
    <row r="529" spans="1:8" ht="15.75" x14ac:dyDescent="0.3">
      <c r="A529" s="50" t="s">
        <v>3498</v>
      </c>
      <c r="B529" s="50" t="s">
        <v>3543</v>
      </c>
      <c r="C529" s="51" t="s">
        <v>3551</v>
      </c>
      <c r="D529" s="50">
        <v>8</v>
      </c>
      <c r="E529" s="128"/>
      <c r="F529" s="50"/>
      <c r="G529" s="50">
        <v>104</v>
      </c>
      <c r="H529" s="130" t="str">
        <f t="shared" si="92"/>
        <v>神器图纸2/首饰碎片5/烈焰玄铁5/火龙币50</v>
      </c>
    </row>
    <row r="530" spans="1:8" ht="15.75" x14ac:dyDescent="0.3">
      <c r="A530" s="50" t="s">
        <v>3498</v>
      </c>
      <c r="B530" s="50" t="s">
        <v>3543</v>
      </c>
      <c r="C530" s="51" t="s">
        <v>3551</v>
      </c>
      <c r="D530" s="50">
        <v>9</v>
      </c>
      <c r="E530" s="128"/>
      <c r="F530" s="50"/>
      <c r="G530" s="50">
        <v>117</v>
      </c>
      <c r="H530" s="130" t="str">
        <f t="shared" si="92"/>
        <v>神器图纸2/首饰碎片5/烈焰玄铁5/火龙币53</v>
      </c>
    </row>
    <row r="531" spans="1:8" ht="15.75" x14ac:dyDescent="0.3">
      <c r="A531" s="50" t="s">
        <v>3498</v>
      </c>
      <c r="B531" s="50" t="s">
        <v>3543</v>
      </c>
      <c r="C531" s="51" t="s">
        <v>3551</v>
      </c>
      <c r="D531" s="50">
        <v>10</v>
      </c>
      <c r="E531" s="128"/>
      <c r="F531" s="50"/>
      <c r="G531" s="50">
        <v>130</v>
      </c>
      <c r="H531" s="130"/>
    </row>
    <row r="532" spans="1:8" ht="15.75" x14ac:dyDescent="0.3">
      <c r="A532" s="50" t="s">
        <v>3498</v>
      </c>
      <c r="B532" s="50" t="s">
        <v>3543</v>
      </c>
      <c r="C532" s="51" t="s">
        <v>3552</v>
      </c>
      <c r="D532" s="50">
        <v>0</v>
      </c>
      <c r="E532" s="128"/>
      <c r="F532" s="50"/>
      <c r="G532" s="131"/>
      <c r="H532" s="130" t="str">
        <f>"神器图纸"&amp;Z3&amp;"/首饰碎片"&amp;AA3&amp;"/烈焰玄铁"&amp;AB3&amp;"/火龙币"&amp;AC3</f>
        <v>神器图纸1/首饰碎片3/烈焰玄铁3/火龙币32</v>
      </c>
    </row>
    <row r="533" spans="1:8" ht="15.75" x14ac:dyDescent="0.3">
      <c r="A533" s="50" t="s">
        <v>3498</v>
      </c>
      <c r="B533" s="50" t="s">
        <v>3543</v>
      </c>
      <c r="C533" s="51" t="s">
        <v>3552</v>
      </c>
      <c r="D533" s="50">
        <v>1</v>
      </c>
      <c r="E533" s="128"/>
      <c r="F533" s="50"/>
      <c r="G533" s="50">
        <v>14</v>
      </c>
      <c r="H533" s="130" t="str">
        <f t="shared" ref="H533:H541" si="93">"神器图纸"&amp;Z4&amp;"/首饰碎片"&amp;AA4&amp;"/烈焰玄铁"&amp;AB4&amp;"/火龙币"&amp;AC4</f>
        <v>神器图纸1/首饰碎片3/烈焰玄铁3/火龙币35</v>
      </c>
    </row>
    <row r="534" spans="1:8" ht="15.75" x14ac:dyDescent="0.3">
      <c r="A534" s="50" t="s">
        <v>3498</v>
      </c>
      <c r="B534" s="50" t="s">
        <v>3543</v>
      </c>
      <c r="C534" s="51" t="s">
        <v>3552</v>
      </c>
      <c r="D534" s="50">
        <v>2</v>
      </c>
      <c r="E534" s="128"/>
      <c r="F534" s="50"/>
      <c r="G534" s="50">
        <v>28</v>
      </c>
      <c r="H534" s="130" t="str">
        <f t="shared" si="93"/>
        <v>神器图纸1/首饰碎片4/烈焰玄铁4/火龙币37</v>
      </c>
    </row>
    <row r="535" spans="1:8" ht="15.75" x14ac:dyDescent="0.3">
      <c r="A535" s="50" t="s">
        <v>3498</v>
      </c>
      <c r="B535" s="50" t="s">
        <v>3543</v>
      </c>
      <c r="C535" s="51" t="s">
        <v>3552</v>
      </c>
      <c r="D535" s="50">
        <v>3</v>
      </c>
      <c r="E535" s="128"/>
      <c r="F535" s="50"/>
      <c r="G535" s="50">
        <v>42</v>
      </c>
      <c r="H535" s="130" t="str">
        <f t="shared" si="93"/>
        <v>神器图纸2/首饰碎片4/烈焰玄铁4/火龙币39</v>
      </c>
    </row>
    <row r="536" spans="1:8" ht="15.75" x14ac:dyDescent="0.3">
      <c r="A536" s="50" t="s">
        <v>3498</v>
      </c>
      <c r="B536" s="50" t="s">
        <v>3543</v>
      </c>
      <c r="C536" s="51" t="s">
        <v>3552</v>
      </c>
      <c r="D536" s="50">
        <v>4</v>
      </c>
      <c r="E536" s="128"/>
      <c r="F536" s="50"/>
      <c r="G536" s="50">
        <v>56</v>
      </c>
      <c r="H536" s="130" t="str">
        <f t="shared" si="93"/>
        <v>神器图纸2/首饰碎片4/烈焰玄铁4/火龙币41</v>
      </c>
    </row>
    <row r="537" spans="1:8" ht="15.75" x14ac:dyDescent="0.3">
      <c r="A537" s="50" t="s">
        <v>3498</v>
      </c>
      <c r="B537" s="50" t="s">
        <v>3543</v>
      </c>
      <c r="C537" s="51" t="s">
        <v>3552</v>
      </c>
      <c r="D537" s="50">
        <v>5</v>
      </c>
      <c r="E537" s="128"/>
      <c r="F537" s="50"/>
      <c r="G537" s="50">
        <v>70</v>
      </c>
      <c r="H537" s="130" t="str">
        <f t="shared" si="93"/>
        <v>神器图纸2/首饰碎片4/烈焰玄铁4/火龙币44</v>
      </c>
    </row>
    <row r="538" spans="1:8" ht="15.75" x14ac:dyDescent="0.3">
      <c r="A538" s="50" t="s">
        <v>3498</v>
      </c>
      <c r="B538" s="50" t="s">
        <v>3543</v>
      </c>
      <c r="C538" s="51" t="s">
        <v>3552</v>
      </c>
      <c r="D538" s="50">
        <v>6</v>
      </c>
      <c r="E538" s="128"/>
      <c r="F538" s="50"/>
      <c r="G538" s="50">
        <v>84</v>
      </c>
      <c r="H538" s="130" t="str">
        <f t="shared" si="93"/>
        <v>神器图纸2/首饰碎片5/烈焰玄铁5/火龙币46</v>
      </c>
    </row>
    <row r="539" spans="1:8" ht="15.75" x14ac:dyDescent="0.3">
      <c r="A539" s="50" t="s">
        <v>3498</v>
      </c>
      <c r="B539" s="50" t="s">
        <v>3543</v>
      </c>
      <c r="C539" s="51" t="s">
        <v>3552</v>
      </c>
      <c r="D539" s="50">
        <v>7</v>
      </c>
      <c r="E539" s="128"/>
      <c r="F539" s="50"/>
      <c r="G539" s="50">
        <v>98</v>
      </c>
      <c r="H539" s="130" t="str">
        <f t="shared" si="93"/>
        <v>神器图纸2/首饰碎片5/烈焰玄铁5/火龙币48</v>
      </c>
    </row>
    <row r="540" spans="1:8" ht="15.75" x14ac:dyDescent="0.3">
      <c r="A540" s="50" t="s">
        <v>3498</v>
      </c>
      <c r="B540" s="50" t="s">
        <v>3543</v>
      </c>
      <c r="C540" s="51" t="s">
        <v>3552</v>
      </c>
      <c r="D540" s="50">
        <v>8</v>
      </c>
      <c r="E540" s="128"/>
      <c r="F540" s="50"/>
      <c r="G540" s="50">
        <v>112</v>
      </c>
      <c r="H540" s="130" t="str">
        <f t="shared" si="93"/>
        <v>神器图纸2/首饰碎片5/烈焰玄铁5/火龙币50</v>
      </c>
    </row>
    <row r="541" spans="1:8" ht="15.75" x14ac:dyDescent="0.3">
      <c r="A541" s="50" t="s">
        <v>3498</v>
      </c>
      <c r="B541" s="50" t="s">
        <v>3543</v>
      </c>
      <c r="C541" s="51" t="s">
        <v>3552</v>
      </c>
      <c r="D541" s="50">
        <v>9</v>
      </c>
      <c r="E541" s="128"/>
      <c r="F541" s="50"/>
      <c r="G541" s="50">
        <v>126</v>
      </c>
      <c r="H541" s="130" t="str">
        <f t="shared" si="93"/>
        <v>神器图纸2/首饰碎片5/烈焰玄铁5/火龙币53</v>
      </c>
    </row>
    <row r="542" spans="1:8" ht="15.75" x14ac:dyDescent="0.3">
      <c r="A542" s="50" t="s">
        <v>3498</v>
      </c>
      <c r="B542" s="50" t="s">
        <v>3543</v>
      </c>
      <c r="C542" s="51" t="s">
        <v>3552</v>
      </c>
      <c r="D542" s="50">
        <v>10</v>
      </c>
      <c r="E542" s="128"/>
      <c r="F542" s="50"/>
      <c r="G542" s="50">
        <v>140</v>
      </c>
      <c r="H542" s="130"/>
    </row>
    <row r="543" spans="1:8" ht="15.75" x14ac:dyDescent="0.3">
      <c r="A543" s="50" t="s">
        <v>3498</v>
      </c>
      <c r="B543" s="50" t="s">
        <v>3543</v>
      </c>
      <c r="C543" s="51" t="s">
        <v>3553</v>
      </c>
      <c r="D543" s="50">
        <v>0</v>
      </c>
      <c r="E543" s="128"/>
      <c r="F543" s="50"/>
      <c r="G543" s="131"/>
      <c r="H543" s="130" t="str">
        <f>"神器图纸"&amp;Z3&amp;"/首饰碎片"&amp;AA3&amp;"/烈焰玄铁"&amp;AB3&amp;"/火龙币"&amp;AC3</f>
        <v>神器图纸1/首饰碎片3/烈焰玄铁3/火龙币32</v>
      </c>
    </row>
    <row r="544" spans="1:8" ht="15.75" x14ac:dyDescent="0.3">
      <c r="A544" s="50" t="s">
        <v>3498</v>
      </c>
      <c r="B544" s="50" t="s">
        <v>3543</v>
      </c>
      <c r="C544" s="51" t="s">
        <v>3553</v>
      </c>
      <c r="D544" s="50">
        <v>1</v>
      </c>
      <c r="E544" s="128"/>
      <c r="F544" s="50"/>
      <c r="G544" s="50">
        <v>15</v>
      </c>
      <c r="H544" s="130" t="str">
        <f t="shared" ref="H544:H552" si="94">"神器图纸"&amp;Z4&amp;"/首饰碎片"&amp;AA4&amp;"/烈焰玄铁"&amp;AB4&amp;"/火龙币"&amp;AC4</f>
        <v>神器图纸1/首饰碎片3/烈焰玄铁3/火龙币35</v>
      </c>
    </row>
    <row r="545" spans="1:8" ht="15.75" x14ac:dyDescent="0.3">
      <c r="A545" s="50" t="s">
        <v>3498</v>
      </c>
      <c r="B545" s="50" t="s">
        <v>3543</v>
      </c>
      <c r="C545" s="51" t="s">
        <v>3553</v>
      </c>
      <c r="D545" s="50">
        <v>2</v>
      </c>
      <c r="E545" s="128"/>
      <c r="F545" s="50"/>
      <c r="G545" s="50">
        <v>30</v>
      </c>
      <c r="H545" s="130" t="str">
        <f t="shared" si="94"/>
        <v>神器图纸1/首饰碎片4/烈焰玄铁4/火龙币37</v>
      </c>
    </row>
    <row r="546" spans="1:8" ht="15.75" x14ac:dyDescent="0.3">
      <c r="A546" s="50" t="s">
        <v>3498</v>
      </c>
      <c r="B546" s="50" t="s">
        <v>3543</v>
      </c>
      <c r="C546" s="51" t="s">
        <v>3553</v>
      </c>
      <c r="D546" s="50">
        <v>3</v>
      </c>
      <c r="E546" s="128"/>
      <c r="F546" s="50"/>
      <c r="G546" s="50">
        <v>45</v>
      </c>
      <c r="H546" s="130" t="str">
        <f t="shared" si="94"/>
        <v>神器图纸2/首饰碎片4/烈焰玄铁4/火龙币39</v>
      </c>
    </row>
    <row r="547" spans="1:8" ht="15.75" x14ac:dyDescent="0.3">
      <c r="A547" s="50" t="s">
        <v>3498</v>
      </c>
      <c r="B547" s="50" t="s">
        <v>3543</v>
      </c>
      <c r="C547" s="51" t="s">
        <v>3553</v>
      </c>
      <c r="D547" s="50">
        <v>4</v>
      </c>
      <c r="E547" s="128"/>
      <c r="F547" s="50"/>
      <c r="G547" s="50">
        <v>60</v>
      </c>
      <c r="H547" s="130" t="str">
        <f t="shared" si="94"/>
        <v>神器图纸2/首饰碎片4/烈焰玄铁4/火龙币41</v>
      </c>
    </row>
    <row r="548" spans="1:8" ht="15.75" x14ac:dyDescent="0.3">
      <c r="A548" s="50" t="s">
        <v>3498</v>
      </c>
      <c r="B548" s="50" t="s">
        <v>3543</v>
      </c>
      <c r="C548" s="51" t="s">
        <v>3553</v>
      </c>
      <c r="D548" s="50">
        <v>5</v>
      </c>
      <c r="E548" s="128"/>
      <c r="F548" s="50"/>
      <c r="G548" s="50">
        <v>75</v>
      </c>
      <c r="H548" s="130" t="str">
        <f t="shared" si="94"/>
        <v>神器图纸2/首饰碎片4/烈焰玄铁4/火龙币44</v>
      </c>
    </row>
    <row r="549" spans="1:8" ht="15.75" x14ac:dyDescent="0.3">
      <c r="A549" s="50" t="s">
        <v>3498</v>
      </c>
      <c r="B549" s="50" t="s">
        <v>3543</v>
      </c>
      <c r="C549" s="51" t="s">
        <v>3553</v>
      </c>
      <c r="D549" s="50">
        <v>6</v>
      </c>
      <c r="E549" s="128"/>
      <c r="F549" s="50"/>
      <c r="G549" s="50">
        <v>90</v>
      </c>
      <c r="H549" s="130" t="str">
        <f t="shared" si="94"/>
        <v>神器图纸2/首饰碎片5/烈焰玄铁5/火龙币46</v>
      </c>
    </row>
    <row r="550" spans="1:8" ht="15.75" x14ac:dyDescent="0.3">
      <c r="A550" s="50" t="s">
        <v>3498</v>
      </c>
      <c r="B550" s="50" t="s">
        <v>3543</v>
      </c>
      <c r="C550" s="51" t="s">
        <v>3553</v>
      </c>
      <c r="D550" s="50">
        <v>7</v>
      </c>
      <c r="E550" s="128"/>
      <c r="F550" s="50"/>
      <c r="G550" s="50">
        <v>105</v>
      </c>
      <c r="H550" s="130" t="str">
        <f t="shared" si="94"/>
        <v>神器图纸2/首饰碎片5/烈焰玄铁5/火龙币48</v>
      </c>
    </row>
    <row r="551" spans="1:8" ht="15.75" x14ac:dyDescent="0.3">
      <c r="A551" s="50" t="s">
        <v>3498</v>
      </c>
      <c r="B551" s="50" t="s">
        <v>3543</v>
      </c>
      <c r="C551" s="51" t="s">
        <v>3553</v>
      </c>
      <c r="D551" s="50">
        <v>8</v>
      </c>
      <c r="E551" s="128"/>
      <c r="F551" s="50"/>
      <c r="G551" s="50">
        <v>120</v>
      </c>
      <c r="H551" s="130" t="str">
        <f t="shared" si="94"/>
        <v>神器图纸2/首饰碎片5/烈焰玄铁5/火龙币50</v>
      </c>
    </row>
    <row r="552" spans="1:8" ht="15.75" x14ac:dyDescent="0.3">
      <c r="A552" s="50" t="s">
        <v>3498</v>
      </c>
      <c r="B552" s="50" t="s">
        <v>3543</v>
      </c>
      <c r="C552" s="51" t="s">
        <v>3553</v>
      </c>
      <c r="D552" s="50">
        <v>9</v>
      </c>
      <c r="E552" s="128"/>
      <c r="F552" s="50"/>
      <c r="G552" s="50">
        <v>135</v>
      </c>
      <c r="H552" s="130" t="str">
        <f t="shared" si="94"/>
        <v>神器图纸2/首饰碎片5/烈焰玄铁5/火龙币53</v>
      </c>
    </row>
    <row r="553" spans="1:8" ht="15.75" x14ac:dyDescent="0.3">
      <c r="A553" s="50" t="s">
        <v>3498</v>
      </c>
      <c r="B553" s="50" t="s">
        <v>3543</v>
      </c>
      <c r="C553" s="51" t="s">
        <v>3553</v>
      </c>
      <c r="D553" s="50">
        <v>10</v>
      </c>
      <c r="E553" s="128"/>
      <c r="F553" s="50"/>
      <c r="G553" s="50">
        <v>150</v>
      </c>
      <c r="H553" s="130"/>
    </row>
    <row r="554" spans="1:8" ht="15.75" x14ac:dyDescent="0.3">
      <c r="A554" s="53" t="s">
        <v>3498</v>
      </c>
      <c r="B554" s="53" t="s">
        <v>3554</v>
      </c>
      <c r="C554" s="54" t="s">
        <v>3555</v>
      </c>
      <c r="D554" s="53">
        <v>0</v>
      </c>
      <c r="E554" s="132"/>
      <c r="F554" s="53"/>
      <c r="G554" s="135"/>
      <c r="H554" s="134" t="str">
        <f>"神器图纸"&amp;Z3&amp;"/首饰碎片"&amp;AA3&amp;"/烈焰玄铁"&amp;AB3&amp;"/火龙币"&amp;AC3</f>
        <v>神器图纸1/首饰碎片3/烈焰玄铁3/火龙币32</v>
      </c>
    </row>
    <row r="555" spans="1:8" ht="15.75" x14ac:dyDescent="0.3">
      <c r="A555" s="53" t="s">
        <v>3498</v>
      </c>
      <c r="B555" s="53" t="s">
        <v>3554</v>
      </c>
      <c r="C555" s="54" t="s">
        <v>3555</v>
      </c>
      <c r="D555" s="53">
        <v>1</v>
      </c>
      <c r="E555" s="132"/>
      <c r="F555" s="53"/>
      <c r="G555" s="53">
        <v>6</v>
      </c>
      <c r="H555" s="134" t="str">
        <f t="shared" ref="H555:H563" si="95">"神器图纸"&amp;Z4&amp;"/首饰碎片"&amp;AA4&amp;"/烈焰玄铁"&amp;AB4&amp;"/火龙币"&amp;AC4</f>
        <v>神器图纸1/首饰碎片3/烈焰玄铁3/火龙币35</v>
      </c>
    </row>
    <row r="556" spans="1:8" ht="15.75" x14ac:dyDescent="0.3">
      <c r="A556" s="53" t="s">
        <v>3498</v>
      </c>
      <c r="B556" s="53" t="s">
        <v>3554</v>
      </c>
      <c r="C556" s="54" t="s">
        <v>3555</v>
      </c>
      <c r="D556" s="53">
        <v>2</v>
      </c>
      <c r="E556" s="132"/>
      <c r="F556" s="53"/>
      <c r="G556" s="53">
        <v>12</v>
      </c>
      <c r="H556" s="134" t="str">
        <f t="shared" si="95"/>
        <v>神器图纸1/首饰碎片4/烈焰玄铁4/火龙币37</v>
      </c>
    </row>
    <row r="557" spans="1:8" ht="15.75" x14ac:dyDescent="0.3">
      <c r="A557" s="53" t="s">
        <v>3498</v>
      </c>
      <c r="B557" s="53" t="s">
        <v>3554</v>
      </c>
      <c r="C557" s="54" t="s">
        <v>3555</v>
      </c>
      <c r="D557" s="53">
        <v>3</v>
      </c>
      <c r="E557" s="132"/>
      <c r="F557" s="53"/>
      <c r="G557" s="53">
        <v>18</v>
      </c>
      <c r="H557" s="134" t="str">
        <f t="shared" si="95"/>
        <v>神器图纸2/首饰碎片4/烈焰玄铁4/火龙币39</v>
      </c>
    </row>
    <row r="558" spans="1:8" ht="15.75" x14ac:dyDescent="0.3">
      <c r="A558" s="53" t="s">
        <v>3498</v>
      </c>
      <c r="B558" s="53" t="s">
        <v>3554</v>
      </c>
      <c r="C558" s="54" t="s">
        <v>3555</v>
      </c>
      <c r="D558" s="53">
        <v>4</v>
      </c>
      <c r="E558" s="132"/>
      <c r="F558" s="53"/>
      <c r="G558" s="53">
        <v>24</v>
      </c>
      <c r="H558" s="134" t="str">
        <f t="shared" si="95"/>
        <v>神器图纸2/首饰碎片4/烈焰玄铁4/火龙币41</v>
      </c>
    </row>
    <row r="559" spans="1:8" ht="15.75" x14ac:dyDescent="0.3">
      <c r="A559" s="53" t="s">
        <v>3498</v>
      </c>
      <c r="B559" s="53" t="s">
        <v>3554</v>
      </c>
      <c r="C559" s="54" t="s">
        <v>3555</v>
      </c>
      <c r="D559" s="53">
        <v>5</v>
      </c>
      <c r="E559" s="132"/>
      <c r="F559" s="53"/>
      <c r="G559" s="53">
        <v>30</v>
      </c>
      <c r="H559" s="134" t="str">
        <f t="shared" si="95"/>
        <v>神器图纸2/首饰碎片4/烈焰玄铁4/火龙币44</v>
      </c>
    </row>
    <row r="560" spans="1:8" ht="15.75" x14ac:dyDescent="0.3">
      <c r="A560" s="53" t="s">
        <v>3498</v>
      </c>
      <c r="B560" s="53" t="s">
        <v>3554</v>
      </c>
      <c r="C560" s="54" t="s">
        <v>3555</v>
      </c>
      <c r="D560" s="53">
        <v>6</v>
      </c>
      <c r="E560" s="132"/>
      <c r="F560" s="53"/>
      <c r="G560" s="53">
        <v>36</v>
      </c>
      <c r="H560" s="134" t="str">
        <f t="shared" si="95"/>
        <v>神器图纸2/首饰碎片5/烈焰玄铁5/火龙币46</v>
      </c>
    </row>
    <row r="561" spans="1:8" ht="15.75" x14ac:dyDescent="0.3">
      <c r="A561" s="53" t="s">
        <v>3498</v>
      </c>
      <c r="B561" s="53" t="s">
        <v>3554</v>
      </c>
      <c r="C561" s="54" t="s">
        <v>3555</v>
      </c>
      <c r="D561" s="53">
        <v>7</v>
      </c>
      <c r="E561" s="132"/>
      <c r="F561" s="53"/>
      <c r="G561" s="53">
        <v>42</v>
      </c>
      <c r="H561" s="134" t="str">
        <f t="shared" si="95"/>
        <v>神器图纸2/首饰碎片5/烈焰玄铁5/火龙币48</v>
      </c>
    </row>
    <row r="562" spans="1:8" ht="15.75" x14ac:dyDescent="0.3">
      <c r="A562" s="53" t="s">
        <v>3498</v>
      </c>
      <c r="B562" s="53" t="s">
        <v>3554</v>
      </c>
      <c r="C562" s="54" t="s">
        <v>3555</v>
      </c>
      <c r="D562" s="53">
        <v>8</v>
      </c>
      <c r="E562" s="132"/>
      <c r="F562" s="53"/>
      <c r="G562" s="53">
        <v>48</v>
      </c>
      <c r="H562" s="134" t="str">
        <f t="shared" si="95"/>
        <v>神器图纸2/首饰碎片5/烈焰玄铁5/火龙币50</v>
      </c>
    </row>
    <row r="563" spans="1:8" ht="15.75" x14ac:dyDescent="0.3">
      <c r="A563" s="53" t="s">
        <v>3498</v>
      </c>
      <c r="B563" s="53" t="s">
        <v>3554</v>
      </c>
      <c r="C563" s="54" t="s">
        <v>3555</v>
      </c>
      <c r="D563" s="53">
        <v>9</v>
      </c>
      <c r="E563" s="132"/>
      <c r="F563" s="53"/>
      <c r="G563" s="53">
        <v>54</v>
      </c>
      <c r="H563" s="134" t="str">
        <f t="shared" si="95"/>
        <v>神器图纸2/首饰碎片5/烈焰玄铁5/火龙币53</v>
      </c>
    </row>
    <row r="564" spans="1:8" ht="15.75" x14ac:dyDescent="0.3">
      <c r="A564" s="53" t="s">
        <v>3498</v>
      </c>
      <c r="B564" s="53" t="s">
        <v>3554</v>
      </c>
      <c r="C564" s="54" t="s">
        <v>3555</v>
      </c>
      <c r="D564" s="53">
        <v>10</v>
      </c>
      <c r="E564" s="132"/>
      <c r="F564" s="53"/>
      <c r="G564" s="53">
        <v>60</v>
      </c>
      <c r="H564" s="134"/>
    </row>
    <row r="565" spans="1:8" ht="15.75" x14ac:dyDescent="0.3">
      <c r="A565" s="53" t="s">
        <v>3498</v>
      </c>
      <c r="B565" s="53" t="s">
        <v>3554</v>
      </c>
      <c r="C565" s="54" t="s">
        <v>3556</v>
      </c>
      <c r="D565" s="53">
        <v>0</v>
      </c>
      <c r="E565" s="132"/>
      <c r="F565" s="53"/>
      <c r="G565" s="135"/>
      <c r="H565" s="134" t="str">
        <f>"神器图纸"&amp;Z3&amp;"/首饰碎片"&amp;AA3&amp;"/烈焰玄铁"&amp;AB3&amp;"/火龙币"&amp;AC3</f>
        <v>神器图纸1/首饰碎片3/烈焰玄铁3/火龙币32</v>
      </c>
    </row>
    <row r="566" spans="1:8" ht="15.75" x14ac:dyDescent="0.3">
      <c r="A566" s="53" t="s">
        <v>3498</v>
      </c>
      <c r="B566" s="53" t="s">
        <v>3554</v>
      </c>
      <c r="C566" s="54" t="s">
        <v>3556</v>
      </c>
      <c r="D566" s="53">
        <v>1</v>
      </c>
      <c r="E566" s="132"/>
      <c r="F566" s="53"/>
      <c r="G566" s="53">
        <v>7</v>
      </c>
      <c r="H566" s="134" t="str">
        <f t="shared" ref="H566:H574" si="96">"神器图纸"&amp;Z4&amp;"/首饰碎片"&amp;AA4&amp;"/烈焰玄铁"&amp;AB4&amp;"/火龙币"&amp;AC4</f>
        <v>神器图纸1/首饰碎片3/烈焰玄铁3/火龙币35</v>
      </c>
    </row>
    <row r="567" spans="1:8" ht="15.75" x14ac:dyDescent="0.3">
      <c r="A567" s="53" t="s">
        <v>3498</v>
      </c>
      <c r="B567" s="53" t="s">
        <v>3554</v>
      </c>
      <c r="C567" s="54" t="s">
        <v>3556</v>
      </c>
      <c r="D567" s="53">
        <v>2</v>
      </c>
      <c r="E567" s="132"/>
      <c r="F567" s="53"/>
      <c r="G567" s="53">
        <v>14</v>
      </c>
      <c r="H567" s="134" t="str">
        <f t="shared" si="96"/>
        <v>神器图纸1/首饰碎片4/烈焰玄铁4/火龙币37</v>
      </c>
    </row>
    <row r="568" spans="1:8" ht="15.75" x14ac:dyDescent="0.3">
      <c r="A568" s="53" t="s">
        <v>3498</v>
      </c>
      <c r="B568" s="53" t="s">
        <v>3554</v>
      </c>
      <c r="C568" s="54" t="s">
        <v>3556</v>
      </c>
      <c r="D568" s="53">
        <v>3</v>
      </c>
      <c r="E568" s="132"/>
      <c r="F568" s="53"/>
      <c r="G568" s="53">
        <v>21</v>
      </c>
      <c r="H568" s="134" t="str">
        <f t="shared" si="96"/>
        <v>神器图纸2/首饰碎片4/烈焰玄铁4/火龙币39</v>
      </c>
    </row>
    <row r="569" spans="1:8" ht="15.75" x14ac:dyDescent="0.3">
      <c r="A569" s="53" t="s">
        <v>3498</v>
      </c>
      <c r="B569" s="53" t="s">
        <v>3554</v>
      </c>
      <c r="C569" s="54" t="s">
        <v>3556</v>
      </c>
      <c r="D569" s="53">
        <v>4</v>
      </c>
      <c r="E569" s="132"/>
      <c r="F569" s="53"/>
      <c r="G569" s="53">
        <v>28</v>
      </c>
      <c r="H569" s="134" t="str">
        <f t="shared" si="96"/>
        <v>神器图纸2/首饰碎片4/烈焰玄铁4/火龙币41</v>
      </c>
    </row>
    <row r="570" spans="1:8" ht="15.75" x14ac:dyDescent="0.3">
      <c r="A570" s="53" t="s">
        <v>3498</v>
      </c>
      <c r="B570" s="53" t="s">
        <v>3554</v>
      </c>
      <c r="C570" s="54" t="s">
        <v>3556</v>
      </c>
      <c r="D570" s="53">
        <v>5</v>
      </c>
      <c r="E570" s="132"/>
      <c r="F570" s="53"/>
      <c r="G570" s="53">
        <v>35</v>
      </c>
      <c r="H570" s="134" t="str">
        <f t="shared" si="96"/>
        <v>神器图纸2/首饰碎片4/烈焰玄铁4/火龙币44</v>
      </c>
    </row>
    <row r="571" spans="1:8" ht="15.75" x14ac:dyDescent="0.3">
      <c r="A571" s="53" t="s">
        <v>3498</v>
      </c>
      <c r="B571" s="53" t="s">
        <v>3554</v>
      </c>
      <c r="C571" s="54" t="s">
        <v>3556</v>
      </c>
      <c r="D571" s="53">
        <v>6</v>
      </c>
      <c r="E571" s="132"/>
      <c r="F571" s="53"/>
      <c r="G571" s="53">
        <v>42</v>
      </c>
      <c r="H571" s="134" t="str">
        <f t="shared" si="96"/>
        <v>神器图纸2/首饰碎片5/烈焰玄铁5/火龙币46</v>
      </c>
    </row>
    <row r="572" spans="1:8" ht="15.75" x14ac:dyDescent="0.3">
      <c r="A572" s="53" t="s">
        <v>3498</v>
      </c>
      <c r="B572" s="53" t="s">
        <v>3554</v>
      </c>
      <c r="C572" s="54" t="s">
        <v>3556</v>
      </c>
      <c r="D572" s="53">
        <v>7</v>
      </c>
      <c r="E572" s="132"/>
      <c r="F572" s="53"/>
      <c r="G572" s="53">
        <v>49</v>
      </c>
      <c r="H572" s="134" t="str">
        <f t="shared" si="96"/>
        <v>神器图纸2/首饰碎片5/烈焰玄铁5/火龙币48</v>
      </c>
    </row>
    <row r="573" spans="1:8" ht="15.75" x14ac:dyDescent="0.3">
      <c r="A573" s="53" t="s">
        <v>3498</v>
      </c>
      <c r="B573" s="53" t="s">
        <v>3554</v>
      </c>
      <c r="C573" s="54" t="s">
        <v>3556</v>
      </c>
      <c r="D573" s="53">
        <v>8</v>
      </c>
      <c r="E573" s="132"/>
      <c r="F573" s="53"/>
      <c r="G573" s="53">
        <v>56</v>
      </c>
      <c r="H573" s="134" t="str">
        <f t="shared" si="96"/>
        <v>神器图纸2/首饰碎片5/烈焰玄铁5/火龙币50</v>
      </c>
    </row>
    <row r="574" spans="1:8" ht="15.75" x14ac:dyDescent="0.3">
      <c r="A574" s="53" t="s">
        <v>3498</v>
      </c>
      <c r="B574" s="53" t="s">
        <v>3554</v>
      </c>
      <c r="C574" s="54" t="s">
        <v>3556</v>
      </c>
      <c r="D574" s="53">
        <v>9</v>
      </c>
      <c r="E574" s="132"/>
      <c r="F574" s="53"/>
      <c r="G574" s="53">
        <v>63</v>
      </c>
      <c r="H574" s="134" t="str">
        <f t="shared" si="96"/>
        <v>神器图纸2/首饰碎片5/烈焰玄铁5/火龙币53</v>
      </c>
    </row>
    <row r="575" spans="1:8" ht="15.75" x14ac:dyDescent="0.3">
      <c r="A575" s="53" t="s">
        <v>3498</v>
      </c>
      <c r="B575" s="53" t="s">
        <v>3554</v>
      </c>
      <c r="C575" s="54" t="s">
        <v>3556</v>
      </c>
      <c r="D575" s="53">
        <v>10</v>
      </c>
      <c r="E575" s="132"/>
      <c r="F575" s="53"/>
      <c r="G575" s="53">
        <v>70</v>
      </c>
      <c r="H575" s="134"/>
    </row>
    <row r="576" spans="1:8" ht="15.75" x14ac:dyDescent="0.3">
      <c r="A576" s="53" t="s">
        <v>3498</v>
      </c>
      <c r="B576" s="53" t="s">
        <v>3554</v>
      </c>
      <c r="C576" s="54" t="s">
        <v>3557</v>
      </c>
      <c r="D576" s="53">
        <v>0</v>
      </c>
      <c r="E576" s="132"/>
      <c r="F576" s="53"/>
      <c r="G576" s="135"/>
      <c r="H576" s="134" t="str">
        <f>"神器图纸"&amp;Z3&amp;"/首饰碎片"&amp;AA3&amp;"/烈焰玄铁"&amp;AB3&amp;"/火龙币"&amp;AC3</f>
        <v>神器图纸1/首饰碎片3/烈焰玄铁3/火龙币32</v>
      </c>
    </row>
    <row r="577" spans="1:8" ht="15.75" x14ac:dyDescent="0.3">
      <c r="A577" s="53" t="s">
        <v>3498</v>
      </c>
      <c r="B577" s="53" t="s">
        <v>3554</v>
      </c>
      <c r="C577" s="54" t="s">
        <v>3557</v>
      </c>
      <c r="D577" s="53">
        <v>1</v>
      </c>
      <c r="E577" s="132"/>
      <c r="F577" s="53"/>
      <c r="G577" s="53">
        <v>8</v>
      </c>
      <c r="H577" s="134" t="str">
        <f t="shared" ref="H577:H585" si="97">"神器图纸"&amp;Z4&amp;"/首饰碎片"&amp;AA4&amp;"/烈焰玄铁"&amp;AB4&amp;"/火龙币"&amp;AC4</f>
        <v>神器图纸1/首饰碎片3/烈焰玄铁3/火龙币35</v>
      </c>
    </row>
    <row r="578" spans="1:8" ht="15.75" x14ac:dyDescent="0.3">
      <c r="A578" s="53" t="s">
        <v>3498</v>
      </c>
      <c r="B578" s="53" t="s">
        <v>3554</v>
      </c>
      <c r="C578" s="54" t="s">
        <v>3557</v>
      </c>
      <c r="D578" s="53">
        <v>2</v>
      </c>
      <c r="E578" s="132"/>
      <c r="F578" s="53"/>
      <c r="G578" s="53">
        <v>16</v>
      </c>
      <c r="H578" s="134" t="str">
        <f t="shared" si="97"/>
        <v>神器图纸1/首饰碎片4/烈焰玄铁4/火龙币37</v>
      </c>
    </row>
    <row r="579" spans="1:8" ht="15.75" x14ac:dyDescent="0.3">
      <c r="A579" s="53" t="s">
        <v>3498</v>
      </c>
      <c r="B579" s="53" t="s">
        <v>3554</v>
      </c>
      <c r="C579" s="54" t="s">
        <v>3557</v>
      </c>
      <c r="D579" s="53">
        <v>3</v>
      </c>
      <c r="E579" s="132"/>
      <c r="F579" s="53"/>
      <c r="G579" s="53">
        <v>24</v>
      </c>
      <c r="H579" s="134" t="str">
        <f t="shared" si="97"/>
        <v>神器图纸2/首饰碎片4/烈焰玄铁4/火龙币39</v>
      </c>
    </row>
    <row r="580" spans="1:8" ht="15.75" x14ac:dyDescent="0.3">
      <c r="A580" s="53" t="s">
        <v>3498</v>
      </c>
      <c r="B580" s="53" t="s">
        <v>3554</v>
      </c>
      <c r="C580" s="54" t="s">
        <v>3557</v>
      </c>
      <c r="D580" s="53">
        <v>4</v>
      </c>
      <c r="E580" s="132"/>
      <c r="F580" s="53"/>
      <c r="G580" s="53">
        <v>32</v>
      </c>
      <c r="H580" s="134" t="str">
        <f t="shared" si="97"/>
        <v>神器图纸2/首饰碎片4/烈焰玄铁4/火龙币41</v>
      </c>
    </row>
    <row r="581" spans="1:8" ht="15.75" x14ac:dyDescent="0.3">
      <c r="A581" s="53" t="s">
        <v>3498</v>
      </c>
      <c r="B581" s="53" t="s">
        <v>3554</v>
      </c>
      <c r="C581" s="54" t="s">
        <v>3557</v>
      </c>
      <c r="D581" s="53">
        <v>5</v>
      </c>
      <c r="E581" s="132"/>
      <c r="F581" s="53"/>
      <c r="G581" s="53">
        <v>40</v>
      </c>
      <c r="H581" s="134" t="str">
        <f t="shared" si="97"/>
        <v>神器图纸2/首饰碎片4/烈焰玄铁4/火龙币44</v>
      </c>
    </row>
    <row r="582" spans="1:8" ht="15.75" x14ac:dyDescent="0.3">
      <c r="A582" s="53" t="s">
        <v>3498</v>
      </c>
      <c r="B582" s="53" t="s">
        <v>3554</v>
      </c>
      <c r="C582" s="54" t="s">
        <v>3557</v>
      </c>
      <c r="D582" s="53">
        <v>6</v>
      </c>
      <c r="E582" s="132"/>
      <c r="F582" s="53"/>
      <c r="G582" s="53">
        <v>48</v>
      </c>
      <c r="H582" s="134" t="str">
        <f t="shared" si="97"/>
        <v>神器图纸2/首饰碎片5/烈焰玄铁5/火龙币46</v>
      </c>
    </row>
    <row r="583" spans="1:8" ht="15.75" x14ac:dyDescent="0.3">
      <c r="A583" s="53" t="s">
        <v>3498</v>
      </c>
      <c r="B583" s="53" t="s">
        <v>3554</v>
      </c>
      <c r="C583" s="54" t="s">
        <v>3557</v>
      </c>
      <c r="D583" s="53">
        <v>7</v>
      </c>
      <c r="E583" s="132"/>
      <c r="F583" s="53"/>
      <c r="G583" s="53">
        <v>56</v>
      </c>
      <c r="H583" s="134" t="str">
        <f t="shared" si="97"/>
        <v>神器图纸2/首饰碎片5/烈焰玄铁5/火龙币48</v>
      </c>
    </row>
    <row r="584" spans="1:8" ht="15.75" x14ac:dyDescent="0.3">
      <c r="A584" s="53" t="s">
        <v>3498</v>
      </c>
      <c r="B584" s="53" t="s">
        <v>3554</v>
      </c>
      <c r="C584" s="54" t="s">
        <v>3557</v>
      </c>
      <c r="D584" s="53">
        <v>8</v>
      </c>
      <c r="E584" s="132"/>
      <c r="F584" s="53"/>
      <c r="G584" s="53">
        <v>64</v>
      </c>
      <c r="H584" s="134" t="str">
        <f t="shared" si="97"/>
        <v>神器图纸2/首饰碎片5/烈焰玄铁5/火龙币50</v>
      </c>
    </row>
    <row r="585" spans="1:8" ht="15.75" x14ac:dyDescent="0.3">
      <c r="A585" s="53" t="s">
        <v>3498</v>
      </c>
      <c r="B585" s="53" t="s">
        <v>3554</v>
      </c>
      <c r="C585" s="54" t="s">
        <v>3557</v>
      </c>
      <c r="D585" s="53">
        <v>9</v>
      </c>
      <c r="E585" s="132"/>
      <c r="F585" s="53"/>
      <c r="G585" s="53">
        <v>72</v>
      </c>
      <c r="H585" s="134" t="str">
        <f t="shared" si="97"/>
        <v>神器图纸2/首饰碎片5/烈焰玄铁5/火龙币53</v>
      </c>
    </row>
    <row r="586" spans="1:8" ht="15.75" x14ac:dyDescent="0.3">
      <c r="A586" s="53" t="s">
        <v>3498</v>
      </c>
      <c r="B586" s="53" t="s">
        <v>3554</v>
      </c>
      <c r="C586" s="54" t="s">
        <v>3557</v>
      </c>
      <c r="D586" s="53">
        <v>10</v>
      </c>
      <c r="E586" s="132"/>
      <c r="F586" s="53"/>
      <c r="G586" s="53">
        <v>80</v>
      </c>
      <c r="H586" s="134"/>
    </row>
    <row r="587" spans="1:8" ht="15.75" x14ac:dyDescent="0.3">
      <c r="A587" s="53" t="s">
        <v>3498</v>
      </c>
      <c r="B587" s="53" t="s">
        <v>3554</v>
      </c>
      <c r="C587" s="54" t="s">
        <v>3558</v>
      </c>
      <c r="D587" s="53">
        <v>0</v>
      </c>
      <c r="E587" s="132"/>
      <c r="F587" s="53"/>
      <c r="G587" s="135"/>
      <c r="H587" s="134" t="str">
        <f>"神器图纸"&amp;Z3&amp;"/首饰碎片"&amp;AA3&amp;"/烈焰玄铁"&amp;AB3&amp;"/火龙币"&amp;AC3</f>
        <v>神器图纸1/首饰碎片3/烈焰玄铁3/火龙币32</v>
      </c>
    </row>
    <row r="588" spans="1:8" ht="15.75" x14ac:dyDescent="0.3">
      <c r="A588" s="53" t="s">
        <v>3498</v>
      </c>
      <c r="B588" s="53" t="s">
        <v>3554</v>
      </c>
      <c r="C588" s="54" t="s">
        <v>3558</v>
      </c>
      <c r="D588" s="53">
        <v>1</v>
      </c>
      <c r="E588" s="132"/>
      <c r="F588" s="53"/>
      <c r="G588" s="53">
        <v>9</v>
      </c>
      <c r="H588" s="134" t="str">
        <f t="shared" ref="H588:H596" si="98">"神器图纸"&amp;Z4&amp;"/首饰碎片"&amp;AA4&amp;"/烈焰玄铁"&amp;AB4&amp;"/火龙币"&amp;AC4</f>
        <v>神器图纸1/首饰碎片3/烈焰玄铁3/火龙币35</v>
      </c>
    </row>
    <row r="589" spans="1:8" ht="15.75" x14ac:dyDescent="0.3">
      <c r="A589" s="53" t="s">
        <v>3498</v>
      </c>
      <c r="B589" s="53" t="s">
        <v>3554</v>
      </c>
      <c r="C589" s="54" t="s">
        <v>3558</v>
      </c>
      <c r="D589" s="53">
        <v>2</v>
      </c>
      <c r="E589" s="132"/>
      <c r="F589" s="53"/>
      <c r="G589" s="53">
        <v>18</v>
      </c>
      <c r="H589" s="134" t="str">
        <f t="shared" si="98"/>
        <v>神器图纸1/首饰碎片4/烈焰玄铁4/火龙币37</v>
      </c>
    </row>
    <row r="590" spans="1:8" ht="15.75" x14ac:dyDescent="0.3">
      <c r="A590" s="53" t="s">
        <v>3498</v>
      </c>
      <c r="B590" s="53" t="s">
        <v>3554</v>
      </c>
      <c r="C590" s="54" t="s">
        <v>3558</v>
      </c>
      <c r="D590" s="53">
        <v>3</v>
      </c>
      <c r="E590" s="132"/>
      <c r="F590" s="53"/>
      <c r="G590" s="53">
        <v>27</v>
      </c>
      <c r="H590" s="134" t="str">
        <f t="shared" si="98"/>
        <v>神器图纸2/首饰碎片4/烈焰玄铁4/火龙币39</v>
      </c>
    </row>
    <row r="591" spans="1:8" ht="15.75" x14ac:dyDescent="0.3">
      <c r="A591" s="53" t="s">
        <v>3498</v>
      </c>
      <c r="B591" s="53" t="s">
        <v>3554</v>
      </c>
      <c r="C591" s="54" t="s">
        <v>3558</v>
      </c>
      <c r="D591" s="53">
        <v>4</v>
      </c>
      <c r="E591" s="132"/>
      <c r="F591" s="53"/>
      <c r="G591" s="53">
        <v>36</v>
      </c>
      <c r="H591" s="134" t="str">
        <f t="shared" si="98"/>
        <v>神器图纸2/首饰碎片4/烈焰玄铁4/火龙币41</v>
      </c>
    </row>
    <row r="592" spans="1:8" ht="15.75" x14ac:dyDescent="0.3">
      <c r="A592" s="53" t="s">
        <v>3498</v>
      </c>
      <c r="B592" s="53" t="s">
        <v>3554</v>
      </c>
      <c r="C592" s="54" t="s">
        <v>3558</v>
      </c>
      <c r="D592" s="53">
        <v>5</v>
      </c>
      <c r="E592" s="132"/>
      <c r="F592" s="53"/>
      <c r="G592" s="53">
        <v>45</v>
      </c>
      <c r="H592" s="134" t="str">
        <f t="shared" si="98"/>
        <v>神器图纸2/首饰碎片4/烈焰玄铁4/火龙币44</v>
      </c>
    </row>
    <row r="593" spans="1:8" ht="15.75" x14ac:dyDescent="0.3">
      <c r="A593" s="53" t="s">
        <v>3498</v>
      </c>
      <c r="B593" s="53" t="s">
        <v>3554</v>
      </c>
      <c r="C593" s="54" t="s">
        <v>3558</v>
      </c>
      <c r="D593" s="53">
        <v>6</v>
      </c>
      <c r="E593" s="132"/>
      <c r="F593" s="53"/>
      <c r="G593" s="53">
        <v>54</v>
      </c>
      <c r="H593" s="134" t="str">
        <f t="shared" si="98"/>
        <v>神器图纸2/首饰碎片5/烈焰玄铁5/火龙币46</v>
      </c>
    </row>
    <row r="594" spans="1:8" ht="15.75" x14ac:dyDescent="0.3">
      <c r="A594" s="53" t="s">
        <v>3498</v>
      </c>
      <c r="B594" s="53" t="s">
        <v>3554</v>
      </c>
      <c r="C594" s="54" t="s">
        <v>3558</v>
      </c>
      <c r="D594" s="53">
        <v>7</v>
      </c>
      <c r="E594" s="132"/>
      <c r="F594" s="53"/>
      <c r="G594" s="53">
        <v>63</v>
      </c>
      <c r="H594" s="134" t="str">
        <f t="shared" si="98"/>
        <v>神器图纸2/首饰碎片5/烈焰玄铁5/火龙币48</v>
      </c>
    </row>
    <row r="595" spans="1:8" ht="15.75" x14ac:dyDescent="0.3">
      <c r="A595" s="53" t="s">
        <v>3498</v>
      </c>
      <c r="B595" s="53" t="s">
        <v>3554</v>
      </c>
      <c r="C595" s="54" t="s">
        <v>3558</v>
      </c>
      <c r="D595" s="53">
        <v>8</v>
      </c>
      <c r="E595" s="132"/>
      <c r="F595" s="53"/>
      <c r="G595" s="53">
        <v>72</v>
      </c>
      <c r="H595" s="134" t="str">
        <f t="shared" si="98"/>
        <v>神器图纸2/首饰碎片5/烈焰玄铁5/火龙币50</v>
      </c>
    </row>
    <row r="596" spans="1:8" ht="15.75" x14ac:dyDescent="0.3">
      <c r="A596" s="53" t="s">
        <v>3498</v>
      </c>
      <c r="B596" s="53" t="s">
        <v>3554</v>
      </c>
      <c r="C596" s="54" t="s">
        <v>3558</v>
      </c>
      <c r="D596" s="53">
        <v>9</v>
      </c>
      <c r="E596" s="132"/>
      <c r="F596" s="53"/>
      <c r="G596" s="53">
        <v>81</v>
      </c>
      <c r="H596" s="134" t="str">
        <f t="shared" si="98"/>
        <v>神器图纸2/首饰碎片5/烈焰玄铁5/火龙币53</v>
      </c>
    </row>
    <row r="597" spans="1:8" ht="15.75" x14ac:dyDescent="0.3">
      <c r="A597" s="53" t="s">
        <v>3498</v>
      </c>
      <c r="B597" s="53" t="s">
        <v>3554</v>
      </c>
      <c r="C597" s="54" t="s">
        <v>3558</v>
      </c>
      <c r="D597" s="53">
        <v>10</v>
      </c>
      <c r="E597" s="132"/>
      <c r="F597" s="53"/>
      <c r="G597" s="53">
        <v>90</v>
      </c>
      <c r="H597" s="134"/>
    </row>
    <row r="598" spans="1:8" ht="15.75" x14ac:dyDescent="0.3">
      <c r="A598" s="53" t="s">
        <v>3498</v>
      </c>
      <c r="B598" s="53" t="s">
        <v>3554</v>
      </c>
      <c r="C598" s="54" t="s">
        <v>3559</v>
      </c>
      <c r="D598" s="53">
        <v>0</v>
      </c>
      <c r="E598" s="132"/>
      <c r="F598" s="53"/>
      <c r="G598" s="135"/>
      <c r="H598" s="134" t="str">
        <f>"神器图纸"&amp;Z3&amp;"/首饰碎片"&amp;AA3&amp;"/烈焰玄铁"&amp;AB3&amp;"/火龙币"&amp;AC3</f>
        <v>神器图纸1/首饰碎片3/烈焰玄铁3/火龙币32</v>
      </c>
    </row>
    <row r="599" spans="1:8" ht="15.75" x14ac:dyDescent="0.3">
      <c r="A599" s="53" t="s">
        <v>3498</v>
      </c>
      <c r="B599" s="53" t="s">
        <v>3554</v>
      </c>
      <c r="C599" s="54" t="s">
        <v>3559</v>
      </c>
      <c r="D599" s="53">
        <v>1</v>
      </c>
      <c r="E599" s="132"/>
      <c r="F599" s="53"/>
      <c r="G599" s="53">
        <v>10</v>
      </c>
      <c r="H599" s="134" t="str">
        <f t="shared" ref="H599:H607" si="99">"神器图纸"&amp;Z4&amp;"/首饰碎片"&amp;AA4&amp;"/烈焰玄铁"&amp;AB4&amp;"/火龙币"&amp;AC4</f>
        <v>神器图纸1/首饰碎片3/烈焰玄铁3/火龙币35</v>
      </c>
    </row>
    <row r="600" spans="1:8" ht="15.75" x14ac:dyDescent="0.3">
      <c r="A600" s="53" t="s">
        <v>3498</v>
      </c>
      <c r="B600" s="53" t="s">
        <v>3554</v>
      </c>
      <c r="C600" s="54" t="s">
        <v>3559</v>
      </c>
      <c r="D600" s="53">
        <v>2</v>
      </c>
      <c r="E600" s="132"/>
      <c r="F600" s="53"/>
      <c r="G600" s="53">
        <v>20</v>
      </c>
      <c r="H600" s="134" t="str">
        <f t="shared" si="99"/>
        <v>神器图纸1/首饰碎片4/烈焰玄铁4/火龙币37</v>
      </c>
    </row>
    <row r="601" spans="1:8" ht="15.75" x14ac:dyDescent="0.3">
      <c r="A601" s="53" t="s">
        <v>3498</v>
      </c>
      <c r="B601" s="53" t="s">
        <v>3554</v>
      </c>
      <c r="C601" s="54" t="s">
        <v>3559</v>
      </c>
      <c r="D601" s="53">
        <v>3</v>
      </c>
      <c r="E601" s="132"/>
      <c r="F601" s="53"/>
      <c r="G601" s="53">
        <v>30</v>
      </c>
      <c r="H601" s="134" t="str">
        <f t="shared" si="99"/>
        <v>神器图纸2/首饰碎片4/烈焰玄铁4/火龙币39</v>
      </c>
    </row>
    <row r="602" spans="1:8" ht="15.75" x14ac:dyDescent="0.3">
      <c r="A602" s="53" t="s">
        <v>3498</v>
      </c>
      <c r="B602" s="53" t="s">
        <v>3554</v>
      </c>
      <c r="C602" s="54" t="s">
        <v>3559</v>
      </c>
      <c r="D602" s="53">
        <v>4</v>
      </c>
      <c r="E602" s="132"/>
      <c r="F602" s="53"/>
      <c r="G602" s="53">
        <v>40</v>
      </c>
      <c r="H602" s="134" t="str">
        <f t="shared" si="99"/>
        <v>神器图纸2/首饰碎片4/烈焰玄铁4/火龙币41</v>
      </c>
    </row>
    <row r="603" spans="1:8" ht="15.75" x14ac:dyDescent="0.3">
      <c r="A603" s="53" t="s">
        <v>3498</v>
      </c>
      <c r="B603" s="53" t="s">
        <v>3554</v>
      </c>
      <c r="C603" s="54" t="s">
        <v>3559</v>
      </c>
      <c r="D603" s="53">
        <v>5</v>
      </c>
      <c r="E603" s="132"/>
      <c r="F603" s="53"/>
      <c r="G603" s="53">
        <v>50</v>
      </c>
      <c r="H603" s="134" t="str">
        <f t="shared" si="99"/>
        <v>神器图纸2/首饰碎片4/烈焰玄铁4/火龙币44</v>
      </c>
    </row>
    <row r="604" spans="1:8" ht="15.75" x14ac:dyDescent="0.3">
      <c r="A604" s="53" t="s">
        <v>3498</v>
      </c>
      <c r="B604" s="53" t="s">
        <v>3554</v>
      </c>
      <c r="C604" s="54" t="s">
        <v>3559</v>
      </c>
      <c r="D604" s="53">
        <v>6</v>
      </c>
      <c r="E604" s="132"/>
      <c r="F604" s="53"/>
      <c r="G604" s="53">
        <v>60</v>
      </c>
      <c r="H604" s="134" t="str">
        <f t="shared" si="99"/>
        <v>神器图纸2/首饰碎片5/烈焰玄铁5/火龙币46</v>
      </c>
    </row>
    <row r="605" spans="1:8" ht="15.75" x14ac:dyDescent="0.3">
      <c r="A605" s="53" t="s">
        <v>3498</v>
      </c>
      <c r="B605" s="53" t="s">
        <v>3554</v>
      </c>
      <c r="C605" s="54" t="s">
        <v>3559</v>
      </c>
      <c r="D605" s="53">
        <v>7</v>
      </c>
      <c r="E605" s="132"/>
      <c r="F605" s="53"/>
      <c r="G605" s="53">
        <v>70</v>
      </c>
      <c r="H605" s="134" t="str">
        <f t="shared" si="99"/>
        <v>神器图纸2/首饰碎片5/烈焰玄铁5/火龙币48</v>
      </c>
    </row>
    <row r="606" spans="1:8" ht="15.75" x14ac:dyDescent="0.3">
      <c r="A606" s="53" t="s">
        <v>3498</v>
      </c>
      <c r="B606" s="53" t="s">
        <v>3554</v>
      </c>
      <c r="C606" s="54" t="s">
        <v>3559</v>
      </c>
      <c r="D606" s="53">
        <v>8</v>
      </c>
      <c r="E606" s="132"/>
      <c r="F606" s="53"/>
      <c r="G606" s="53">
        <v>80</v>
      </c>
      <c r="H606" s="134" t="str">
        <f t="shared" si="99"/>
        <v>神器图纸2/首饰碎片5/烈焰玄铁5/火龙币50</v>
      </c>
    </row>
    <row r="607" spans="1:8" ht="15.75" x14ac:dyDescent="0.3">
      <c r="A607" s="53" t="s">
        <v>3498</v>
      </c>
      <c r="B607" s="53" t="s">
        <v>3554</v>
      </c>
      <c r="C607" s="54" t="s">
        <v>3559</v>
      </c>
      <c r="D607" s="53">
        <v>9</v>
      </c>
      <c r="E607" s="132"/>
      <c r="F607" s="53"/>
      <c r="G607" s="53">
        <v>90</v>
      </c>
      <c r="H607" s="134" t="str">
        <f t="shared" si="99"/>
        <v>神器图纸2/首饰碎片5/烈焰玄铁5/火龙币53</v>
      </c>
    </row>
    <row r="608" spans="1:8" ht="15.75" x14ac:dyDescent="0.3">
      <c r="A608" s="53" t="s">
        <v>3498</v>
      </c>
      <c r="B608" s="53" t="s">
        <v>3554</v>
      </c>
      <c r="C608" s="54" t="s">
        <v>3559</v>
      </c>
      <c r="D608" s="53">
        <v>10</v>
      </c>
      <c r="E608" s="132"/>
      <c r="F608" s="53"/>
      <c r="G608" s="53">
        <v>100</v>
      </c>
      <c r="H608" s="134"/>
    </row>
    <row r="609" spans="1:8" ht="15.75" x14ac:dyDescent="0.3">
      <c r="A609" s="53" t="s">
        <v>3498</v>
      </c>
      <c r="B609" s="53" t="s">
        <v>3554</v>
      </c>
      <c r="C609" s="54" t="s">
        <v>3560</v>
      </c>
      <c r="D609" s="53">
        <v>0</v>
      </c>
      <c r="E609" s="132"/>
      <c r="F609" s="53"/>
      <c r="G609" s="135"/>
      <c r="H609" s="134" t="str">
        <f>"神器图纸"&amp;Z3&amp;"/首饰碎片"&amp;AA3&amp;"/烈焰玄铁"&amp;AB3&amp;"/火龙币"&amp;AC3</f>
        <v>神器图纸1/首饰碎片3/烈焰玄铁3/火龙币32</v>
      </c>
    </row>
    <row r="610" spans="1:8" ht="15.75" x14ac:dyDescent="0.3">
      <c r="A610" s="53" t="s">
        <v>3498</v>
      </c>
      <c r="B610" s="53" t="s">
        <v>3554</v>
      </c>
      <c r="C610" s="54" t="s">
        <v>3560</v>
      </c>
      <c r="D610" s="53">
        <v>1</v>
      </c>
      <c r="E610" s="132"/>
      <c r="F610" s="53"/>
      <c r="G610" s="53">
        <v>11</v>
      </c>
      <c r="H610" s="134" t="str">
        <f t="shared" ref="H610:H618" si="100">"神器图纸"&amp;Z4&amp;"/首饰碎片"&amp;AA4&amp;"/烈焰玄铁"&amp;AB4&amp;"/火龙币"&amp;AC4</f>
        <v>神器图纸1/首饰碎片3/烈焰玄铁3/火龙币35</v>
      </c>
    </row>
    <row r="611" spans="1:8" ht="15.75" x14ac:dyDescent="0.3">
      <c r="A611" s="53" t="s">
        <v>3498</v>
      </c>
      <c r="B611" s="53" t="s">
        <v>3554</v>
      </c>
      <c r="C611" s="54" t="s">
        <v>3560</v>
      </c>
      <c r="D611" s="53">
        <v>2</v>
      </c>
      <c r="E611" s="132"/>
      <c r="F611" s="53"/>
      <c r="G611" s="53">
        <v>22</v>
      </c>
      <c r="H611" s="134" t="str">
        <f t="shared" si="100"/>
        <v>神器图纸1/首饰碎片4/烈焰玄铁4/火龙币37</v>
      </c>
    </row>
    <row r="612" spans="1:8" ht="15.75" x14ac:dyDescent="0.3">
      <c r="A612" s="53" t="s">
        <v>3498</v>
      </c>
      <c r="B612" s="53" t="s">
        <v>3554</v>
      </c>
      <c r="C612" s="54" t="s">
        <v>3560</v>
      </c>
      <c r="D612" s="53">
        <v>3</v>
      </c>
      <c r="E612" s="132"/>
      <c r="F612" s="53"/>
      <c r="G612" s="53">
        <v>33</v>
      </c>
      <c r="H612" s="134" t="str">
        <f t="shared" si="100"/>
        <v>神器图纸2/首饰碎片4/烈焰玄铁4/火龙币39</v>
      </c>
    </row>
    <row r="613" spans="1:8" ht="15.75" x14ac:dyDescent="0.3">
      <c r="A613" s="53" t="s">
        <v>3498</v>
      </c>
      <c r="B613" s="53" t="s">
        <v>3554</v>
      </c>
      <c r="C613" s="54" t="s">
        <v>3560</v>
      </c>
      <c r="D613" s="53">
        <v>4</v>
      </c>
      <c r="E613" s="132"/>
      <c r="F613" s="53"/>
      <c r="G613" s="53">
        <v>44</v>
      </c>
      <c r="H613" s="134" t="str">
        <f t="shared" si="100"/>
        <v>神器图纸2/首饰碎片4/烈焰玄铁4/火龙币41</v>
      </c>
    </row>
    <row r="614" spans="1:8" ht="15.75" x14ac:dyDescent="0.3">
      <c r="A614" s="53" t="s">
        <v>3498</v>
      </c>
      <c r="B614" s="53" t="s">
        <v>3554</v>
      </c>
      <c r="C614" s="54" t="s">
        <v>3560</v>
      </c>
      <c r="D614" s="53">
        <v>5</v>
      </c>
      <c r="E614" s="132"/>
      <c r="F614" s="53"/>
      <c r="G614" s="53">
        <v>55</v>
      </c>
      <c r="H614" s="134" t="str">
        <f t="shared" si="100"/>
        <v>神器图纸2/首饰碎片4/烈焰玄铁4/火龙币44</v>
      </c>
    </row>
    <row r="615" spans="1:8" ht="15.75" x14ac:dyDescent="0.3">
      <c r="A615" s="53" t="s">
        <v>3498</v>
      </c>
      <c r="B615" s="53" t="s">
        <v>3554</v>
      </c>
      <c r="C615" s="54" t="s">
        <v>3560</v>
      </c>
      <c r="D615" s="53">
        <v>6</v>
      </c>
      <c r="E615" s="132"/>
      <c r="F615" s="53"/>
      <c r="G615" s="53">
        <v>66</v>
      </c>
      <c r="H615" s="134" t="str">
        <f t="shared" si="100"/>
        <v>神器图纸2/首饰碎片5/烈焰玄铁5/火龙币46</v>
      </c>
    </row>
    <row r="616" spans="1:8" ht="15.75" x14ac:dyDescent="0.3">
      <c r="A616" s="53" t="s">
        <v>3498</v>
      </c>
      <c r="B616" s="53" t="s">
        <v>3554</v>
      </c>
      <c r="C616" s="54" t="s">
        <v>3560</v>
      </c>
      <c r="D616" s="53">
        <v>7</v>
      </c>
      <c r="E616" s="132"/>
      <c r="F616" s="53"/>
      <c r="G616" s="53">
        <v>77</v>
      </c>
      <c r="H616" s="134" t="str">
        <f t="shared" si="100"/>
        <v>神器图纸2/首饰碎片5/烈焰玄铁5/火龙币48</v>
      </c>
    </row>
    <row r="617" spans="1:8" ht="15.75" x14ac:dyDescent="0.3">
      <c r="A617" s="53" t="s">
        <v>3498</v>
      </c>
      <c r="B617" s="53" t="s">
        <v>3554</v>
      </c>
      <c r="C617" s="54" t="s">
        <v>3560</v>
      </c>
      <c r="D617" s="53">
        <v>8</v>
      </c>
      <c r="E617" s="132"/>
      <c r="F617" s="53"/>
      <c r="G617" s="53">
        <v>88</v>
      </c>
      <c r="H617" s="134" t="str">
        <f t="shared" si="100"/>
        <v>神器图纸2/首饰碎片5/烈焰玄铁5/火龙币50</v>
      </c>
    </row>
    <row r="618" spans="1:8" ht="15.75" x14ac:dyDescent="0.3">
      <c r="A618" s="53" t="s">
        <v>3498</v>
      </c>
      <c r="B618" s="53" t="s">
        <v>3554</v>
      </c>
      <c r="C618" s="54" t="s">
        <v>3560</v>
      </c>
      <c r="D618" s="53">
        <v>9</v>
      </c>
      <c r="E618" s="132"/>
      <c r="F618" s="53"/>
      <c r="G618" s="53">
        <v>99</v>
      </c>
      <c r="H618" s="134" t="str">
        <f t="shared" si="100"/>
        <v>神器图纸2/首饰碎片5/烈焰玄铁5/火龙币53</v>
      </c>
    </row>
    <row r="619" spans="1:8" ht="15.75" x14ac:dyDescent="0.3">
      <c r="A619" s="53" t="s">
        <v>3498</v>
      </c>
      <c r="B619" s="53" t="s">
        <v>3554</v>
      </c>
      <c r="C619" s="54" t="s">
        <v>3560</v>
      </c>
      <c r="D619" s="53">
        <v>10</v>
      </c>
      <c r="E619" s="132"/>
      <c r="F619" s="53"/>
      <c r="G619" s="53">
        <v>110</v>
      </c>
      <c r="H619" s="134"/>
    </row>
    <row r="620" spans="1:8" ht="15.75" x14ac:dyDescent="0.3">
      <c r="A620" s="53" t="s">
        <v>3498</v>
      </c>
      <c r="B620" s="53" t="s">
        <v>3554</v>
      </c>
      <c r="C620" s="54" t="s">
        <v>3561</v>
      </c>
      <c r="D620" s="53">
        <v>0</v>
      </c>
      <c r="E620" s="132"/>
      <c r="F620" s="53"/>
      <c r="G620" s="135"/>
      <c r="H620" s="134" t="str">
        <f>"神器图纸"&amp;Z3&amp;"/首饰碎片"&amp;AA3&amp;"/烈焰玄铁"&amp;AB3&amp;"/火龙币"&amp;AC3</f>
        <v>神器图纸1/首饰碎片3/烈焰玄铁3/火龙币32</v>
      </c>
    </row>
    <row r="621" spans="1:8" ht="15.75" x14ac:dyDescent="0.3">
      <c r="A621" s="53" t="s">
        <v>3498</v>
      </c>
      <c r="B621" s="53" t="s">
        <v>3554</v>
      </c>
      <c r="C621" s="54" t="s">
        <v>3561</v>
      </c>
      <c r="D621" s="53">
        <v>1</v>
      </c>
      <c r="E621" s="132"/>
      <c r="F621" s="53"/>
      <c r="G621" s="53">
        <v>12</v>
      </c>
      <c r="H621" s="134" t="str">
        <f t="shared" ref="H621:H629" si="101">"神器图纸"&amp;Z4&amp;"/首饰碎片"&amp;AA4&amp;"/烈焰玄铁"&amp;AB4&amp;"/火龙币"&amp;AC4</f>
        <v>神器图纸1/首饰碎片3/烈焰玄铁3/火龙币35</v>
      </c>
    </row>
    <row r="622" spans="1:8" ht="15.75" x14ac:dyDescent="0.3">
      <c r="A622" s="53" t="s">
        <v>3498</v>
      </c>
      <c r="B622" s="53" t="s">
        <v>3554</v>
      </c>
      <c r="C622" s="54" t="s">
        <v>3561</v>
      </c>
      <c r="D622" s="53">
        <v>2</v>
      </c>
      <c r="E622" s="132"/>
      <c r="F622" s="53"/>
      <c r="G622" s="53">
        <v>24</v>
      </c>
      <c r="H622" s="134" t="str">
        <f t="shared" si="101"/>
        <v>神器图纸1/首饰碎片4/烈焰玄铁4/火龙币37</v>
      </c>
    </row>
    <row r="623" spans="1:8" ht="15.75" x14ac:dyDescent="0.3">
      <c r="A623" s="53" t="s">
        <v>3498</v>
      </c>
      <c r="B623" s="53" t="s">
        <v>3554</v>
      </c>
      <c r="C623" s="54" t="s">
        <v>3561</v>
      </c>
      <c r="D623" s="53">
        <v>3</v>
      </c>
      <c r="E623" s="132"/>
      <c r="F623" s="53"/>
      <c r="G623" s="53">
        <v>36</v>
      </c>
      <c r="H623" s="134" t="str">
        <f t="shared" si="101"/>
        <v>神器图纸2/首饰碎片4/烈焰玄铁4/火龙币39</v>
      </c>
    </row>
    <row r="624" spans="1:8" ht="15.75" x14ac:dyDescent="0.3">
      <c r="A624" s="53" t="s">
        <v>3498</v>
      </c>
      <c r="B624" s="53" t="s">
        <v>3554</v>
      </c>
      <c r="C624" s="54" t="s">
        <v>3561</v>
      </c>
      <c r="D624" s="53">
        <v>4</v>
      </c>
      <c r="E624" s="132"/>
      <c r="F624" s="53"/>
      <c r="G624" s="53">
        <v>48</v>
      </c>
      <c r="H624" s="134" t="str">
        <f t="shared" si="101"/>
        <v>神器图纸2/首饰碎片4/烈焰玄铁4/火龙币41</v>
      </c>
    </row>
    <row r="625" spans="1:8" ht="15.75" x14ac:dyDescent="0.3">
      <c r="A625" s="53" t="s">
        <v>3498</v>
      </c>
      <c r="B625" s="53" t="s">
        <v>3554</v>
      </c>
      <c r="C625" s="54" t="s">
        <v>3561</v>
      </c>
      <c r="D625" s="53">
        <v>5</v>
      </c>
      <c r="E625" s="132"/>
      <c r="F625" s="53"/>
      <c r="G625" s="53">
        <v>60</v>
      </c>
      <c r="H625" s="134" t="str">
        <f t="shared" si="101"/>
        <v>神器图纸2/首饰碎片4/烈焰玄铁4/火龙币44</v>
      </c>
    </row>
    <row r="626" spans="1:8" ht="15.75" x14ac:dyDescent="0.3">
      <c r="A626" s="53" t="s">
        <v>3498</v>
      </c>
      <c r="B626" s="53" t="s">
        <v>3554</v>
      </c>
      <c r="C626" s="54" t="s">
        <v>3561</v>
      </c>
      <c r="D626" s="53">
        <v>6</v>
      </c>
      <c r="E626" s="132"/>
      <c r="F626" s="53"/>
      <c r="G626" s="53">
        <v>72</v>
      </c>
      <c r="H626" s="134" t="str">
        <f t="shared" si="101"/>
        <v>神器图纸2/首饰碎片5/烈焰玄铁5/火龙币46</v>
      </c>
    </row>
    <row r="627" spans="1:8" ht="15.75" x14ac:dyDescent="0.3">
      <c r="A627" s="53" t="s">
        <v>3498</v>
      </c>
      <c r="B627" s="53" t="s">
        <v>3554</v>
      </c>
      <c r="C627" s="54" t="s">
        <v>3561</v>
      </c>
      <c r="D627" s="53">
        <v>7</v>
      </c>
      <c r="E627" s="132"/>
      <c r="F627" s="53"/>
      <c r="G627" s="53">
        <v>84</v>
      </c>
      <c r="H627" s="134" t="str">
        <f t="shared" si="101"/>
        <v>神器图纸2/首饰碎片5/烈焰玄铁5/火龙币48</v>
      </c>
    </row>
    <row r="628" spans="1:8" ht="15.75" x14ac:dyDescent="0.3">
      <c r="A628" s="53" t="s">
        <v>3498</v>
      </c>
      <c r="B628" s="53" t="s">
        <v>3554</v>
      </c>
      <c r="C628" s="54" t="s">
        <v>3561</v>
      </c>
      <c r="D628" s="53">
        <v>8</v>
      </c>
      <c r="E628" s="132"/>
      <c r="F628" s="53"/>
      <c r="G628" s="53">
        <v>96</v>
      </c>
      <c r="H628" s="134" t="str">
        <f t="shared" si="101"/>
        <v>神器图纸2/首饰碎片5/烈焰玄铁5/火龙币50</v>
      </c>
    </row>
    <row r="629" spans="1:8" ht="15.75" x14ac:dyDescent="0.3">
      <c r="A629" s="53" t="s">
        <v>3498</v>
      </c>
      <c r="B629" s="53" t="s">
        <v>3554</v>
      </c>
      <c r="C629" s="54" t="s">
        <v>3561</v>
      </c>
      <c r="D629" s="53">
        <v>9</v>
      </c>
      <c r="E629" s="132"/>
      <c r="F629" s="53"/>
      <c r="G629" s="53">
        <v>108</v>
      </c>
      <c r="H629" s="134" t="str">
        <f t="shared" si="101"/>
        <v>神器图纸2/首饰碎片5/烈焰玄铁5/火龙币53</v>
      </c>
    </row>
    <row r="630" spans="1:8" ht="15.75" x14ac:dyDescent="0.3">
      <c r="A630" s="53" t="s">
        <v>3498</v>
      </c>
      <c r="B630" s="53" t="s">
        <v>3554</v>
      </c>
      <c r="C630" s="54" t="s">
        <v>3561</v>
      </c>
      <c r="D630" s="53">
        <v>10</v>
      </c>
      <c r="E630" s="132"/>
      <c r="F630" s="53"/>
      <c r="G630" s="53">
        <v>120</v>
      </c>
      <c r="H630" s="134"/>
    </row>
    <row r="631" spans="1:8" ht="15.75" x14ac:dyDescent="0.3">
      <c r="A631" s="53" t="s">
        <v>3498</v>
      </c>
      <c r="B631" s="53" t="s">
        <v>3554</v>
      </c>
      <c r="C631" s="54" t="s">
        <v>3562</v>
      </c>
      <c r="D631" s="53">
        <v>0</v>
      </c>
      <c r="E631" s="132"/>
      <c r="F631" s="53"/>
      <c r="G631" s="135"/>
      <c r="H631" s="134" t="str">
        <f>"神器图纸"&amp;Z3&amp;"/首饰碎片"&amp;AA3&amp;"/烈焰玄铁"&amp;AB3&amp;"/火龙币"&amp;AC3</f>
        <v>神器图纸1/首饰碎片3/烈焰玄铁3/火龙币32</v>
      </c>
    </row>
    <row r="632" spans="1:8" ht="15.75" x14ac:dyDescent="0.3">
      <c r="A632" s="53" t="s">
        <v>3498</v>
      </c>
      <c r="B632" s="53" t="s">
        <v>3554</v>
      </c>
      <c r="C632" s="54" t="s">
        <v>3562</v>
      </c>
      <c r="D632" s="53">
        <v>1</v>
      </c>
      <c r="E632" s="132"/>
      <c r="F632" s="53"/>
      <c r="G632" s="53">
        <v>13</v>
      </c>
      <c r="H632" s="134" t="str">
        <f t="shared" ref="H632:H640" si="102">"神器图纸"&amp;Z4&amp;"/首饰碎片"&amp;AA4&amp;"/烈焰玄铁"&amp;AB4&amp;"/火龙币"&amp;AC4</f>
        <v>神器图纸1/首饰碎片3/烈焰玄铁3/火龙币35</v>
      </c>
    </row>
    <row r="633" spans="1:8" ht="15.75" x14ac:dyDescent="0.3">
      <c r="A633" s="53" t="s">
        <v>3498</v>
      </c>
      <c r="B633" s="53" t="s">
        <v>3554</v>
      </c>
      <c r="C633" s="54" t="s">
        <v>3562</v>
      </c>
      <c r="D633" s="53">
        <v>2</v>
      </c>
      <c r="E633" s="132"/>
      <c r="F633" s="53"/>
      <c r="G633" s="53">
        <v>26</v>
      </c>
      <c r="H633" s="134" t="str">
        <f t="shared" si="102"/>
        <v>神器图纸1/首饰碎片4/烈焰玄铁4/火龙币37</v>
      </c>
    </row>
    <row r="634" spans="1:8" ht="15.75" x14ac:dyDescent="0.3">
      <c r="A634" s="53" t="s">
        <v>3498</v>
      </c>
      <c r="B634" s="53" t="s">
        <v>3554</v>
      </c>
      <c r="C634" s="54" t="s">
        <v>3562</v>
      </c>
      <c r="D634" s="53">
        <v>3</v>
      </c>
      <c r="E634" s="132"/>
      <c r="F634" s="53"/>
      <c r="G634" s="53">
        <v>39</v>
      </c>
      <c r="H634" s="134" t="str">
        <f t="shared" si="102"/>
        <v>神器图纸2/首饰碎片4/烈焰玄铁4/火龙币39</v>
      </c>
    </row>
    <row r="635" spans="1:8" ht="15.75" x14ac:dyDescent="0.3">
      <c r="A635" s="53" t="s">
        <v>3498</v>
      </c>
      <c r="B635" s="53" t="s">
        <v>3554</v>
      </c>
      <c r="C635" s="54" t="s">
        <v>3562</v>
      </c>
      <c r="D635" s="53">
        <v>4</v>
      </c>
      <c r="E635" s="132"/>
      <c r="F635" s="53"/>
      <c r="G635" s="53">
        <v>52</v>
      </c>
      <c r="H635" s="134" t="str">
        <f t="shared" si="102"/>
        <v>神器图纸2/首饰碎片4/烈焰玄铁4/火龙币41</v>
      </c>
    </row>
    <row r="636" spans="1:8" ht="15.75" x14ac:dyDescent="0.3">
      <c r="A636" s="53" t="s">
        <v>3498</v>
      </c>
      <c r="B636" s="53" t="s">
        <v>3554</v>
      </c>
      <c r="C636" s="54" t="s">
        <v>3562</v>
      </c>
      <c r="D636" s="53">
        <v>5</v>
      </c>
      <c r="E636" s="132"/>
      <c r="F636" s="53"/>
      <c r="G636" s="53">
        <v>65</v>
      </c>
      <c r="H636" s="134" t="str">
        <f t="shared" si="102"/>
        <v>神器图纸2/首饰碎片4/烈焰玄铁4/火龙币44</v>
      </c>
    </row>
    <row r="637" spans="1:8" ht="15.75" x14ac:dyDescent="0.3">
      <c r="A637" s="53" t="s">
        <v>3498</v>
      </c>
      <c r="B637" s="53" t="s">
        <v>3554</v>
      </c>
      <c r="C637" s="54" t="s">
        <v>3562</v>
      </c>
      <c r="D637" s="53">
        <v>6</v>
      </c>
      <c r="E637" s="132"/>
      <c r="F637" s="53"/>
      <c r="G637" s="53">
        <v>78</v>
      </c>
      <c r="H637" s="134" t="str">
        <f t="shared" si="102"/>
        <v>神器图纸2/首饰碎片5/烈焰玄铁5/火龙币46</v>
      </c>
    </row>
    <row r="638" spans="1:8" ht="15.75" x14ac:dyDescent="0.3">
      <c r="A638" s="53" t="s">
        <v>3498</v>
      </c>
      <c r="B638" s="53" t="s">
        <v>3554</v>
      </c>
      <c r="C638" s="54" t="s">
        <v>3562</v>
      </c>
      <c r="D638" s="53">
        <v>7</v>
      </c>
      <c r="E638" s="132"/>
      <c r="F638" s="53"/>
      <c r="G638" s="53">
        <v>91</v>
      </c>
      <c r="H638" s="134" t="str">
        <f t="shared" si="102"/>
        <v>神器图纸2/首饰碎片5/烈焰玄铁5/火龙币48</v>
      </c>
    </row>
    <row r="639" spans="1:8" ht="15.75" x14ac:dyDescent="0.3">
      <c r="A639" s="53" t="s">
        <v>3498</v>
      </c>
      <c r="B639" s="53" t="s">
        <v>3554</v>
      </c>
      <c r="C639" s="54" t="s">
        <v>3562</v>
      </c>
      <c r="D639" s="53">
        <v>8</v>
      </c>
      <c r="E639" s="132"/>
      <c r="F639" s="53"/>
      <c r="G639" s="53">
        <v>104</v>
      </c>
      <c r="H639" s="134" t="str">
        <f t="shared" si="102"/>
        <v>神器图纸2/首饰碎片5/烈焰玄铁5/火龙币50</v>
      </c>
    </row>
    <row r="640" spans="1:8" ht="15.75" x14ac:dyDescent="0.3">
      <c r="A640" s="53" t="s">
        <v>3498</v>
      </c>
      <c r="B640" s="53" t="s">
        <v>3554</v>
      </c>
      <c r="C640" s="54" t="s">
        <v>3562</v>
      </c>
      <c r="D640" s="53">
        <v>9</v>
      </c>
      <c r="E640" s="132"/>
      <c r="F640" s="53"/>
      <c r="G640" s="53">
        <v>117</v>
      </c>
      <c r="H640" s="134" t="str">
        <f t="shared" si="102"/>
        <v>神器图纸2/首饰碎片5/烈焰玄铁5/火龙币53</v>
      </c>
    </row>
    <row r="641" spans="1:8" ht="15.75" x14ac:dyDescent="0.3">
      <c r="A641" s="53" t="s">
        <v>3498</v>
      </c>
      <c r="B641" s="53" t="s">
        <v>3554</v>
      </c>
      <c r="C641" s="54" t="s">
        <v>3562</v>
      </c>
      <c r="D641" s="53">
        <v>10</v>
      </c>
      <c r="E641" s="132"/>
      <c r="F641" s="53"/>
      <c r="G641" s="53">
        <v>130</v>
      </c>
      <c r="H641" s="134"/>
    </row>
    <row r="642" spans="1:8" ht="15.75" x14ac:dyDescent="0.3">
      <c r="A642" s="53" t="s">
        <v>3498</v>
      </c>
      <c r="B642" s="53" t="s">
        <v>3554</v>
      </c>
      <c r="C642" s="54" t="s">
        <v>3563</v>
      </c>
      <c r="D642" s="53">
        <v>0</v>
      </c>
      <c r="E642" s="132"/>
      <c r="F642" s="53"/>
      <c r="G642" s="135"/>
      <c r="H642" s="134" t="str">
        <f>"神器图纸"&amp;Z3&amp;"/首饰碎片"&amp;AA3&amp;"/烈焰玄铁"&amp;AB3&amp;"/火龙币"&amp;AC3</f>
        <v>神器图纸1/首饰碎片3/烈焰玄铁3/火龙币32</v>
      </c>
    </row>
    <row r="643" spans="1:8" ht="15.75" x14ac:dyDescent="0.3">
      <c r="A643" s="53" t="s">
        <v>3498</v>
      </c>
      <c r="B643" s="53" t="s">
        <v>3554</v>
      </c>
      <c r="C643" s="54" t="s">
        <v>3563</v>
      </c>
      <c r="D643" s="53">
        <v>1</v>
      </c>
      <c r="E643" s="132"/>
      <c r="F643" s="53"/>
      <c r="G643" s="53">
        <v>14</v>
      </c>
      <c r="H643" s="134" t="str">
        <f t="shared" ref="H643:H651" si="103">"神器图纸"&amp;Z4&amp;"/首饰碎片"&amp;AA4&amp;"/烈焰玄铁"&amp;AB4&amp;"/火龙币"&amp;AC4</f>
        <v>神器图纸1/首饰碎片3/烈焰玄铁3/火龙币35</v>
      </c>
    </row>
    <row r="644" spans="1:8" ht="15.75" x14ac:dyDescent="0.3">
      <c r="A644" s="53" t="s">
        <v>3498</v>
      </c>
      <c r="B644" s="53" t="s">
        <v>3554</v>
      </c>
      <c r="C644" s="54" t="s">
        <v>3563</v>
      </c>
      <c r="D644" s="53">
        <v>2</v>
      </c>
      <c r="E644" s="132"/>
      <c r="F644" s="53"/>
      <c r="G644" s="53">
        <v>28</v>
      </c>
      <c r="H644" s="134" t="str">
        <f t="shared" si="103"/>
        <v>神器图纸1/首饰碎片4/烈焰玄铁4/火龙币37</v>
      </c>
    </row>
    <row r="645" spans="1:8" ht="15.75" x14ac:dyDescent="0.3">
      <c r="A645" s="53" t="s">
        <v>3498</v>
      </c>
      <c r="B645" s="53" t="s">
        <v>3554</v>
      </c>
      <c r="C645" s="54" t="s">
        <v>3563</v>
      </c>
      <c r="D645" s="53">
        <v>3</v>
      </c>
      <c r="E645" s="132"/>
      <c r="F645" s="53"/>
      <c r="G645" s="53">
        <v>42</v>
      </c>
      <c r="H645" s="134" t="str">
        <f t="shared" si="103"/>
        <v>神器图纸2/首饰碎片4/烈焰玄铁4/火龙币39</v>
      </c>
    </row>
    <row r="646" spans="1:8" ht="15.75" x14ac:dyDescent="0.3">
      <c r="A646" s="53" t="s">
        <v>3498</v>
      </c>
      <c r="B646" s="53" t="s">
        <v>3554</v>
      </c>
      <c r="C646" s="54" t="s">
        <v>3563</v>
      </c>
      <c r="D646" s="53">
        <v>4</v>
      </c>
      <c r="E646" s="132"/>
      <c r="F646" s="53"/>
      <c r="G646" s="53">
        <v>56</v>
      </c>
      <c r="H646" s="134" t="str">
        <f t="shared" si="103"/>
        <v>神器图纸2/首饰碎片4/烈焰玄铁4/火龙币41</v>
      </c>
    </row>
    <row r="647" spans="1:8" ht="15.75" x14ac:dyDescent="0.3">
      <c r="A647" s="53" t="s">
        <v>3498</v>
      </c>
      <c r="B647" s="53" t="s">
        <v>3554</v>
      </c>
      <c r="C647" s="54" t="s">
        <v>3563</v>
      </c>
      <c r="D647" s="53">
        <v>5</v>
      </c>
      <c r="E647" s="132"/>
      <c r="F647" s="53"/>
      <c r="G647" s="53">
        <v>70</v>
      </c>
      <c r="H647" s="134" t="str">
        <f t="shared" si="103"/>
        <v>神器图纸2/首饰碎片4/烈焰玄铁4/火龙币44</v>
      </c>
    </row>
    <row r="648" spans="1:8" ht="15.75" x14ac:dyDescent="0.3">
      <c r="A648" s="53" t="s">
        <v>3498</v>
      </c>
      <c r="B648" s="53" t="s">
        <v>3554</v>
      </c>
      <c r="C648" s="54" t="s">
        <v>3563</v>
      </c>
      <c r="D648" s="53">
        <v>6</v>
      </c>
      <c r="E648" s="132"/>
      <c r="F648" s="53"/>
      <c r="G648" s="53">
        <v>84</v>
      </c>
      <c r="H648" s="134" t="str">
        <f t="shared" si="103"/>
        <v>神器图纸2/首饰碎片5/烈焰玄铁5/火龙币46</v>
      </c>
    </row>
    <row r="649" spans="1:8" ht="15.75" x14ac:dyDescent="0.3">
      <c r="A649" s="53" t="s">
        <v>3498</v>
      </c>
      <c r="B649" s="53" t="s">
        <v>3554</v>
      </c>
      <c r="C649" s="54" t="s">
        <v>3563</v>
      </c>
      <c r="D649" s="53">
        <v>7</v>
      </c>
      <c r="E649" s="132"/>
      <c r="F649" s="53"/>
      <c r="G649" s="53">
        <v>98</v>
      </c>
      <c r="H649" s="134" t="str">
        <f t="shared" si="103"/>
        <v>神器图纸2/首饰碎片5/烈焰玄铁5/火龙币48</v>
      </c>
    </row>
    <row r="650" spans="1:8" ht="15.75" x14ac:dyDescent="0.3">
      <c r="A650" s="53" t="s">
        <v>3498</v>
      </c>
      <c r="B650" s="53" t="s">
        <v>3554</v>
      </c>
      <c r="C650" s="54" t="s">
        <v>3563</v>
      </c>
      <c r="D650" s="53">
        <v>8</v>
      </c>
      <c r="E650" s="132"/>
      <c r="F650" s="53"/>
      <c r="G650" s="53">
        <v>112</v>
      </c>
      <c r="H650" s="134" t="str">
        <f t="shared" si="103"/>
        <v>神器图纸2/首饰碎片5/烈焰玄铁5/火龙币50</v>
      </c>
    </row>
    <row r="651" spans="1:8" ht="15.75" x14ac:dyDescent="0.3">
      <c r="A651" s="53" t="s">
        <v>3498</v>
      </c>
      <c r="B651" s="53" t="s">
        <v>3554</v>
      </c>
      <c r="C651" s="54" t="s">
        <v>3563</v>
      </c>
      <c r="D651" s="53">
        <v>9</v>
      </c>
      <c r="E651" s="132"/>
      <c r="F651" s="53"/>
      <c r="G651" s="53">
        <v>126</v>
      </c>
      <c r="H651" s="134" t="str">
        <f t="shared" si="103"/>
        <v>神器图纸2/首饰碎片5/烈焰玄铁5/火龙币53</v>
      </c>
    </row>
    <row r="652" spans="1:8" ht="15.75" x14ac:dyDescent="0.3">
      <c r="A652" s="53" t="s">
        <v>3498</v>
      </c>
      <c r="B652" s="53" t="s">
        <v>3554</v>
      </c>
      <c r="C652" s="54" t="s">
        <v>3563</v>
      </c>
      <c r="D652" s="53">
        <v>10</v>
      </c>
      <c r="E652" s="132"/>
      <c r="F652" s="53"/>
      <c r="G652" s="53">
        <v>140</v>
      </c>
      <c r="H652" s="134"/>
    </row>
    <row r="653" spans="1:8" ht="15.75" x14ac:dyDescent="0.3">
      <c r="A653" s="53" t="s">
        <v>3498</v>
      </c>
      <c r="B653" s="53" t="s">
        <v>3554</v>
      </c>
      <c r="C653" s="54" t="s">
        <v>3564</v>
      </c>
      <c r="D653" s="53">
        <v>0</v>
      </c>
      <c r="E653" s="132"/>
      <c r="F653" s="53"/>
      <c r="G653" s="135"/>
      <c r="H653" s="134" t="str">
        <f>"神器图纸"&amp;Z3&amp;"/首饰碎片"&amp;AA3&amp;"/烈焰玄铁"&amp;AB3&amp;"/火龙币"&amp;AC3</f>
        <v>神器图纸1/首饰碎片3/烈焰玄铁3/火龙币32</v>
      </c>
    </row>
    <row r="654" spans="1:8" ht="15.75" x14ac:dyDescent="0.3">
      <c r="A654" s="53" t="s">
        <v>3498</v>
      </c>
      <c r="B654" s="53" t="s">
        <v>3554</v>
      </c>
      <c r="C654" s="54" t="s">
        <v>3564</v>
      </c>
      <c r="D654" s="53">
        <v>1</v>
      </c>
      <c r="E654" s="132"/>
      <c r="F654" s="53"/>
      <c r="G654" s="53">
        <v>15</v>
      </c>
      <c r="H654" s="134" t="str">
        <f t="shared" ref="H654:H662" si="104">"神器图纸"&amp;Z4&amp;"/首饰碎片"&amp;AA4&amp;"/烈焰玄铁"&amp;AB4&amp;"/火龙币"&amp;AC4</f>
        <v>神器图纸1/首饰碎片3/烈焰玄铁3/火龙币35</v>
      </c>
    </row>
    <row r="655" spans="1:8" ht="15.75" x14ac:dyDescent="0.3">
      <c r="A655" s="53" t="s">
        <v>3498</v>
      </c>
      <c r="B655" s="53" t="s">
        <v>3554</v>
      </c>
      <c r="C655" s="54" t="s">
        <v>3564</v>
      </c>
      <c r="D655" s="53">
        <v>2</v>
      </c>
      <c r="E655" s="132"/>
      <c r="F655" s="53"/>
      <c r="G655" s="53">
        <v>30</v>
      </c>
      <c r="H655" s="134" t="str">
        <f t="shared" si="104"/>
        <v>神器图纸1/首饰碎片4/烈焰玄铁4/火龙币37</v>
      </c>
    </row>
    <row r="656" spans="1:8" ht="15.75" x14ac:dyDescent="0.3">
      <c r="A656" s="53" t="s">
        <v>3498</v>
      </c>
      <c r="B656" s="53" t="s">
        <v>3554</v>
      </c>
      <c r="C656" s="54" t="s">
        <v>3564</v>
      </c>
      <c r="D656" s="53">
        <v>3</v>
      </c>
      <c r="E656" s="132"/>
      <c r="F656" s="53"/>
      <c r="G656" s="53">
        <v>45</v>
      </c>
      <c r="H656" s="134" t="str">
        <f t="shared" si="104"/>
        <v>神器图纸2/首饰碎片4/烈焰玄铁4/火龙币39</v>
      </c>
    </row>
    <row r="657" spans="1:8" ht="15.75" x14ac:dyDescent="0.3">
      <c r="A657" s="53" t="s">
        <v>3498</v>
      </c>
      <c r="B657" s="53" t="s">
        <v>3554</v>
      </c>
      <c r="C657" s="54" t="s">
        <v>3564</v>
      </c>
      <c r="D657" s="53">
        <v>4</v>
      </c>
      <c r="E657" s="132"/>
      <c r="F657" s="53"/>
      <c r="G657" s="53">
        <v>60</v>
      </c>
      <c r="H657" s="134" t="str">
        <f t="shared" si="104"/>
        <v>神器图纸2/首饰碎片4/烈焰玄铁4/火龙币41</v>
      </c>
    </row>
    <row r="658" spans="1:8" ht="15.75" x14ac:dyDescent="0.3">
      <c r="A658" s="53" t="s">
        <v>3498</v>
      </c>
      <c r="B658" s="53" t="s">
        <v>3554</v>
      </c>
      <c r="C658" s="54" t="s">
        <v>3564</v>
      </c>
      <c r="D658" s="53">
        <v>5</v>
      </c>
      <c r="E658" s="132"/>
      <c r="F658" s="53"/>
      <c r="G658" s="53">
        <v>75</v>
      </c>
      <c r="H658" s="134" t="str">
        <f t="shared" si="104"/>
        <v>神器图纸2/首饰碎片4/烈焰玄铁4/火龙币44</v>
      </c>
    </row>
    <row r="659" spans="1:8" ht="15.75" x14ac:dyDescent="0.3">
      <c r="A659" s="53" t="s">
        <v>3498</v>
      </c>
      <c r="B659" s="53" t="s">
        <v>3554</v>
      </c>
      <c r="C659" s="54" t="s">
        <v>3564</v>
      </c>
      <c r="D659" s="53">
        <v>6</v>
      </c>
      <c r="E659" s="132"/>
      <c r="F659" s="53"/>
      <c r="G659" s="53">
        <v>90</v>
      </c>
      <c r="H659" s="134" t="str">
        <f t="shared" si="104"/>
        <v>神器图纸2/首饰碎片5/烈焰玄铁5/火龙币46</v>
      </c>
    </row>
    <row r="660" spans="1:8" ht="15.75" x14ac:dyDescent="0.3">
      <c r="A660" s="53" t="s">
        <v>3498</v>
      </c>
      <c r="B660" s="53" t="s">
        <v>3554</v>
      </c>
      <c r="C660" s="54" t="s">
        <v>3564</v>
      </c>
      <c r="D660" s="53">
        <v>7</v>
      </c>
      <c r="E660" s="132"/>
      <c r="F660" s="53"/>
      <c r="G660" s="53">
        <v>105</v>
      </c>
      <c r="H660" s="134" t="str">
        <f t="shared" si="104"/>
        <v>神器图纸2/首饰碎片5/烈焰玄铁5/火龙币48</v>
      </c>
    </row>
    <row r="661" spans="1:8" ht="15.75" x14ac:dyDescent="0.3">
      <c r="A661" s="53" t="s">
        <v>3498</v>
      </c>
      <c r="B661" s="53" t="s">
        <v>3554</v>
      </c>
      <c r="C661" s="54" t="s">
        <v>3564</v>
      </c>
      <c r="D661" s="53">
        <v>8</v>
      </c>
      <c r="E661" s="132"/>
      <c r="F661" s="53"/>
      <c r="G661" s="53">
        <v>120</v>
      </c>
      <c r="H661" s="134" t="str">
        <f t="shared" si="104"/>
        <v>神器图纸2/首饰碎片5/烈焰玄铁5/火龙币50</v>
      </c>
    </row>
    <row r="662" spans="1:8" ht="15.75" x14ac:dyDescent="0.3">
      <c r="A662" s="53" t="s">
        <v>3498</v>
      </c>
      <c r="B662" s="53" t="s">
        <v>3554</v>
      </c>
      <c r="C662" s="54" t="s">
        <v>3564</v>
      </c>
      <c r="D662" s="53">
        <v>9</v>
      </c>
      <c r="E662" s="132"/>
      <c r="F662" s="53"/>
      <c r="G662" s="53">
        <v>135</v>
      </c>
      <c r="H662" s="134" t="str">
        <f t="shared" si="104"/>
        <v>神器图纸2/首饰碎片5/烈焰玄铁5/火龙币53</v>
      </c>
    </row>
    <row r="663" spans="1:8" ht="15.75" x14ac:dyDescent="0.3">
      <c r="A663" s="53" t="s">
        <v>3498</v>
      </c>
      <c r="B663" s="53" t="s">
        <v>3554</v>
      </c>
      <c r="C663" s="54" t="s">
        <v>3564</v>
      </c>
      <c r="D663" s="53">
        <v>10</v>
      </c>
      <c r="E663" s="132"/>
      <c r="F663" s="53"/>
      <c r="G663" s="53">
        <v>150</v>
      </c>
      <c r="H663" s="134"/>
    </row>
    <row r="664" spans="1:8" ht="15.75" x14ac:dyDescent="0.3">
      <c r="A664" s="35" t="s">
        <v>3498</v>
      </c>
      <c r="B664" s="35" t="s">
        <v>3565</v>
      </c>
      <c r="C664" s="41" t="s">
        <v>3566</v>
      </c>
      <c r="D664" s="35">
        <v>0</v>
      </c>
      <c r="E664" s="111"/>
      <c r="F664" s="35"/>
      <c r="G664" s="113"/>
      <c r="H664" s="37" t="str">
        <f>"神器图纸"&amp;Z3&amp;"/防具碎片"&amp;AA3&amp;"/烈焰玄铁"&amp;AB3&amp;"/火龙币"&amp;AC3</f>
        <v>神器图纸1/防具碎片3/烈焰玄铁3/火龙币32</v>
      </c>
    </row>
    <row r="665" spans="1:8" ht="15.75" x14ac:dyDescent="0.3">
      <c r="A665" s="35" t="s">
        <v>3498</v>
      </c>
      <c r="B665" s="35" t="s">
        <v>3565</v>
      </c>
      <c r="C665" s="41" t="s">
        <v>3566</v>
      </c>
      <c r="D665" s="35">
        <v>1</v>
      </c>
      <c r="E665" s="111"/>
      <c r="F665" s="35"/>
      <c r="G665" s="35">
        <v>4</v>
      </c>
      <c r="H665" s="37" t="str">
        <f t="shared" ref="H665:H673" si="105">"神器图纸"&amp;Z4&amp;"/防具碎片"&amp;AA4&amp;"/烈焰玄铁"&amp;AB4&amp;"/火龙币"&amp;AC4</f>
        <v>神器图纸1/防具碎片3/烈焰玄铁3/火龙币35</v>
      </c>
    </row>
    <row r="666" spans="1:8" ht="15.75" x14ac:dyDescent="0.3">
      <c r="A666" s="35" t="s">
        <v>3498</v>
      </c>
      <c r="B666" s="35" t="s">
        <v>3565</v>
      </c>
      <c r="C666" s="41" t="s">
        <v>3566</v>
      </c>
      <c r="D666" s="35">
        <v>2</v>
      </c>
      <c r="E666" s="111"/>
      <c r="F666" s="35"/>
      <c r="G666" s="35">
        <v>8</v>
      </c>
      <c r="H666" s="37" t="str">
        <f t="shared" si="105"/>
        <v>神器图纸1/防具碎片4/烈焰玄铁4/火龙币37</v>
      </c>
    </row>
    <row r="667" spans="1:8" ht="15.75" x14ac:dyDescent="0.3">
      <c r="A667" s="35" t="s">
        <v>3498</v>
      </c>
      <c r="B667" s="35" t="s">
        <v>3565</v>
      </c>
      <c r="C667" s="41" t="s">
        <v>3566</v>
      </c>
      <c r="D667" s="35">
        <v>3</v>
      </c>
      <c r="E667" s="111"/>
      <c r="F667" s="35"/>
      <c r="G667" s="35">
        <v>12</v>
      </c>
      <c r="H667" s="37" t="str">
        <f t="shared" si="105"/>
        <v>神器图纸2/防具碎片4/烈焰玄铁4/火龙币39</v>
      </c>
    </row>
    <row r="668" spans="1:8" ht="15.75" x14ac:dyDescent="0.3">
      <c r="A668" s="35" t="s">
        <v>3498</v>
      </c>
      <c r="B668" s="35" t="s">
        <v>3565</v>
      </c>
      <c r="C668" s="41" t="s">
        <v>3566</v>
      </c>
      <c r="D668" s="35">
        <v>4</v>
      </c>
      <c r="E668" s="111"/>
      <c r="F668" s="35"/>
      <c r="G668" s="35">
        <v>16</v>
      </c>
      <c r="H668" s="37" t="str">
        <f t="shared" si="105"/>
        <v>神器图纸2/防具碎片4/烈焰玄铁4/火龙币41</v>
      </c>
    </row>
    <row r="669" spans="1:8" ht="15.75" x14ac:dyDescent="0.3">
      <c r="A669" s="35" t="s">
        <v>3498</v>
      </c>
      <c r="B669" s="35" t="s">
        <v>3565</v>
      </c>
      <c r="C669" s="41" t="s">
        <v>3566</v>
      </c>
      <c r="D669" s="35">
        <v>5</v>
      </c>
      <c r="E669" s="111"/>
      <c r="F669" s="35"/>
      <c r="G669" s="35">
        <v>20</v>
      </c>
      <c r="H669" s="37" t="str">
        <f t="shared" si="105"/>
        <v>神器图纸2/防具碎片4/烈焰玄铁4/火龙币44</v>
      </c>
    </row>
    <row r="670" spans="1:8" ht="15.75" x14ac:dyDescent="0.3">
      <c r="A670" s="35" t="s">
        <v>3498</v>
      </c>
      <c r="B670" s="35" t="s">
        <v>3565</v>
      </c>
      <c r="C670" s="41" t="s">
        <v>3566</v>
      </c>
      <c r="D670" s="35">
        <v>6</v>
      </c>
      <c r="E670" s="111"/>
      <c r="F670" s="35"/>
      <c r="G670" s="35">
        <v>24</v>
      </c>
      <c r="H670" s="37" t="str">
        <f t="shared" si="105"/>
        <v>神器图纸2/防具碎片5/烈焰玄铁5/火龙币46</v>
      </c>
    </row>
    <row r="671" spans="1:8" ht="15.75" x14ac:dyDescent="0.3">
      <c r="A671" s="35" t="s">
        <v>3498</v>
      </c>
      <c r="B671" s="35" t="s">
        <v>3565</v>
      </c>
      <c r="C671" s="41" t="s">
        <v>3566</v>
      </c>
      <c r="D671" s="35">
        <v>7</v>
      </c>
      <c r="E671" s="111"/>
      <c r="F671" s="35"/>
      <c r="G671" s="35">
        <v>28</v>
      </c>
      <c r="H671" s="37" t="str">
        <f t="shared" si="105"/>
        <v>神器图纸2/防具碎片5/烈焰玄铁5/火龙币48</v>
      </c>
    </row>
    <row r="672" spans="1:8" ht="15.75" x14ac:dyDescent="0.3">
      <c r="A672" s="35" t="s">
        <v>3498</v>
      </c>
      <c r="B672" s="35" t="s">
        <v>3565</v>
      </c>
      <c r="C672" s="41" t="s">
        <v>3566</v>
      </c>
      <c r="D672" s="35">
        <v>8</v>
      </c>
      <c r="E672" s="111"/>
      <c r="F672" s="35"/>
      <c r="G672" s="35">
        <v>32</v>
      </c>
      <c r="H672" s="37" t="str">
        <f t="shared" si="105"/>
        <v>神器图纸2/防具碎片5/烈焰玄铁5/火龙币50</v>
      </c>
    </row>
    <row r="673" spans="1:8" ht="15.75" x14ac:dyDescent="0.3">
      <c r="A673" s="35" t="s">
        <v>3498</v>
      </c>
      <c r="B673" s="35" t="s">
        <v>3565</v>
      </c>
      <c r="C673" s="41" t="s">
        <v>3566</v>
      </c>
      <c r="D673" s="35">
        <v>9</v>
      </c>
      <c r="E673" s="111"/>
      <c r="F673" s="35"/>
      <c r="G673" s="35">
        <v>36</v>
      </c>
      <c r="H673" s="37" t="str">
        <f t="shared" si="105"/>
        <v>神器图纸2/防具碎片5/烈焰玄铁5/火龙币53</v>
      </c>
    </row>
    <row r="674" spans="1:8" ht="15.75" x14ac:dyDescent="0.3">
      <c r="A674" s="35" t="s">
        <v>3498</v>
      </c>
      <c r="B674" s="35" t="s">
        <v>3565</v>
      </c>
      <c r="C674" s="41" t="s">
        <v>3566</v>
      </c>
      <c r="D674" s="35">
        <v>10</v>
      </c>
      <c r="E674" s="111"/>
      <c r="F674" s="35"/>
      <c r="G674" s="35">
        <v>40</v>
      </c>
      <c r="H674" s="37"/>
    </row>
    <row r="675" spans="1:8" ht="15.75" x14ac:dyDescent="0.3">
      <c r="A675" s="35" t="s">
        <v>3498</v>
      </c>
      <c r="B675" s="35" t="s">
        <v>3565</v>
      </c>
      <c r="C675" s="41" t="s">
        <v>3567</v>
      </c>
      <c r="D675" s="35">
        <v>0</v>
      </c>
      <c r="E675" s="111"/>
      <c r="F675" s="35"/>
      <c r="G675" s="113"/>
      <c r="H675" s="37" t="str">
        <f>"神器图纸"&amp;Z3&amp;"/防具碎片"&amp;AA3&amp;"/烈焰玄铁"&amp;AB3&amp;"/火龙币"&amp;AC3</f>
        <v>神器图纸1/防具碎片3/烈焰玄铁3/火龙币32</v>
      </c>
    </row>
    <row r="676" spans="1:8" ht="15.75" x14ac:dyDescent="0.3">
      <c r="A676" s="35" t="s">
        <v>3498</v>
      </c>
      <c r="B676" s="35" t="s">
        <v>3565</v>
      </c>
      <c r="C676" s="41" t="s">
        <v>3567</v>
      </c>
      <c r="D676" s="35">
        <v>1</v>
      </c>
      <c r="E676" s="111"/>
      <c r="F676" s="35"/>
      <c r="G676" s="35">
        <v>5</v>
      </c>
      <c r="H676" s="37" t="str">
        <f t="shared" ref="H676:H684" si="106">"神器图纸"&amp;Z4&amp;"/防具碎片"&amp;AA4&amp;"/烈焰玄铁"&amp;AB4&amp;"/火龙币"&amp;AC4</f>
        <v>神器图纸1/防具碎片3/烈焰玄铁3/火龙币35</v>
      </c>
    </row>
    <row r="677" spans="1:8" ht="15.75" x14ac:dyDescent="0.3">
      <c r="A677" s="35" t="s">
        <v>3498</v>
      </c>
      <c r="B677" s="35" t="s">
        <v>3565</v>
      </c>
      <c r="C677" s="41" t="s">
        <v>3567</v>
      </c>
      <c r="D677" s="35">
        <v>2</v>
      </c>
      <c r="E677" s="111"/>
      <c r="F677" s="35"/>
      <c r="G677" s="35">
        <v>10</v>
      </c>
      <c r="H677" s="37" t="str">
        <f t="shared" si="106"/>
        <v>神器图纸1/防具碎片4/烈焰玄铁4/火龙币37</v>
      </c>
    </row>
    <row r="678" spans="1:8" ht="15.75" x14ac:dyDescent="0.3">
      <c r="A678" s="35" t="s">
        <v>3498</v>
      </c>
      <c r="B678" s="35" t="s">
        <v>3565</v>
      </c>
      <c r="C678" s="41" t="s">
        <v>3567</v>
      </c>
      <c r="D678" s="35">
        <v>3</v>
      </c>
      <c r="E678" s="111"/>
      <c r="F678" s="35"/>
      <c r="G678" s="35">
        <v>15</v>
      </c>
      <c r="H678" s="37" t="str">
        <f t="shared" si="106"/>
        <v>神器图纸2/防具碎片4/烈焰玄铁4/火龙币39</v>
      </c>
    </row>
    <row r="679" spans="1:8" ht="15.75" x14ac:dyDescent="0.3">
      <c r="A679" s="35" t="s">
        <v>3498</v>
      </c>
      <c r="B679" s="35" t="s">
        <v>3565</v>
      </c>
      <c r="C679" s="41" t="s">
        <v>3567</v>
      </c>
      <c r="D679" s="35">
        <v>4</v>
      </c>
      <c r="E679" s="111"/>
      <c r="F679" s="35"/>
      <c r="G679" s="35">
        <v>20</v>
      </c>
      <c r="H679" s="37" t="str">
        <f t="shared" si="106"/>
        <v>神器图纸2/防具碎片4/烈焰玄铁4/火龙币41</v>
      </c>
    </row>
    <row r="680" spans="1:8" ht="15.75" x14ac:dyDescent="0.3">
      <c r="A680" s="35" t="s">
        <v>3498</v>
      </c>
      <c r="B680" s="35" t="s">
        <v>3565</v>
      </c>
      <c r="C680" s="41" t="s">
        <v>3567</v>
      </c>
      <c r="D680" s="35">
        <v>5</v>
      </c>
      <c r="E680" s="111"/>
      <c r="F680" s="35"/>
      <c r="G680" s="35">
        <v>25</v>
      </c>
      <c r="H680" s="37" t="str">
        <f t="shared" si="106"/>
        <v>神器图纸2/防具碎片4/烈焰玄铁4/火龙币44</v>
      </c>
    </row>
    <row r="681" spans="1:8" ht="15.75" x14ac:dyDescent="0.3">
      <c r="A681" s="35" t="s">
        <v>3498</v>
      </c>
      <c r="B681" s="35" t="s">
        <v>3565</v>
      </c>
      <c r="C681" s="41" t="s">
        <v>3567</v>
      </c>
      <c r="D681" s="35">
        <v>6</v>
      </c>
      <c r="E681" s="111"/>
      <c r="F681" s="35"/>
      <c r="G681" s="35">
        <v>30</v>
      </c>
      <c r="H681" s="37" t="str">
        <f t="shared" si="106"/>
        <v>神器图纸2/防具碎片5/烈焰玄铁5/火龙币46</v>
      </c>
    </row>
    <row r="682" spans="1:8" ht="15.75" x14ac:dyDescent="0.3">
      <c r="A682" s="35" t="s">
        <v>3498</v>
      </c>
      <c r="B682" s="35" t="s">
        <v>3565</v>
      </c>
      <c r="C682" s="41" t="s">
        <v>3567</v>
      </c>
      <c r="D682" s="35">
        <v>7</v>
      </c>
      <c r="E682" s="111"/>
      <c r="F682" s="35"/>
      <c r="G682" s="35">
        <v>35</v>
      </c>
      <c r="H682" s="37" t="str">
        <f t="shared" si="106"/>
        <v>神器图纸2/防具碎片5/烈焰玄铁5/火龙币48</v>
      </c>
    </row>
    <row r="683" spans="1:8" ht="15.75" x14ac:dyDescent="0.3">
      <c r="A683" s="35" t="s">
        <v>3498</v>
      </c>
      <c r="B683" s="35" t="s">
        <v>3565</v>
      </c>
      <c r="C683" s="41" t="s">
        <v>3567</v>
      </c>
      <c r="D683" s="35">
        <v>8</v>
      </c>
      <c r="E683" s="111"/>
      <c r="F683" s="35"/>
      <c r="G683" s="35">
        <v>40</v>
      </c>
      <c r="H683" s="37" t="str">
        <f t="shared" si="106"/>
        <v>神器图纸2/防具碎片5/烈焰玄铁5/火龙币50</v>
      </c>
    </row>
    <row r="684" spans="1:8" ht="15.75" x14ac:dyDescent="0.3">
      <c r="A684" s="35" t="s">
        <v>3498</v>
      </c>
      <c r="B684" s="35" t="s">
        <v>3565</v>
      </c>
      <c r="C684" s="41" t="s">
        <v>3567</v>
      </c>
      <c r="D684" s="35">
        <v>9</v>
      </c>
      <c r="E684" s="111"/>
      <c r="F684" s="35"/>
      <c r="G684" s="35">
        <v>45</v>
      </c>
      <c r="H684" s="37" t="str">
        <f t="shared" si="106"/>
        <v>神器图纸2/防具碎片5/烈焰玄铁5/火龙币53</v>
      </c>
    </row>
    <row r="685" spans="1:8" ht="15.75" x14ac:dyDescent="0.3">
      <c r="A685" s="35" t="s">
        <v>3498</v>
      </c>
      <c r="B685" s="35" t="s">
        <v>3565</v>
      </c>
      <c r="C685" s="41" t="s">
        <v>3567</v>
      </c>
      <c r="D685" s="35">
        <v>10</v>
      </c>
      <c r="E685" s="111"/>
      <c r="F685" s="35"/>
      <c r="G685" s="35">
        <v>50</v>
      </c>
      <c r="H685" s="37"/>
    </row>
    <row r="686" spans="1:8" ht="15.75" x14ac:dyDescent="0.3">
      <c r="A686" s="35" t="s">
        <v>3498</v>
      </c>
      <c r="B686" s="35" t="s">
        <v>3565</v>
      </c>
      <c r="C686" s="41" t="s">
        <v>3568</v>
      </c>
      <c r="D686" s="35">
        <v>0</v>
      </c>
      <c r="E686" s="111"/>
      <c r="F686" s="35"/>
      <c r="G686" s="113"/>
      <c r="H686" s="37" t="str">
        <f>"神器图纸"&amp;Z3&amp;"/防具碎片"&amp;AA3&amp;"/烈焰玄铁"&amp;AB3&amp;"/火龙币"&amp;AC3</f>
        <v>神器图纸1/防具碎片3/烈焰玄铁3/火龙币32</v>
      </c>
    </row>
    <row r="687" spans="1:8" ht="15.75" x14ac:dyDescent="0.3">
      <c r="A687" s="35" t="s">
        <v>3498</v>
      </c>
      <c r="B687" s="35" t="s">
        <v>3565</v>
      </c>
      <c r="C687" s="41" t="s">
        <v>3568</v>
      </c>
      <c r="D687" s="35">
        <v>1</v>
      </c>
      <c r="E687" s="111"/>
      <c r="F687" s="35"/>
      <c r="G687" s="35">
        <v>6</v>
      </c>
      <c r="H687" s="37" t="str">
        <f t="shared" ref="H687:H695" si="107">"神器图纸"&amp;Z4&amp;"/防具碎片"&amp;AA4&amp;"/烈焰玄铁"&amp;AB4&amp;"/火龙币"&amp;AC4</f>
        <v>神器图纸1/防具碎片3/烈焰玄铁3/火龙币35</v>
      </c>
    </row>
    <row r="688" spans="1:8" ht="15.75" x14ac:dyDescent="0.3">
      <c r="A688" s="35" t="s">
        <v>3498</v>
      </c>
      <c r="B688" s="35" t="s">
        <v>3565</v>
      </c>
      <c r="C688" s="41" t="s">
        <v>3568</v>
      </c>
      <c r="D688" s="35">
        <v>2</v>
      </c>
      <c r="E688" s="111"/>
      <c r="F688" s="35"/>
      <c r="G688" s="35">
        <v>12</v>
      </c>
      <c r="H688" s="37" t="str">
        <f t="shared" si="107"/>
        <v>神器图纸1/防具碎片4/烈焰玄铁4/火龙币37</v>
      </c>
    </row>
    <row r="689" spans="1:8" ht="15.75" x14ac:dyDescent="0.3">
      <c r="A689" s="35" t="s">
        <v>3498</v>
      </c>
      <c r="B689" s="35" t="s">
        <v>3565</v>
      </c>
      <c r="C689" s="41" t="s">
        <v>3568</v>
      </c>
      <c r="D689" s="35">
        <v>3</v>
      </c>
      <c r="E689" s="111"/>
      <c r="F689" s="35"/>
      <c r="G689" s="35">
        <v>18</v>
      </c>
      <c r="H689" s="37" t="str">
        <f t="shared" si="107"/>
        <v>神器图纸2/防具碎片4/烈焰玄铁4/火龙币39</v>
      </c>
    </row>
    <row r="690" spans="1:8" ht="15.75" x14ac:dyDescent="0.3">
      <c r="A690" s="35" t="s">
        <v>3498</v>
      </c>
      <c r="B690" s="35" t="s">
        <v>3565</v>
      </c>
      <c r="C690" s="41" t="s">
        <v>3568</v>
      </c>
      <c r="D690" s="35">
        <v>4</v>
      </c>
      <c r="E690" s="111"/>
      <c r="F690" s="35"/>
      <c r="G690" s="35">
        <v>24</v>
      </c>
      <c r="H690" s="37" t="str">
        <f t="shared" si="107"/>
        <v>神器图纸2/防具碎片4/烈焰玄铁4/火龙币41</v>
      </c>
    </row>
    <row r="691" spans="1:8" ht="15.75" x14ac:dyDescent="0.3">
      <c r="A691" s="35" t="s">
        <v>3498</v>
      </c>
      <c r="B691" s="35" t="s">
        <v>3565</v>
      </c>
      <c r="C691" s="41" t="s">
        <v>3568</v>
      </c>
      <c r="D691" s="35">
        <v>5</v>
      </c>
      <c r="E691" s="111"/>
      <c r="F691" s="35"/>
      <c r="G691" s="35">
        <v>30</v>
      </c>
      <c r="H691" s="37" t="str">
        <f t="shared" si="107"/>
        <v>神器图纸2/防具碎片4/烈焰玄铁4/火龙币44</v>
      </c>
    </row>
    <row r="692" spans="1:8" ht="15.75" x14ac:dyDescent="0.3">
      <c r="A692" s="35" t="s">
        <v>3498</v>
      </c>
      <c r="B692" s="35" t="s">
        <v>3565</v>
      </c>
      <c r="C692" s="41" t="s">
        <v>3568</v>
      </c>
      <c r="D692" s="35">
        <v>6</v>
      </c>
      <c r="E692" s="111"/>
      <c r="F692" s="35"/>
      <c r="G692" s="35">
        <v>36</v>
      </c>
      <c r="H692" s="37" t="str">
        <f t="shared" si="107"/>
        <v>神器图纸2/防具碎片5/烈焰玄铁5/火龙币46</v>
      </c>
    </row>
    <row r="693" spans="1:8" ht="15.75" x14ac:dyDescent="0.3">
      <c r="A693" s="35" t="s">
        <v>3498</v>
      </c>
      <c r="B693" s="35" t="s">
        <v>3565</v>
      </c>
      <c r="C693" s="41" t="s">
        <v>3568</v>
      </c>
      <c r="D693" s="35">
        <v>7</v>
      </c>
      <c r="E693" s="111"/>
      <c r="F693" s="35"/>
      <c r="G693" s="35">
        <v>42</v>
      </c>
      <c r="H693" s="37" t="str">
        <f t="shared" si="107"/>
        <v>神器图纸2/防具碎片5/烈焰玄铁5/火龙币48</v>
      </c>
    </row>
    <row r="694" spans="1:8" ht="15.75" x14ac:dyDescent="0.3">
      <c r="A694" s="35" t="s">
        <v>3498</v>
      </c>
      <c r="B694" s="35" t="s">
        <v>3565</v>
      </c>
      <c r="C694" s="41" t="s">
        <v>3568</v>
      </c>
      <c r="D694" s="35">
        <v>8</v>
      </c>
      <c r="E694" s="111"/>
      <c r="F694" s="35"/>
      <c r="G694" s="35">
        <v>48</v>
      </c>
      <c r="H694" s="37" t="str">
        <f t="shared" si="107"/>
        <v>神器图纸2/防具碎片5/烈焰玄铁5/火龙币50</v>
      </c>
    </row>
    <row r="695" spans="1:8" ht="15.75" x14ac:dyDescent="0.3">
      <c r="A695" s="35" t="s">
        <v>3498</v>
      </c>
      <c r="B695" s="35" t="s">
        <v>3565</v>
      </c>
      <c r="C695" s="41" t="s">
        <v>3568</v>
      </c>
      <c r="D695" s="35">
        <v>9</v>
      </c>
      <c r="E695" s="111"/>
      <c r="F695" s="35"/>
      <c r="G695" s="35">
        <v>54</v>
      </c>
      <c r="H695" s="37" t="str">
        <f t="shared" si="107"/>
        <v>神器图纸2/防具碎片5/烈焰玄铁5/火龙币53</v>
      </c>
    </row>
    <row r="696" spans="1:8" ht="15.75" x14ac:dyDescent="0.3">
      <c r="A696" s="35" t="s">
        <v>3498</v>
      </c>
      <c r="B696" s="35" t="s">
        <v>3565</v>
      </c>
      <c r="C696" s="41" t="s">
        <v>3568</v>
      </c>
      <c r="D696" s="35">
        <v>10</v>
      </c>
      <c r="E696" s="111"/>
      <c r="F696" s="35"/>
      <c r="G696" s="35">
        <v>60</v>
      </c>
      <c r="H696" s="37"/>
    </row>
    <row r="697" spans="1:8" ht="15.75" x14ac:dyDescent="0.3">
      <c r="A697" s="35" t="s">
        <v>3498</v>
      </c>
      <c r="B697" s="35" t="s">
        <v>3565</v>
      </c>
      <c r="C697" s="41" t="s">
        <v>3569</v>
      </c>
      <c r="D697" s="35">
        <v>0</v>
      </c>
      <c r="E697" s="111"/>
      <c r="F697" s="35"/>
      <c r="G697" s="113"/>
      <c r="H697" s="37" t="str">
        <f>"神器图纸"&amp;Z3&amp;"/防具碎片"&amp;AA3&amp;"/烈焰玄铁"&amp;AB3&amp;"/火龙币"&amp;AC3</f>
        <v>神器图纸1/防具碎片3/烈焰玄铁3/火龙币32</v>
      </c>
    </row>
    <row r="698" spans="1:8" ht="15.75" x14ac:dyDescent="0.3">
      <c r="A698" s="35" t="s">
        <v>3498</v>
      </c>
      <c r="B698" s="35" t="s">
        <v>3565</v>
      </c>
      <c r="C698" s="41" t="s">
        <v>3569</v>
      </c>
      <c r="D698" s="35">
        <v>1</v>
      </c>
      <c r="E698" s="111"/>
      <c r="F698" s="35"/>
      <c r="G698" s="35">
        <v>7</v>
      </c>
      <c r="H698" s="37" t="str">
        <f t="shared" ref="H698:H706" si="108">"神器图纸"&amp;Z4&amp;"/防具碎片"&amp;AA4&amp;"/烈焰玄铁"&amp;AB4&amp;"/火龙币"&amp;AC4</f>
        <v>神器图纸1/防具碎片3/烈焰玄铁3/火龙币35</v>
      </c>
    </row>
    <row r="699" spans="1:8" ht="15.75" x14ac:dyDescent="0.3">
      <c r="A699" s="35" t="s">
        <v>3498</v>
      </c>
      <c r="B699" s="35" t="s">
        <v>3565</v>
      </c>
      <c r="C699" s="41" t="s">
        <v>3569</v>
      </c>
      <c r="D699" s="35">
        <v>2</v>
      </c>
      <c r="E699" s="111"/>
      <c r="F699" s="35"/>
      <c r="G699" s="35">
        <v>14</v>
      </c>
      <c r="H699" s="37" t="str">
        <f t="shared" si="108"/>
        <v>神器图纸1/防具碎片4/烈焰玄铁4/火龙币37</v>
      </c>
    </row>
    <row r="700" spans="1:8" ht="15.75" x14ac:dyDescent="0.3">
      <c r="A700" s="35" t="s">
        <v>3498</v>
      </c>
      <c r="B700" s="35" t="s">
        <v>3565</v>
      </c>
      <c r="C700" s="41" t="s">
        <v>3569</v>
      </c>
      <c r="D700" s="35">
        <v>3</v>
      </c>
      <c r="E700" s="111"/>
      <c r="F700" s="35"/>
      <c r="G700" s="35">
        <v>21</v>
      </c>
      <c r="H700" s="37" t="str">
        <f t="shared" si="108"/>
        <v>神器图纸2/防具碎片4/烈焰玄铁4/火龙币39</v>
      </c>
    </row>
    <row r="701" spans="1:8" ht="15.75" x14ac:dyDescent="0.3">
      <c r="A701" s="35" t="s">
        <v>3498</v>
      </c>
      <c r="B701" s="35" t="s">
        <v>3565</v>
      </c>
      <c r="C701" s="41" t="s">
        <v>3569</v>
      </c>
      <c r="D701" s="35">
        <v>4</v>
      </c>
      <c r="E701" s="111"/>
      <c r="F701" s="35"/>
      <c r="G701" s="35">
        <v>28</v>
      </c>
      <c r="H701" s="37" t="str">
        <f t="shared" si="108"/>
        <v>神器图纸2/防具碎片4/烈焰玄铁4/火龙币41</v>
      </c>
    </row>
    <row r="702" spans="1:8" ht="15.75" x14ac:dyDescent="0.3">
      <c r="A702" s="35" t="s">
        <v>3498</v>
      </c>
      <c r="B702" s="35" t="s">
        <v>3565</v>
      </c>
      <c r="C702" s="41" t="s">
        <v>3569</v>
      </c>
      <c r="D702" s="35">
        <v>5</v>
      </c>
      <c r="E702" s="111"/>
      <c r="F702" s="35"/>
      <c r="G702" s="35">
        <v>35</v>
      </c>
      <c r="H702" s="37" t="str">
        <f t="shared" si="108"/>
        <v>神器图纸2/防具碎片4/烈焰玄铁4/火龙币44</v>
      </c>
    </row>
    <row r="703" spans="1:8" ht="15.75" x14ac:dyDescent="0.3">
      <c r="A703" s="35" t="s">
        <v>3498</v>
      </c>
      <c r="B703" s="35" t="s">
        <v>3565</v>
      </c>
      <c r="C703" s="41" t="s">
        <v>3569</v>
      </c>
      <c r="D703" s="35">
        <v>6</v>
      </c>
      <c r="E703" s="111"/>
      <c r="F703" s="35"/>
      <c r="G703" s="35">
        <v>42</v>
      </c>
      <c r="H703" s="37" t="str">
        <f t="shared" si="108"/>
        <v>神器图纸2/防具碎片5/烈焰玄铁5/火龙币46</v>
      </c>
    </row>
    <row r="704" spans="1:8" ht="15.75" x14ac:dyDescent="0.3">
      <c r="A704" s="35" t="s">
        <v>3498</v>
      </c>
      <c r="B704" s="35" t="s">
        <v>3565</v>
      </c>
      <c r="C704" s="41" t="s">
        <v>3569</v>
      </c>
      <c r="D704" s="35">
        <v>7</v>
      </c>
      <c r="E704" s="111"/>
      <c r="F704" s="35"/>
      <c r="G704" s="35">
        <v>49</v>
      </c>
      <c r="H704" s="37" t="str">
        <f t="shared" si="108"/>
        <v>神器图纸2/防具碎片5/烈焰玄铁5/火龙币48</v>
      </c>
    </row>
    <row r="705" spans="1:8" ht="15.75" x14ac:dyDescent="0.3">
      <c r="A705" s="35" t="s">
        <v>3498</v>
      </c>
      <c r="B705" s="35" t="s">
        <v>3565</v>
      </c>
      <c r="C705" s="41" t="s">
        <v>3569</v>
      </c>
      <c r="D705" s="35">
        <v>8</v>
      </c>
      <c r="E705" s="111"/>
      <c r="F705" s="35"/>
      <c r="G705" s="35">
        <v>56</v>
      </c>
      <c r="H705" s="37" t="str">
        <f t="shared" si="108"/>
        <v>神器图纸2/防具碎片5/烈焰玄铁5/火龙币50</v>
      </c>
    </row>
    <row r="706" spans="1:8" ht="15.75" x14ac:dyDescent="0.3">
      <c r="A706" s="35" t="s">
        <v>3498</v>
      </c>
      <c r="B706" s="35" t="s">
        <v>3565</v>
      </c>
      <c r="C706" s="41" t="s">
        <v>3569</v>
      </c>
      <c r="D706" s="35">
        <v>9</v>
      </c>
      <c r="E706" s="111"/>
      <c r="F706" s="35"/>
      <c r="G706" s="35">
        <v>63</v>
      </c>
      <c r="H706" s="37" t="str">
        <f t="shared" si="108"/>
        <v>神器图纸2/防具碎片5/烈焰玄铁5/火龙币53</v>
      </c>
    </row>
    <row r="707" spans="1:8" ht="15.75" x14ac:dyDescent="0.3">
      <c r="A707" s="35" t="s">
        <v>3498</v>
      </c>
      <c r="B707" s="35" t="s">
        <v>3565</v>
      </c>
      <c r="C707" s="41" t="s">
        <v>3569</v>
      </c>
      <c r="D707" s="35">
        <v>10</v>
      </c>
      <c r="E707" s="111"/>
      <c r="F707" s="35"/>
      <c r="G707" s="35">
        <v>70</v>
      </c>
      <c r="H707" s="37"/>
    </row>
    <row r="708" spans="1:8" ht="15.75" x14ac:dyDescent="0.3">
      <c r="A708" s="35" t="s">
        <v>3498</v>
      </c>
      <c r="B708" s="35" t="s">
        <v>3565</v>
      </c>
      <c r="C708" s="41" t="s">
        <v>3570</v>
      </c>
      <c r="D708" s="35">
        <v>0</v>
      </c>
      <c r="E708" s="111"/>
      <c r="F708" s="35"/>
      <c r="G708" s="113"/>
      <c r="H708" s="37" t="str">
        <f>"神器图纸"&amp;Z3&amp;"/防具碎片"&amp;AA3&amp;"/烈焰玄铁"&amp;AB3&amp;"/火龙币"&amp;AC3</f>
        <v>神器图纸1/防具碎片3/烈焰玄铁3/火龙币32</v>
      </c>
    </row>
    <row r="709" spans="1:8" ht="15.75" x14ac:dyDescent="0.3">
      <c r="A709" s="35" t="s">
        <v>3498</v>
      </c>
      <c r="B709" s="35" t="s">
        <v>3565</v>
      </c>
      <c r="C709" s="41" t="s">
        <v>3570</v>
      </c>
      <c r="D709" s="35">
        <v>1</v>
      </c>
      <c r="E709" s="111"/>
      <c r="F709" s="35"/>
      <c r="G709" s="35">
        <v>8</v>
      </c>
      <c r="H709" s="37" t="str">
        <f t="shared" ref="H709:H717" si="109">"神器图纸"&amp;Z4&amp;"/防具碎片"&amp;AA4&amp;"/烈焰玄铁"&amp;AB4&amp;"/火龙币"&amp;AC4</f>
        <v>神器图纸1/防具碎片3/烈焰玄铁3/火龙币35</v>
      </c>
    </row>
    <row r="710" spans="1:8" ht="15.75" x14ac:dyDescent="0.3">
      <c r="A710" s="35" t="s">
        <v>3498</v>
      </c>
      <c r="B710" s="35" t="s">
        <v>3565</v>
      </c>
      <c r="C710" s="41" t="s">
        <v>3570</v>
      </c>
      <c r="D710" s="35">
        <v>2</v>
      </c>
      <c r="E710" s="111"/>
      <c r="F710" s="35"/>
      <c r="G710" s="35">
        <v>16</v>
      </c>
      <c r="H710" s="37" t="str">
        <f t="shared" si="109"/>
        <v>神器图纸1/防具碎片4/烈焰玄铁4/火龙币37</v>
      </c>
    </row>
    <row r="711" spans="1:8" ht="15.75" x14ac:dyDescent="0.3">
      <c r="A711" s="35" t="s">
        <v>3498</v>
      </c>
      <c r="B711" s="35" t="s">
        <v>3565</v>
      </c>
      <c r="C711" s="41" t="s">
        <v>3570</v>
      </c>
      <c r="D711" s="35">
        <v>3</v>
      </c>
      <c r="E711" s="111"/>
      <c r="F711" s="35"/>
      <c r="G711" s="35">
        <v>24</v>
      </c>
      <c r="H711" s="37" t="str">
        <f t="shared" si="109"/>
        <v>神器图纸2/防具碎片4/烈焰玄铁4/火龙币39</v>
      </c>
    </row>
    <row r="712" spans="1:8" ht="15.75" x14ac:dyDescent="0.3">
      <c r="A712" s="35" t="s">
        <v>3498</v>
      </c>
      <c r="B712" s="35" t="s">
        <v>3565</v>
      </c>
      <c r="C712" s="41" t="s">
        <v>3570</v>
      </c>
      <c r="D712" s="35">
        <v>4</v>
      </c>
      <c r="E712" s="111"/>
      <c r="F712" s="35"/>
      <c r="G712" s="35">
        <v>32</v>
      </c>
      <c r="H712" s="37" t="str">
        <f t="shared" si="109"/>
        <v>神器图纸2/防具碎片4/烈焰玄铁4/火龙币41</v>
      </c>
    </row>
    <row r="713" spans="1:8" ht="15.75" x14ac:dyDescent="0.3">
      <c r="A713" s="35" t="s">
        <v>3498</v>
      </c>
      <c r="B713" s="35" t="s">
        <v>3565</v>
      </c>
      <c r="C713" s="41" t="s">
        <v>3570</v>
      </c>
      <c r="D713" s="35">
        <v>5</v>
      </c>
      <c r="E713" s="111"/>
      <c r="F713" s="35"/>
      <c r="G713" s="35">
        <v>40</v>
      </c>
      <c r="H713" s="37" t="str">
        <f t="shared" si="109"/>
        <v>神器图纸2/防具碎片4/烈焰玄铁4/火龙币44</v>
      </c>
    </row>
    <row r="714" spans="1:8" ht="15.75" x14ac:dyDescent="0.3">
      <c r="A714" s="35" t="s">
        <v>3498</v>
      </c>
      <c r="B714" s="35" t="s">
        <v>3565</v>
      </c>
      <c r="C714" s="41" t="s">
        <v>3570</v>
      </c>
      <c r="D714" s="35">
        <v>6</v>
      </c>
      <c r="E714" s="111"/>
      <c r="F714" s="35"/>
      <c r="G714" s="35">
        <v>48</v>
      </c>
      <c r="H714" s="37" t="str">
        <f t="shared" si="109"/>
        <v>神器图纸2/防具碎片5/烈焰玄铁5/火龙币46</v>
      </c>
    </row>
    <row r="715" spans="1:8" ht="15.75" x14ac:dyDescent="0.3">
      <c r="A715" s="35" t="s">
        <v>3498</v>
      </c>
      <c r="B715" s="35" t="s">
        <v>3565</v>
      </c>
      <c r="C715" s="41" t="s">
        <v>3570</v>
      </c>
      <c r="D715" s="35">
        <v>7</v>
      </c>
      <c r="E715" s="111"/>
      <c r="F715" s="35"/>
      <c r="G715" s="35">
        <v>56</v>
      </c>
      <c r="H715" s="37" t="str">
        <f t="shared" si="109"/>
        <v>神器图纸2/防具碎片5/烈焰玄铁5/火龙币48</v>
      </c>
    </row>
    <row r="716" spans="1:8" ht="15.75" x14ac:dyDescent="0.3">
      <c r="A716" s="35" t="s">
        <v>3498</v>
      </c>
      <c r="B716" s="35" t="s">
        <v>3565</v>
      </c>
      <c r="C716" s="41" t="s">
        <v>3570</v>
      </c>
      <c r="D716" s="35">
        <v>8</v>
      </c>
      <c r="E716" s="111"/>
      <c r="F716" s="35"/>
      <c r="G716" s="35">
        <v>64</v>
      </c>
      <c r="H716" s="37" t="str">
        <f t="shared" si="109"/>
        <v>神器图纸2/防具碎片5/烈焰玄铁5/火龙币50</v>
      </c>
    </row>
    <row r="717" spans="1:8" ht="15.75" x14ac:dyDescent="0.3">
      <c r="A717" s="35" t="s">
        <v>3498</v>
      </c>
      <c r="B717" s="35" t="s">
        <v>3565</v>
      </c>
      <c r="C717" s="41" t="s">
        <v>3570</v>
      </c>
      <c r="D717" s="35">
        <v>9</v>
      </c>
      <c r="E717" s="111"/>
      <c r="F717" s="35"/>
      <c r="G717" s="35">
        <v>72</v>
      </c>
      <c r="H717" s="37" t="str">
        <f t="shared" si="109"/>
        <v>神器图纸2/防具碎片5/烈焰玄铁5/火龙币53</v>
      </c>
    </row>
    <row r="718" spans="1:8" ht="15.75" x14ac:dyDescent="0.3">
      <c r="A718" s="35" t="s">
        <v>3498</v>
      </c>
      <c r="B718" s="35" t="s">
        <v>3565</v>
      </c>
      <c r="C718" s="41" t="s">
        <v>3570</v>
      </c>
      <c r="D718" s="35">
        <v>10</v>
      </c>
      <c r="E718" s="111"/>
      <c r="F718" s="35"/>
      <c r="G718" s="35">
        <v>80</v>
      </c>
      <c r="H718" s="37"/>
    </row>
    <row r="719" spans="1:8" ht="15.75" x14ac:dyDescent="0.3">
      <c r="A719" s="35" t="s">
        <v>3498</v>
      </c>
      <c r="B719" s="35" t="s">
        <v>3565</v>
      </c>
      <c r="C719" s="41" t="s">
        <v>3571</v>
      </c>
      <c r="D719" s="35">
        <v>0</v>
      </c>
      <c r="E719" s="111"/>
      <c r="F719" s="35"/>
      <c r="G719" s="113"/>
      <c r="H719" s="37" t="str">
        <f>"神器图纸"&amp;Z3&amp;"/防具碎片"&amp;AA3&amp;"/烈焰玄铁"&amp;AB3&amp;"/火龙币"&amp;AC3</f>
        <v>神器图纸1/防具碎片3/烈焰玄铁3/火龙币32</v>
      </c>
    </row>
    <row r="720" spans="1:8" ht="15.75" x14ac:dyDescent="0.3">
      <c r="A720" s="35" t="s">
        <v>3498</v>
      </c>
      <c r="B720" s="35" t="s">
        <v>3565</v>
      </c>
      <c r="C720" s="41" t="s">
        <v>3571</v>
      </c>
      <c r="D720" s="35">
        <v>1</v>
      </c>
      <c r="E720" s="111"/>
      <c r="F720" s="35"/>
      <c r="G720" s="35">
        <v>9</v>
      </c>
      <c r="H720" s="37" t="str">
        <f t="shared" ref="H720:H728" si="110">"神器图纸"&amp;Z4&amp;"/防具碎片"&amp;AA4&amp;"/烈焰玄铁"&amp;AB4&amp;"/火龙币"&amp;AC4</f>
        <v>神器图纸1/防具碎片3/烈焰玄铁3/火龙币35</v>
      </c>
    </row>
    <row r="721" spans="1:8" ht="15.75" x14ac:dyDescent="0.3">
      <c r="A721" s="35" t="s">
        <v>3498</v>
      </c>
      <c r="B721" s="35" t="s">
        <v>3565</v>
      </c>
      <c r="C721" s="41" t="s">
        <v>3571</v>
      </c>
      <c r="D721" s="35">
        <v>2</v>
      </c>
      <c r="E721" s="111"/>
      <c r="F721" s="35"/>
      <c r="G721" s="35">
        <v>18</v>
      </c>
      <c r="H721" s="37" t="str">
        <f t="shared" si="110"/>
        <v>神器图纸1/防具碎片4/烈焰玄铁4/火龙币37</v>
      </c>
    </row>
    <row r="722" spans="1:8" ht="15.75" x14ac:dyDescent="0.3">
      <c r="A722" s="35" t="s">
        <v>3498</v>
      </c>
      <c r="B722" s="35" t="s">
        <v>3565</v>
      </c>
      <c r="C722" s="41" t="s">
        <v>3571</v>
      </c>
      <c r="D722" s="35">
        <v>3</v>
      </c>
      <c r="E722" s="111"/>
      <c r="F722" s="35"/>
      <c r="G722" s="35">
        <v>27</v>
      </c>
      <c r="H722" s="37" t="str">
        <f t="shared" si="110"/>
        <v>神器图纸2/防具碎片4/烈焰玄铁4/火龙币39</v>
      </c>
    </row>
    <row r="723" spans="1:8" ht="15.75" x14ac:dyDescent="0.3">
      <c r="A723" s="35" t="s">
        <v>3498</v>
      </c>
      <c r="B723" s="35" t="s">
        <v>3565</v>
      </c>
      <c r="C723" s="41" t="s">
        <v>3571</v>
      </c>
      <c r="D723" s="35">
        <v>4</v>
      </c>
      <c r="E723" s="111"/>
      <c r="F723" s="35"/>
      <c r="G723" s="35">
        <v>36</v>
      </c>
      <c r="H723" s="37" t="str">
        <f t="shared" si="110"/>
        <v>神器图纸2/防具碎片4/烈焰玄铁4/火龙币41</v>
      </c>
    </row>
    <row r="724" spans="1:8" ht="15.75" x14ac:dyDescent="0.3">
      <c r="A724" s="35" t="s">
        <v>3498</v>
      </c>
      <c r="B724" s="35" t="s">
        <v>3565</v>
      </c>
      <c r="C724" s="41" t="s">
        <v>3571</v>
      </c>
      <c r="D724" s="35">
        <v>5</v>
      </c>
      <c r="E724" s="111"/>
      <c r="F724" s="35"/>
      <c r="G724" s="35">
        <v>45</v>
      </c>
      <c r="H724" s="37" t="str">
        <f t="shared" si="110"/>
        <v>神器图纸2/防具碎片4/烈焰玄铁4/火龙币44</v>
      </c>
    </row>
    <row r="725" spans="1:8" ht="15.75" x14ac:dyDescent="0.3">
      <c r="A725" s="35" t="s">
        <v>3498</v>
      </c>
      <c r="B725" s="35" t="s">
        <v>3565</v>
      </c>
      <c r="C725" s="41" t="s">
        <v>3571</v>
      </c>
      <c r="D725" s="35">
        <v>6</v>
      </c>
      <c r="E725" s="111"/>
      <c r="F725" s="35"/>
      <c r="G725" s="35">
        <v>54</v>
      </c>
      <c r="H725" s="37" t="str">
        <f t="shared" si="110"/>
        <v>神器图纸2/防具碎片5/烈焰玄铁5/火龙币46</v>
      </c>
    </row>
    <row r="726" spans="1:8" ht="15.75" x14ac:dyDescent="0.3">
      <c r="A726" s="35" t="s">
        <v>3498</v>
      </c>
      <c r="B726" s="35" t="s">
        <v>3565</v>
      </c>
      <c r="C726" s="41" t="s">
        <v>3571</v>
      </c>
      <c r="D726" s="35">
        <v>7</v>
      </c>
      <c r="E726" s="111"/>
      <c r="F726" s="35"/>
      <c r="G726" s="35">
        <v>63</v>
      </c>
      <c r="H726" s="37" t="str">
        <f t="shared" si="110"/>
        <v>神器图纸2/防具碎片5/烈焰玄铁5/火龙币48</v>
      </c>
    </row>
    <row r="727" spans="1:8" ht="15.75" x14ac:dyDescent="0.3">
      <c r="A727" s="35" t="s">
        <v>3498</v>
      </c>
      <c r="B727" s="35" t="s">
        <v>3565</v>
      </c>
      <c r="C727" s="41" t="s">
        <v>3571</v>
      </c>
      <c r="D727" s="35">
        <v>8</v>
      </c>
      <c r="E727" s="111"/>
      <c r="F727" s="35"/>
      <c r="G727" s="35">
        <v>72</v>
      </c>
      <c r="H727" s="37" t="str">
        <f t="shared" si="110"/>
        <v>神器图纸2/防具碎片5/烈焰玄铁5/火龙币50</v>
      </c>
    </row>
    <row r="728" spans="1:8" ht="15.75" x14ac:dyDescent="0.3">
      <c r="A728" s="35" t="s">
        <v>3498</v>
      </c>
      <c r="B728" s="35" t="s">
        <v>3565</v>
      </c>
      <c r="C728" s="41" t="s">
        <v>3571</v>
      </c>
      <c r="D728" s="35">
        <v>9</v>
      </c>
      <c r="E728" s="111"/>
      <c r="F728" s="35"/>
      <c r="G728" s="35">
        <v>81</v>
      </c>
      <c r="H728" s="37" t="str">
        <f t="shared" si="110"/>
        <v>神器图纸2/防具碎片5/烈焰玄铁5/火龙币53</v>
      </c>
    </row>
    <row r="729" spans="1:8" ht="15.75" x14ac:dyDescent="0.3">
      <c r="A729" s="35" t="s">
        <v>3498</v>
      </c>
      <c r="B729" s="35" t="s">
        <v>3565</v>
      </c>
      <c r="C729" s="41" t="s">
        <v>3571</v>
      </c>
      <c r="D729" s="35">
        <v>10</v>
      </c>
      <c r="E729" s="111"/>
      <c r="F729" s="35"/>
      <c r="G729" s="35">
        <v>90</v>
      </c>
      <c r="H729" s="37"/>
    </row>
    <row r="730" spans="1:8" ht="15.75" x14ac:dyDescent="0.3">
      <c r="A730" s="35" t="s">
        <v>3498</v>
      </c>
      <c r="B730" s="35" t="s">
        <v>3565</v>
      </c>
      <c r="C730" s="41" t="s">
        <v>3572</v>
      </c>
      <c r="D730" s="35">
        <v>0</v>
      </c>
      <c r="E730" s="111"/>
      <c r="F730" s="35"/>
      <c r="G730" s="113"/>
      <c r="H730" s="37" t="str">
        <f>"神器图纸"&amp;Z3&amp;"/防具碎片"&amp;AA3&amp;"/烈焰玄铁"&amp;AB3&amp;"/火龙币"&amp;AC3</f>
        <v>神器图纸1/防具碎片3/烈焰玄铁3/火龙币32</v>
      </c>
    </row>
    <row r="731" spans="1:8" ht="15.75" x14ac:dyDescent="0.3">
      <c r="A731" s="35" t="s">
        <v>3498</v>
      </c>
      <c r="B731" s="35" t="s">
        <v>3565</v>
      </c>
      <c r="C731" s="41" t="s">
        <v>3572</v>
      </c>
      <c r="D731" s="35">
        <v>1</v>
      </c>
      <c r="E731" s="111"/>
      <c r="F731" s="35"/>
      <c r="G731" s="35">
        <v>10</v>
      </c>
      <c r="H731" s="37" t="str">
        <f t="shared" ref="H731:H739" si="111">"神器图纸"&amp;Z4&amp;"/防具碎片"&amp;AA4&amp;"/烈焰玄铁"&amp;AB4&amp;"/火龙币"&amp;AC4</f>
        <v>神器图纸1/防具碎片3/烈焰玄铁3/火龙币35</v>
      </c>
    </row>
    <row r="732" spans="1:8" ht="15.75" x14ac:dyDescent="0.3">
      <c r="A732" s="35" t="s">
        <v>3498</v>
      </c>
      <c r="B732" s="35" t="s">
        <v>3565</v>
      </c>
      <c r="C732" s="41" t="s">
        <v>3572</v>
      </c>
      <c r="D732" s="35">
        <v>2</v>
      </c>
      <c r="E732" s="111"/>
      <c r="F732" s="35"/>
      <c r="G732" s="35">
        <v>20</v>
      </c>
      <c r="H732" s="37" t="str">
        <f t="shared" si="111"/>
        <v>神器图纸1/防具碎片4/烈焰玄铁4/火龙币37</v>
      </c>
    </row>
    <row r="733" spans="1:8" ht="15.75" x14ac:dyDescent="0.3">
      <c r="A733" s="35" t="s">
        <v>3498</v>
      </c>
      <c r="B733" s="35" t="s">
        <v>3565</v>
      </c>
      <c r="C733" s="41" t="s">
        <v>3572</v>
      </c>
      <c r="D733" s="35">
        <v>3</v>
      </c>
      <c r="E733" s="111"/>
      <c r="F733" s="35"/>
      <c r="G733" s="35">
        <v>30</v>
      </c>
      <c r="H733" s="37" t="str">
        <f t="shared" si="111"/>
        <v>神器图纸2/防具碎片4/烈焰玄铁4/火龙币39</v>
      </c>
    </row>
    <row r="734" spans="1:8" ht="15.75" x14ac:dyDescent="0.3">
      <c r="A734" s="35" t="s">
        <v>3498</v>
      </c>
      <c r="B734" s="35" t="s">
        <v>3565</v>
      </c>
      <c r="C734" s="41" t="s">
        <v>3572</v>
      </c>
      <c r="D734" s="35">
        <v>4</v>
      </c>
      <c r="E734" s="111"/>
      <c r="F734" s="35"/>
      <c r="G734" s="35">
        <v>40</v>
      </c>
      <c r="H734" s="37" t="str">
        <f t="shared" si="111"/>
        <v>神器图纸2/防具碎片4/烈焰玄铁4/火龙币41</v>
      </c>
    </row>
    <row r="735" spans="1:8" ht="15.75" x14ac:dyDescent="0.3">
      <c r="A735" s="35" t="s">
        <v>3498</v>
      </c>
      <c r="B735" s="35" t="s">
        <v>3565</v>
      </c>
      <c r="C735" s="41" t="s">
        <v>3572</v>
      </c>
      <c r="D735" s="35">
        <v>5</v>
      </c>
      <c r="E735" s="111"/>
      <c r="F735" s="35"/>
      <c r="G735" s="35">
        <v>50</v>
      </c>
      <c r="H735" s="37" t="str">
        <f t="shared" si="111"/>
        <v>神器图纸2/防具碎片4/烈焰玄铁4/火龙币44</v>
      </c>
    </row>
    <row r="736" spans="1:8" ht="15.75" x14ac:dyDescent="0.3">
      <c r="A736" s="35" t="s">
        <v>3498</v>
      </c>
      <c r="B736" s="35" t="s">
        <v>3565</v>
      </c>
      <c r="C736" s="41" t="s">
        <v>3572</v>
      </c>
      <c r="D736" s="35">
        <v>6</v>
      </c>
      <c r="E736" s="111"/>
      <c r="F736" s="35"/>
      <c r="G736" s="35">
        <v>60</v>
      </c>
      <c r="H736" s="37" t="str">
        <f t="shared" si="111"/>
        <v>神器图纸2/防具碎片5/烈焰玄铁5/火龙币46</v>
      </c>
    </row>
    <row r="737" spans="1:8" ht="15.75" x14ac:dyDescent="0.3">
      <c r="A737" s="35" t="s">
        <v>3498</v>
      </c>
      <c r="B737" s="35" t="s">
        <v>3565</v>
      </c>
      <c r="C737" s="41" t="s">
        <v>3572</v>
      </c>
      <c r="D737" s="35">
        <v>7</v>
      </c>
      <c r="E737" s="111"/>
      <c r="F737" s="35"/>
      <c r="G737" s="35">
        <v>70</v>
      </c>
      <c r="H737" s="37" t="str">
        <f t="shared" si="111"/>
        <v>神器图纸2/防具碎片5/烈焰玄铁5/火龙币48</v>
      </c>
    </row>
    <row r="738" spans="1:8" ht="15.75" x14ac:dyDescent="0.3">
      <c r="A738" s="35" t="s">
        <v>3498</v>
      </c>
      <c r="B738" s="35" t="s">
        <v>3565</v>
      </c>
      <c r="C738" s="41" t="s">
        <v>3572</v>
      </c>
      <c r="D738" s="35">
        <v>8</v>
      </c>
      <c r="E738" s="111"/>
      <c r="F738" s="35"/>
      <c r="G738" s="35">
        <v>80</v>
      </c>
      <c r="H738" s="37" t="str">
        <f t="shared" si="111"/>
        <v>神器图纸2/防具碎片5/烈焰玄铁5/火龙币50</v>
      </c>
    </row>
    <row r="739" spans="1:8" ht="15.75" x14ac:dyDescent="0.3">
      <c r="A739" s="35" t="s">
        <v>3498</v>
      </c>
      <c r="B739" s="35" t="s">
        <v>3565</v>
      </c>
      <c r="C739" s="41" t="s">
        <v>3572</v>
      </c>
      <c r="D739" s="35">
        <v>9</v>
      </c>
      <c r="E739" s="111"/>
      <c r="F739" s="35"/>
      <c r="G739" s="35">
        <v>90</v>
      </c>
      <c r="H739" s="37" t="str">
        <f t="shared" si="111"/>
        <v>神器图纸2/防具碎片5/烈焰玄铁5/火龙币53</v>
      </c>
    </row>
    <row r="740" spans="1:8" ht="15.75" x14ac:dyDescent="0.3">
      <c r="A740" s="35" t="s">
        <v>3498</v>
      </c>
      <c r="B740" s="35" t="s">
        <v>3565</v>
      </c>
      <c r="C740" s="41" t="s">
        <v>3572</v>
      </c>
      <c r="D740" s="35">
        <v>10</v>
      </c>
      <c r="E740" s="111"/>
      <c r="F740" s="35"/>
      <c r="G740" s="35">
        <v>100</v>
      </c>
      <c r="H740" s="37"/>
    </row>
    <row r="741" spans="1:8" ht="15.75" x14ac:dyDescent="0.3">
      <c r="A741" s="35" t="s">
        <v>3498</v>
      </c>
      <c r="B741" s="35" t="s">
        <v>3565</v>
      </c>
      <c r="C741" s="41" t="s">
        <v>3573</v>
      </c>
      <c r="D741" s="35">
        <v>0</v>
      </c>
      <c r="E741" s="111"/>
      <c r="F741" s="35"/>
      <c r="G741" s="113"/>
      <c r="H741" s="37" t="str">
        <f>"神器图纸"&amp;Z3&amp;"/防具碎片"&amp;AA3&amp;"/烈焰玄铁"&amp;AB3&amp;"/火龙币"&amp;AC3</f>
        <v>神器图纸1/防具碎片3/烈焰玄铁3/火龙币32</v>
      </c>
    </row>
    <row r="742" spans="1:8" ht="15.75" x14ac:dyDescent="0.3">
      <c r="A742" s="35" t="s">
        <v>3498</v>
      </c>
      <c r="B742" s="35" t="s">
        <v>3565</v>
      </c>
      <c r="C742" s="41" t="s">
        <v>3573</v>
      </c>
      <c r="D742" s="35">
        <v>1</v>
      </c>
      <c r="E742" s="111"/>
      <c r="F742" s="35"/>
      <c r="G742" s="35">
        <v>11</v>
      </c>
      <c r="H742" s="37" t="str">
        <f t="shared" ref="H742:H750" si="112">"神器图纸"&amp;Z4&amp;"/防具碎片"&amp;AA4&amp;"/烈焰玄铁"&amp;AB4&amp;"/火龙币"&amp;AC4</f>
        <v>神器图纸1/防具碎片3/烈焰玄铁3/火龙币35</v>
      </c>
    </row>
    <row r="743" spans="1:8" ht="15.75" x14ac:dyDescent="0.3">
      <c r="A743" s="35" t="s">
        <v>3498</v>
      </c>
      <c r="B743" s="35" t="s">
        <v>3565</v>
      </c>
      <c r="C743" s="41" t="s">
        <v>3573</v>
      </c>
      <c r="D743" s="35">
        <v>2</v>
      </c>
      <c r="E743" s="111"/>
      <c r="F743" s="35"/>
      <c r="G743" s="35">
        <v>22</v>
      </c>
      <c r="H743" s="37" t="str">
        <f t="shared" si="112"/>
        <v>神器图纸1/防具碎片4/烈焰玄铁4/火龙币37</v>
      </c>
    </row>
    <row r="744" spans="1:8" ht="15.75" x14ac:dyDescent="0.3">
      <c r="A744" s="35" t="s">
        <v>3498</v>
      </c>
      <c r="B744" s="35" t="s">
        <v>3565</v>
      </c>
      <c r="C744" s="41" t="s">
        <v>3573</v>
      </c>
      <c r="D744" s="35">
        <v>3</v>
      </c>
      <c r="E744" s="111"/>
      <c r="F744" s="35"/>
      <c r="G744" s="35">
        <v>33</v>
      </c>
      <c r="H744" s="37" t="str">
        <f t="shared" si="112"/>
        <v>神器图纸2/防具碎片4/烈焰玄铁4/火龙币39</v>
      </c>
    </row>
    <row r="745" spans="1:8" ht="15.75" x14ac:dyDescent="0.3">
      <c r="A745" s="35" t="s">
        <v>3498</v>
      </c>
      <c r="B745" s="35" t="s">
        <v>3565</v>
      </c>
      <c r="C745" s="41" t="s">
        <v>3573</v>
      </c>
      <c r="D745" s="35">
        <v>4</v>
      </c>
      <c r="E745" s="111"/>
      <c r="F745" s="35"/>
      <c r="G745" s="35">
        <v>44</v>
      </c>
      <c r="H745" s="37" t="str">
        <f t="shared" si="112"/>
        <v>神器图纸2/防具碎片4/烈焰玄铁4/火龙币41</v>
      </c>
    </row>
    <row r="746" spans="1:8" ht="15.75" x14ac:dyDescent="0.3">
      <c r="A746" s="35" t="s">
        <v>3498</v>
      </c>
      <c r="B746" s="35" t="s">
        <v>3565</v>
      </c>
      <c r="C746" s="41" t="s">
        <v>3573</v>
      </c>
      <c r="D746" s="35">
        <v>5</v>
      </c>
      <c r="E746" s="111"/>
      <c r="F746" s="35"/>
      <c r="G746" s="35">
        <v>55</v>
      </c>
      <c r="H746" s="37" t="str">
        <f t="shared" si="112"/>
        <v>神器图纸2/防具碎片4/烈焰玄铁4/火龙币44</v>
      </c>
    </row>
    <row r="747" spans="1:8" ht="15.75" x14ac:dyDescent="0.3">
      <c r="A747" s="35" t="s">
        <v>3498</v>
      </c>
      <c r="B747" s="35" t="s">
        <v>3565</v>
      </c>
      <c r="C747" s="41" t="s">
        <v>3573</v>
      </c>
      <c r="D747" s="35">
        <v>6</v>
      </c>
      <c r="E747" s="111"/>
      <c r="F747" s="35"/>
      <c r="G747" s="35">
        <v>66</v>
      </c>
      <c r="H747" s="37" t="str">
        <f t="shared" si="112"/>
        <v>神器图纸2/防具碎片5/烈焰玄铁5/火龙币46</v>
      </c>
    </row>
    <row r="748" spans="1:8" ht="15.75" x14ac:dyDescent="0.3">
      <c r="A748" s="35" t="s">
        <v>3498</v>
      </c>
      <c r="B748" s="35" t="s">
        <v>3565</v>
      </c>
      <c r="C748" s="41" t="s">
        <v>3573</v>
      </c>
      <c r="D748" s="35">
        <v>7</v>
      </c>
      <c r="E748" s="111"/>
      <c r="F748" s="35"/>
      <c r="G748" s="35">
        <v>77</v>
      </c>
      <c r="H748" s="37" t="str">
        <f t="shared" si="112"/>
        <v>神器图纸2/防具碎片5/烈焰玄铁5/火龙币48</v>
      </c>
    </row>
    <row r="749" spans="1:8" ht="15.75" x14ac:dyDescent="0.3">
      <c r="A749" s="35" t="s">
        <v>3498</v>
      </c>
      <c r="B749" s="35" t="s">
        <v>3565</v>
      </c>
      <c r="C749" s="41" t="s">
        <v>3573</v>
      </c>
      <c r="D749" s="35">
        <v>8</v>
      </c>
      <c r="E749" s="111"/>
      <c r="F749" s="35"/>
      <c r="G749" s="35">
        <v>88</v>
      </c>
      <c r="H749" s="37" t="str">
        <f t="shared" si="112"/>
        <v>神器图纸2/防具碎片5/烈焰玄铁5/火龙币50</v>
      </c>
    </row>
    <row r="750" spans="1:8" ht="15.75" x14ac:dyDescent="0.3">
      <c r="A750" s="35" t="s">
        <v>3498</v>
      </c>
      <c r="B750" s="35" t="s">
        <v>3565</v>
      </c>
      <c r="C750" s="41" t="s">
        <v>3573</v>
      </c>
      <c r="D750" s="35">
        <v>9</v>
      </c>
      <c r="E750" s="111"/>
      <c r="F750" s="35"/>
      <c r="G750" s="35">
        <v>99</v>
      </c>
      <c r="H750" s="37" t="str">
        <f t="shared" si="112"/>
        <v>神器图纸2/防具碎片5/烈焰玄铁5/火龙币53</v>
      </c>
    </row>
    <row r="751" spans="1:8" ht="15.75" x14ac:dyDescent="0.3">
      <c r="A751" s="35" t="s">
        <v>3498</v>
      </c>
      <c r="B751" s="35" t="s">
        <v>3565</v>
      </c>
      <c r="C751" s="41" t="s">
        <v>3573</v>
      </c>
      <c r="D751" s="35">
        <v>10</v>
      </c>
      <c r="E751" s="111"/>
      <c r="F751" s="35"/>
      <c r="G751" s="35">
        <v>110</v>
      </c>
      <c r="H751" s="37"/>
    </row>
    <row r="752" spans="1:8" ht="15.75" x14ac:dyDescent="0.3">
      <c r="A752" s="35" t="s">
        <v>3498</v>
      </c>
      <c r="B752" s="35" t="s">
        <v>3565</v>
      </c>
      <c r="C752" s="41" t="s">
        <v>3574</v>
      </c>
      <c r="D752" s="35">
        <v>0</v>
      </c>
      <c r="E752" s="111"/>
      <c r="F752" s="35"/>
      <c r="G752" s="113"/>
      <c r="H752" s="37" t="str">
        <f>"神器图纸"&amp;Z3&amp;"/防具碎片"&amp;AA3&amp;"/烈焰玄铁"&amp;AB3&amp;"/火龙币"&amp;AC3</f>
        <v>神器图纸1/防具碎片3/烈焰玄铁3/火龙币32</v>
      </c>
    </row>
    <row r="753" spans="1:8" ht="15.75" x14ac:dyDescent="0.3">
      <c r="A753" s="35" t="s">
        <v>3498</v>
      </c>
      <c r="B753" s="35" t="s">
        <v>3565</v>
      </c>
      <c r="C753" s="41" t="s">
        <v>3574</v>
      </c>
      <c r="D753" s="35">
        <v>1</v>
      </c>
      <c r="E753" s="111"/>
      <c r="F753" s="35"/>
      <c r="G753" s="35">
        <v>12</v>
      </c>
      <c r="H753" s="37" t="str">
        <f t="shared" ref="H753:H761" si="113">"神器图纸"&amp;Z4&amp;"/防具碎片"&amp;AA4&amp;"/烈焰玄铁"&amp;AB4&amp;"/火龙币"&amp;AC4</f>
        <v>神器图纸1/防具碎片3/烈焰玄铁3/火龙币35</v>
      </c>
    </row>
    <row r="754" spans="1:8" ht="15.75" x14ac:dyDescent="0.3">
      <c r="A754" s="35" t="s">
        <v>3498</v>
      </c>
      <c r="B754" s="35" t="s">
        <v>3565</v>
      </c>
      <c r="C754" s="41" t="s">
        <v>3574</v>
      </c>
      <c r="D754" s="35">
        <v>2</v>
      </c>
      <c r="E754" s="111"/>
      <c r="F754" s="35"/>
      <c r="G754" s="35">
        <v>24</v>
      </c>
      <c r="H754" s="37" t="str">
        <f t="shared" si="113"/>
        <v>神器图纸1/防具碎片4/烈焰玄铁4/火龙币37</v>
      </c>
    </row>
    <row r="755" spans="1:8" ht="15.75" x14ac:dyDescent="0.3">
      <c r="A755" s="35" t="s">
        <v>3498</v>
      </c>
      <c r="B755" s="35" t="s">
        <v>3565</v>
      </c>
      <c r="C755" s="41" t="s">
        <v>3574</v>
      </c>
      <c r="D755" s="35">
        <v>3</v>
      </c>
      <c r="E755" s="111"/>
      <c r="F755" s="35"/>
      <c r="G755" s="35">
        <v>36</v>
      </c>
      <c r="H755" s="37" t="str">
        <f t="shared" si="113"/>
        <v>神器图纸2/防具碎片4/烈焰玄铁4/火龙币39</v>
      </c>
    </row>
    <row r="756" spans="1:8" ht="15.75" x14ac:dyDescent="0.3">
      <c r="A756" s="35" t="s">
        <v>3498</v>
      </c>
      <c r="B756" s="35" t="s">
        <v>3565</v>
      </c>
      <c r="C756" s="41" t="s">
        <v>3574</v>
      </c>
      <c r="D756" s="35">
        <v>4</v>
      </c>
      <c r="E756" s="111"/>
      <c r="F756" s="35"/>
      <c r="G756" s="35">
        <v>48</v>
      </c>
      <c r="H756" s="37" t="str">
        <f t="shared" si="113"/>
        <v>神器图纸2/防具碎片4/烈焰玄铁4/火龙币41</v>
      </c>
    </row>
    <row r="757" spans="1:8" ht="15.75" x14ac:dyDescent="0.3">
      <c r="A757" s="35" t="s">
        <v>3498</v>
      </c>
      <c r="B757" s="35" t="s">
        <v>3565</v>
      </c>
      <c r="C757" s="41" t="s">
        <v>3574</v>
      </c>
      <c r="D757" s="35">
        <v>5</v>
      </c>
      <c r="E757" s="111"/>
      <c r="F757" s="35"/>
      <c r="G757" s="35">
        <v>60</v>
      </c>
      <c r="H757" s="37" t="str">
        <f t="shared" si="113"/>
        <v>神器图纸2/防具碎片4/烈焰玄铁4/火龙币44</v>
      </c>
    </row>
    <row r="758" spans="1:8" ht="15.75" x14ac:dyDescent="0.3">
      <c r="A758" s="35" t="s">
        <v>3498</v>
      </c>
      <c r="B758" s="35" t="s">
        <v>3565</v>
      </c>
      <c r="C758" s="41" t="s">
        <v>3574</v>
      </c>
      <c r="D758" s="35">
        <v>6</v>
      </c>
      <c r="E758" s="111"/>
      <c r="F758" s="35"/>
      <c r="G758" s="35">
        <v>72</v>
      </c>
      <c r="H758" s="37" t="str">
        <f t="shared" si="113"/>
        <v>神器图纸2/防具碎片5/烈焰玄铁5/火龙币46</v>
      </c>
    </row>
    <row r="759" spans="1:8" ht="15.75" x14ac:dyDescent="0.3">
      <c r="A759" s="35" t="s">
        <v>3498</v>
      </c>
      <c r="B759" s="35" t="s">
        <v>3565</v>
      </c>
      <c r="C759" s="41" t="s">
        <v>3574</v>
      </c>
      <c r="D759" s="35">
        <v>7</v>
      </c>
      <c r="E759" s="111"/>
      <c r="F759" s="35"/>
      <c r="G759" s="35">
        <v>84</v>
      </c>
      <c r="H759" s="37" t="str">
        <f t="shared" si="113"/>
        <v>神器图纸2/防具碎片5/烈焰玄铁5/火龙币48</v>
      </c>
    </row>
    <row r="760" spans="1:8" ht="15.75" x14ac:dyDescent="0.3">
      <c r="A760" s="35" t="s">
        <v>3498</v>
      </c>
      <c r="B760" s="35" t="s">
        <v>3565</v>
      </c>
      <c r="C760" s="41" t="s">
        <v>3574</v>
      </c>
      <c r="D760" s="35">
        <v>8</v>
      </c>
      <c r="E760" s="111"/>
      <c r="F760" s="35"/>
      <c r="G760" s="35">
        <v>96</v>
      </c>
      <c r="H760" s="37" t="str">
        <f t="shared" si="113"/>
        <v>神器图纸2/防具碎片5/烈焰玄铁5/火龙币50</v>
      </c>
    </row>
    <row r="761" spans="1:8" ht="15.75" x14ac:dyDescent="0.3">
      <c r="A761" s="35" t="s">
        <v>3498</v>
      </c>
      <c r="B761" s="35" t="s">
        <v>3565</v>
      </c>
      <c r="C761" s="41" t="s">
        <v>3574</v>
      </c>
      <c r="D761" s="35">
        <v>9</v>
      </c>
      <c r="E761" s="111"/>
      <c r="F761" s="35"/>
      <c r="G761" s="35">
        <v>108</v>
      </c>
      <c r="H761" s="37" t="str">
        <f t="shared" si="113"/>
        <v>神器图纸2/防具碎片5/烈焰玄铁5/火龙币53</v>
      </c>
    </row>
    <row r="762" spans="1:8" ht="15.75" x14ac:dyDescent="0.3">
      <c r="A762" s="35" t="s">
        <v>3498</v>
      </c>
      <c r="B762" s="35" t="s">
        <v>3565</v>
      </c>
      <c r="C762" s="41" t="s">
        <v>3574</v>
      </c>
      <c r="D762" s="35">
        <v>10</v>
      </c>
      <c r="E762" s="111"/>
      <c r="F762" s="35"/>
      <c r="G762" s="35">
        <v>120</v>
      </c>
      <c r="H762" s="37"/>
    </row>
    <row r="763" spans="1:8" ht="15.75" x14ac:dyDescent="0.3">
      <c r="A763" s="35" t="s">
        <v>3498</v>
      </c>
      <c r="B763" s="35" t="s">
        <v>3565</v>
      </c>
      <c r="C763" s="41" t="s">
        <v>3575</v>
      </c>
      <c r="D763" s="35">
        <v>0</v>
      </c>
      <c r="E763" s="111"/>
      <c r="F763" s="35"/>
      <c r="G763" s="113"/>
      <c r="H763" s="37" t="str">
        <f>"神器图纸"&amp;Z3&amp;"/防具碎片"&amp;AA3&amp;"/烈焰玄铁"&amp;AB3&amp;"/火龙币"&amp;AC3</f>
        <v>神器图纸1/防具碎片3/烈焰玄铁3/火龙币32</v>
      </c>
    </row>
    <row r="764" spans="1:8" ht="15.75" x14ac:dyDescent="0.3">
      <c r="A764" s="35" t="s">
        <v>3498</v>
      </c>
      <c r="B764" s="35" t="s">
        <v>3565</v>
      </c>
      <c r="C764" s="41" t="s">
        <v>3575</v>
      </c>
      <c r="D764" s="35">
        <v>1</v>
      </c>
      <c r="E764" s="111"/>
      <c r="F764" s="35"/>
      <c r="G764" s="35">
        <v>13</v>
      </c>
      <c r="H764" s="37" t="str">
        <f t="shared" ref="H764:H772" si="114">"神器图纸"&amp;Z4&amp;"/防具碎片"&amp;AA4&amp;"/烈焰玄铁"&amp;AB4&amp;"/火龙币"&amp;AC4</f>
        <v>神器图纸1/防具碎片3/烈焰玄铁3/火龙币35</v>
      </c>
    </row>
    <row r="765" spans="1:8" ht="15.75" x14ac:dyDescent="0.3">
      <c r="A765" s="35" t="s">
        <v>3498</v>
      </c>
      <c r="B765" s="35" t="s">
        <v>3565</v>
      </c>
      <c r="C765" s="41" t="s">
        <v>3575</v>
      </c>
      <c r="D765" s="35">
        <v>2</v>
      </c>
      <c r="E765" s="111"/>
      <c r="F765" s="35"/>
      <c r="G765" s="35">
        <v>26</v>
      </c>
      <c r="H765" s="37" t="str">
        <f t="shared" si="114"/>
        <v>神器图纸1/防具碎片4/烈焰玄铁4/火龙币37</v>
      </c>
    </row>
    <row r="766" spans="1:8" ht="15.75" x14ac:dyDescent="0.3">
      <c r="A766" s="35" t="s">
        <v>3498</v>
      </c>
      <c r="B766" s="35" t="s">
        <v>3565</v>
      </c>
      <c r="C766" s="41" t="s">
        <v>3575</v>
      </c>
      <c r="D766" s="35">
        <v>3</v>
      </c>
      <c r="E766" s="111"/>
      <c r="F766" s="35"/>
      <c r="G766" s="35">
        <v>39</v>
      </c>
      <c r="H766" s="37" t="str">
        <f t="shared" si="114"/>
        <v>神器图纸2/防具碎片4/烈焰玄铁4/火龙币39</v>
      </c>
    </row>
    <row r="767" spans="1:8" ht="15.75" x14ac:dyDescent="0.3">
      <c r="A767" s="35" t="s">
        <v>3498</v>
      </c>
      <c r="B767" s="35" t="s">
        <v>3565</v>
      </c>
      <c r="C767" s="41" t="s">
        <v>3575</v>
      </c>
      <c r="D767" s="35">
        <v>4</v>
      </c>
      <c r="E767" s="111"/>
      <c r="F767" s="35"/>
      <c r="G767" s="35">
        <v>52</v>
      </c>
      <c r="H767" s="37" t="str">
        <f t="shared" si="114"/>
        <v>神器图纸2/防具碎片4/烈焰玄铁4/火龙币41</v>
      </c>
    </row>
    <row r="768" spans="1:8" ht="15.75" x14ac:dyDescent="0.3">
      <c r="A768" s="35" t="s">
        <v>3498</v>
      </c>
      <c r="B768" s="35" t="s">
        <v>3565</v>
      </c>
      <c r="C768" s="41" t="s">
        <v>3575</v>
      </c>
      <c r="D768" s="35">
        <v>5</v>
      </c>
      <c r="E768" s="111"/>
      <c r="F768" s="35"/>
      <c r="G768" s="35">
        <v>65</v>
      </c>
      <c r="H768" s="37" t="str">
        <f t="shared" si="114"/>
        <v>神器图纸2/防具碎片4/烈焰玄铁4/火龙币44</v>
      </c>
    </row>
    <row r="769" spans="1:8" ht="15.75" x14ac:dyDescent="0.3">
      <c r="A769" s="35" t="s">
        <v>3498</v>
      </c>
      <c r="B769" s="35" t="s">
        <v>3565</v>
      </c>
      <c r="C769" s="41" t="s">
        <v>3575</v>
      </c>
      <c r="D769" s="35">
        <v>6</v>
      </c>
      <c r="E769" s="111"/>
      <c r="F769" s="35"/>
      <c r="G769" s="35">
        <v>78</v>
      </c>
      <c r="H769" s="37" t="str">
        <f t="shared" si="114"/>
        <v>神器图纸2/防具碎片5/烈焰玄铁5/火龙币46</v>
      </c>
    </row>
    <row r="770" spans="1:8" ht="15.75" x14ac:dyDescent="0.3">
      <c r="A770" s="35" t="s">
        <v>3498</v>
      </c>
      <c r="B770" s="35" t="s">
        <v>3565</v>
      </c>
      <c r="C770" s="41" t="s">
        <v>3575</v>
      </c>
      <c r="D770" s="35">
        <v>7</v>
      </c>
      <c r="E770" s="111"/>
      <c r="F770" s="35"/>
      <c r="G770" s="35">
        <v>91</v>
      </c>
      <c r="H770" s="37" t="str">
        <f t="shared" si="114"/>
        <v>神器图纸2/防具碎片5/烈焰玄铁5/火龙币48</v>
      </c>
    </row>
    <row r="771" spans="1:8" ht="15.75" x14ac:dyDescent="0.3">
      <c r="A771" s="35" t="s">
        <v>3498</v>
      </c>
      <c r="B771" s="35" t="s">
        <v>3565</v>
      </c>
      <c r="C771" s="41" t="s">
        <v>3575</v>
      </c>
      <c r="D771" s="35">
        <v>8</v>
      </c>
      <c r="E771" s="111"/>
      <c r="F771" s="35"/>
      <c r="G771" s="35">
        <v>104</v>
      </c>
      <c r="H771" s="37" t="str">
        <f t="shared" si="114"/>
        <v>神器图纸2/防具碎片5/烈焰玄铁5/火龙币50</v>
      </c>
    </row>
    <row r="772" spans="1:8" ht="15.75" x14ac:dyDescent="0.3">
      <c r="A772" s="35" t="s">
        <v>3498</v>
      </c>
      <c r="B772" s="35" t="s">
        <v>3565</v>
      </c>
      <c r="C772" s="41" t="s">
        <v>3575</v>
      </c>
      <c r="D772" s="35">
        <v>9</v>
      </c>
      <c r="E772" s="111"/>
      <c r="F772" s="35"/>
      <c r="G772" s="35">
        <v>117</v>
      </c>
      <c r="H772" s="37" t="str">
        <f t="shared" si="114"/>
        <v>神器图纸2/防具碎片5/烈焰玄铁5/火龙币53</v>
      </c>
    </row>
    <row r="773" spans="1:8" ht="15.75" x14ac:dyDescent="0.3">
      <c r="A773" s="35" t="s">
        <v>3498</v>
      </c>
      <c r="B773" s="35" t="s">
        <v>3565</v>
      </c>
      <c r="C773" s="41" t="s">
        <v>3575</v>
      </c>
      <c r="D773" s="35">
        <v>10</v>
      </c>
      <c r="E773" s="111"/>
      <c r="F773" s="35"/>
      <c r="G773" s="35">
        <v>130</v>
      </c>
      <c r="H773" s="37"/>
    </row>
    <row r="774" spans="1:8" ht="15.75" x14ac:dyDescent="0.3">
      <c r="A774" s="44" t="s">
        <v>3498</v>
      </c>
      <c r="B774" s="44" t="s">
        <v>3576</v>
      </c>
      <c r="C774" s="45" t="s">
        <v>3577</v>
      </c>
      <c r="D774" s="44">
        <v>0</v>
      </c>
      <c r="E774" s="114"/>
      <c r="F774" s="44"/>
      <c r="G774" s="117"/>
      <c r="H774" s="116" t="str">
        <f>"神器图纸"&amp;Z3&amp;"/防具碎片"&amp;AA3&amp;"/烈焰玄铁"&amp;AB3&amp;"/火龙币"&amp;AC3</f>
        <v>神器图纸1/防具碎片3/烈焰玄铁3/火龙币32</v>
      </c>
    </row>
    <row r="775" spans="1:8" ht="15.75" x14ac:dyDescent="0.3">
      <c r="A775" s="44" t="s">
        <v>3498</v>
      </c>
      <c r="B775" s="44" t="s">
        <v>3576</v>
      </c>
      <c r="C775" s="45" t="s">
        <v>3577</v>
      </c>
      <c r="D775" s="44">
        <v>1</v>
      </c>
      <c r="E775" s="114"/>
      <c r="F775" s="44"/>
      <c r="G775" s="44">
        <v>4</v>
      </c>
      <c r="H775" s="116" t="str">
        <f t="shared" ref="H775:H783" si="115">"神器图纸"&amp;Z4&amp;"/防具碎片"&amp;AA4&amp;"/烈焰玄铁"&amp;AB4&amp;"/火龙币"&amp;AC4</f>
        <v>神器图纸1/防具碎片3/烈焰玄铁3/火龙币35</v>
      </c>
    </row>
    <row r="776" spans="1:8" ht="15.75" x14ac:dyDescent="0.3">
      <c r="A776" s="44" t="s">
        <v>3498</v>
      </c>
      <c r="B776" s="44" t="s">
        <v>3576</v>
      </c>
      <c r="C776" s="45" t="s">
        <v>3577</v>
      </c>
      <c r="D776" s="44">
        <v>2</v>
      </c>
      <c r="E776" s="114"/>
      <c r="F776" s="44"/>
      <c r="G776" s="44">
        <v>8</v>
      </c>
      <c r="H776" s="116" t="str">
        <f t="shared" si="115"/>
        <v>神器图纸1/防具碎片4/烈焰玄铁4/火龙币37</v>
      </c>
    </row>
    <row r="777" spans="1:8" ht="15.75" x14ac:dyDescent="0.3">
      <c r="A777" s="44" t="s">
        <v>3498</v>
      </c>
      <c r="B777" s="44" t="s">
        <v>3576</v>
      </c>
      <c r="C777" s="45" t="s">
        <v>3577</v>
      </c>
      <c r="D777" s="44">
        <v>3</v>
      </c>
      <c r="E777" s="114"/>
      <c r="F777" s="44"/>
      <c r="G777" s="44">
        <v>12</v>
      </c>
      <c r="H777" s="116" t="str">
        <f t="shared" si="115"/>
        <v>神器图纸2/防具碎片4/烈焰玄铁4/火龙币39</v>
      </c>
    </row>
    <row r="778" spans="1:8" ht="15.75" x14ac:dyDescent="0.3">
      <c r="A778" s="44" t="s">
        <v>3498</v>
      </c>
      <c r="B778" s="44" t="s">
        <v>3576</v>
      </c>
      <c r="C778" s="45" t="s">
        <v>3577</v>
      </c>
      <c r="D778" s="44">
        <v>4</v>
      </c>
      <c r="E778" s="114"/>
      <c r="F778" s="44"/>
      <c r="G778" s="44">
        <v>16</v>
      </c>
      <c r="H778" s="116" t="str">
        <f t="shared" si="115"/>
        <v>神器图纸2/防具碎片4/烈焰玄铁4/火龙币41</v>
      </c>
    </row>
    <row r="779" spans="1:8" ht="15.75" x14ac:dyDescent="0.3">
      <c r="A779" s="44" t="s">
        <v>3498</v>
      </c>
      <c r="B779" s="44" t="s">
        <v>3576</v>
      </c>
      <c r="C779" s="45" t="s">
        <v>3577</v>
      </c>
      <c r="D779" s="44">
        <v>5</v>
      </c>
      <c r="E779" s="114"/>
      <c r="F779" s="44"/>
      <c r="G779" s="44">
        <v>20</v>
      </c>
      <c r="H779" s="116" t="str">
        <f t="shared" si="115"/>
        <v>神器图纸2/防具碎片4/烈焰玄铁4/火龙币44</v>
      </c>
    </row>
    <row r="780" spans="1:8" ht="15.75" x14ac:dyDescent="0.3">
      <c r="A780" s="44" t="s">
        <v>3498</v>
      </c>
      <c r="B780" s="44" t="s">
        <v>3576</v>
      </c>
      <c r="C780" s="45" t="s">
        <v>3577</v>
      </c>
      <c r="D780" s="44">
        <v>6</v>
      </c>
      <c r="E780" s="114"/>
      <c r="F780" s="44"/>
      <c r="G780" s="44">
        <v>24</v>
      </c>
      <c r="H780" s="116" t="str">
        <f t="shared" si="115"/>
        <v>神器图纸2/防具碎片5/烈焰玄铁5/火龙币46</v>
      </c>
    </row>
    <row r="781" spans="1:8" ht="15.75" x14ac:dyDescent="0.3">
      <c r="A781" s="44" t="s">
        <v>3498</v>
      </c>
      <c r="B781" s="44" t="s">
        <v>3576</v>
      </c>
      <c r="C781" s="45" t="s">
        <v>3577</v>
      </c>
      <c r="D781" s="44">
        <v>7</v>
      </c>
      <c r="E781" s="114"/>
      <c r="F781" s="44"/>
      <c r="G781" s="44">
        <v>28</v>
      </c>
      <c r="H781" s="116" t="str">
        <f t="shared" si="115"/>
        <v>神器图纸2/防具碎片5/烈焰玄铁5/火龙币48</v>
      </c>
    </row>
    <row r="782" spans="1:8" ht="15.75" x14ac:dyDescent="0.3">
      <c r="A782" s="44" t="s">
        <v>3498</v>
      </c>
      <c r="B782" s="44" t="s">
        <v>3576</v>
      </c>
      <c r="C782" s="45" t="s">
        <v>3577</v>
      </c>
      <c r="D782" s="44">
        <v>8</v>
      </c>
      <c r="E782" s="114"/>
      <c r="F782" s="44"/>
      <c r="G782" s="44">
        <v>32</v>
      </c>
      <c r="H782" s="116" t="str">
        <f t="shared" si="115"/>
        <v>神器图纸2/防具碎片5/烈焰玄铁5/火龙币50</v>
      </c>
    </row>
    <row r="783" spans="1:8" ht="15.75" x14ac:dyDescent="0.3">
      <c r="A783" s="44" t="s">
        <v>3498</v>
      </c>
      <c r="B783" s="44" t="s">
        <v>3576</v>
      </c>
      <c r="C783" s="45" t="s">
        <v>3577</v>
      </c>
      <c r="D783" s="44">
        <v>9</v>
      </c>
      <c r="E783" s="114"/>
      <c r="F783" s="44"/>
      <c r="G783" s="44">
        <v>36</v>
      </c>
      <c r="H783" s="116" t="str">
        <f t="shared" si="115"/>
        <v>神器图纸2/防具碎片5/烈焰玄铁5/火龙币53</v>
      </c>
    </row>
    <row r="784" spans="1:8" ht="15.75" x14ac:dyDescent="0.3">
      <c r="A784" s="44" t="s">
        <v>3498</v>
      </c>
      <c r="B784" s="44" t="s">
        <v>3576</v>
      </c>
      <c r="C784" s="45" t="s">
        <v>3577</v>
      </c>
      <c r="D784" s="44">
        <v>10</v>
      </c>
      <c r="E784" s="114"/>
      <c r="F784" s="44"/>
      <c r="G784" s="44">
        <v>40</v>
      </c>
      <c r="H784" s="116"/>
    </row>
    <row r="785" spans="1:8" ht="15.75" x14ac:dyDescent="0.3">
      <c r="A785" s="44" t="s">
        <v>3498</v>
      </c>
      <c r="B785" s="44" t="s">
        <v>3576</v>
      </c>
      <c r="C785" s="45" t="s">
        <v>3578</v>
      </c>
      <c r="D785" s="44">
        <v>0</v>
      </c>
      <c r="E785" s="114"/>
      <c r="F785" s="44"/>
      <c r="G785" s="117"/>
      <c r="H785" s="116" t="str">
        <f>"神器图纸"&amp;Z3&amp;"/防具碎片"&amp;AA3&amp;"/烈焰玄铁"&amp;AB3&amp;"/火龙币"&amp;AC3</f>
        <v>神器图纸1/防具碎片3/烈焰玄铁3/火龙币32</v>
      </c>
    </row>
    <row r="786" spans="1:8" ht="15.75" x14ac:dyDescent="0.3">
      <c r="A786" s="44" t="s">
        <v>3498</v>
      </c>
      <c r="B786" s="44" t="s">
        <v>3576</v>
      </c>
      <c r="C786" s="45" t="s">
        <v>3578</v>
      </c>
      <c r="D786" s="44">
        <v>1</v>
      </c>
      <c r="E786" s="114"/>
      <c r="F786" s="44"/>
      <c r="G786" s="44">
        <v>5</v>
      </c>
      <c r="H786" s="116" t="str">
        <f t="shared" ref="H786:H794" si="116">"神器图纸"&amp;Z4&amp;"/防具碎片"&amp;AA4&amp;"/烈焰玄铁"&amp;AB4&amp;"/火龙币"&amp;AC4</f>
        <v>神器图纸1/防具碎片3/烈焰玄铁3/火龙币35</v>
      </c>
    </row>
    <row r="787" spans="1:8" ht="15.75" x14ac:dyDescent="0.3">
      <c r="A787" s="44" t="s">
        <v>3498</v>
      </c>
      <c r="B787" s="44" t="s">
        <v>3576</v>
      </c>
      <c r="C787" s="45" t="s">
        <v>3578</v>
      </c>
      <c r="D787" s="44">
        <v>2</v>
      </c>
      <c r="E787" s="114"/>
      <c r="F787" s="44"/>
      <c r="G787" s="44">
        <v>10</v>
      </c>
      <c r="H787" s="116" t="str">
        <f t="shared" si="116"/>
        <v>神器图纸1/防具碎片4/烈焰玄铁4/火龙币37</v>
      </c>
    </row>
    <row r="788" spans="1:8" ht="15.75" x14ac:dyDescent="0.3">
      <c r="A788" s="44" t="s">
        <v>3498</v>
      </c>
      <c r="B788" s="44" t="s">
        <v>3576</v>
      </c>
      <c r="C788" s="45" t="s">
        <v>3578</v>
      </c>
      <c r="D788" s="44">
        <v>3</v>
      </c>
      <c r="E788" s="114"/>
      <c r="F788" s="44"/>
      <c r="G788" s="44">
        <v>15</v>
      </c>
      <c r="H788" s="116" t="str">
        <f t="shared" si="116"/>
        <v>神器图纸2/防具碎片4/烈焰玄铁4/火龙币39</v>
      </c>
    </row>
    <row r="789" spans="1:8" ht="15.75" x14ac:dyDescent="0.3">
      <c r="A789" s="44" t="s">
        <v>3498</v>
      </c>
      <c r="B789" s="44" t="s">
        <v>3576</v>
      </c>
      <c r="C789" s="45" t="s">
        <v>3578</v>
      </c>
      <c r="D789" s="44">
        <v>4</v>
      </c>
      <c r="E789" s="114"/>
      <c r="F789" s="44"/>
      <c r="G789" s="44">
        <v>20</v>
      </c>
      <c r="H789" s="116" t="str">
        <f t="shared" si="116"/>
        <v>神器图纸2/防具碎片4/烈焰玄铁4/火龙币41</v>
      </c>
    </row>
    <row r="790" spans="1:8" ht="15.75" x14ac:dyDescent="0.3">
      <c r="A790" s="44" t="s">
        <v>3498</v>
      </c>
      <c r="B790" s="44" t="s">
        <v>3576</v>
      </c>
      <c r="C790" s="45" t="s">
        <v>3578</v>
      </c>
      <c r="D790" s="44">
        <v>5</v>
      </c>
      <c r="E790" s="114"/>
      <c r="F790" s="44"/>
      <c r="G790" s="44">
        <v>25</v>
      </c>
      <c r="H790" s="116" t="str">
        <f t="shared" si="116"/>
        <v>神器图纸2/防具碎片4/烈焰玄铁4/火龙币44</v>
      </c>
    </row>
    <row r="791" spans="1:8" ht="15.75" x14ac:dyDescent="0.3">
      <c r="A791" s="44" t="s">
        <v>3498</v>
      </c>
      <c r="B791" s="44" t="s">
        <v>3576</v>
      </c>
      <c r="C791" s="45" t="s">
        <v>3578</v>
      </c>
      <c r="D791" s="44">
        <v>6</v>
      </c>
      <c r="E791" s="114"/>
      <c r="F791" s="44"/>
      <c r="G791" s="44">
        <v>30</v>
      </c>
      <c r="H791" s="116" t="str">
        <f t="shared" si="116"/>
        <v>神器图纸2/防具碎片5/烈焰玄铁5/火龙币46</v>
      </c>
    </row>
    <row r="792" spans="1:8" ht="15.75" x14ac:dyDescent="0.3">
      <c r="A792" s="44" t="s">
        <v>3498</v>
      </c>
      <c r="B792" s="44" t="s">
        <v>3576</v>
      </c>
      <c r="C792" s="45" t="s">
        <v>3578</v>
      </c>
      <c r="D792" s="44">
        <v>7</v>
      </c>
      <c r="E792" s="114"/>
      <c r="F792" s="44"/>
      <c r="G792" s="44">
        <v>35</v>
      </c>
      <c r="H792" s="116" t="str">
        <f t="shared" si="116"/>
        <v>神器图纸2/防具碎片5/烈焰玄铁5/火龙币48</v>
      </c>
    </row>
    <row r="793" spans="1:8" ht="15.75" x14ac:dyDescent="0.3">
      <c r="A793" s="44" t="s">
        <v>3498</v>
      </c>
      <c r="B793" s="44" t="s">
        <v>3576</v>
      </c>
      <c r="C793" s="45" t="s">
        <v>3578</v>
      </c>
      <c r="D793" s="44">
        <v>8</v>
      </c>
      <c r="E793" s="114"/>
      <c r="F793" s="44"/>
      <c r="G793" s="44">
        <v>40</v>
      </c>
      <c r="H793" s="116" t="str">
        <f t="shared" si="116"/>
        <v>神器图纸2/防具碎片5/烈焰玄铁5/火龙币50</v>
      </c>
    </row>
    <row r="794" spans="1:8" ht="15.75" x14ac:dyDescent="0.3">
      <c r="A794" s="44" t="s">
        <v>3498</v>
      </c>
      <c r="B794" s="44" t="s">
        <v>3576</v>
      </c>
      <c r="C794" s="45" t="s">
        <v>3578</v>
      </c>
      <c r="D794" s="44">
        <v>9</v>
      </c>
      <c r="E794" s="114"/>
      <c r="F794" s="44"/>
      <c r="G794" s="44">
        <v>45</v>
      </c>
      <c r="H794" s="116" t="str">
        <f t="shared" si="116"/>
        <v>神器图纸2/防具碎片5/烈焰玄铁5/火龙币53</v>
      </c>
    </row>
    <row r="795" spans="1:8" ht="15.75" x14ac:dyDescent="0.3">
      <c r="A795" s="44" t="s">
        <v>3498</v>
      </c>
      <c r="B795" s="44" t="s">
        <v>3576</v>
      </c>
      <c r="C795" s="45" t="s">
        <v>3578</v>
      </c>
      <c r="D795" s="44">
        <v>10</v>
      </c>
      <c r="E795" s="114"/>
      <c r="F795" s="44"/>
      <c r="G795" s="44">
        <v>50</v>
      </c>
      <c r="H795" s="116"/>
    </row>
    <row r="796" spans="1:8" ht="15.75" x14ac:dyDescent="0.3">
      <c r="A796" s="44" t="s">
        <v>3498</v>
      </c>
      <c r="B796" s="44" t="s">
        <v>3576</v>
      </c>
      <c r="C796" s="45" t="s">
        <v>3579</v>
      </c>
      <c r="D796" s="44">
        <v>0</v>
      </c>
      <c r="E796" s="114"/>
      <c r="F796" s="44"/>
      <c r="G796" s="117"/>
      <c r="H796" s="116" t="str">
        <f>"神器图纸"&amp;Z3&amp;"/防具碎片"&amp;AA3&amp;"/烈焰玄铁"&amp;AB3&amp;"/火龙币"&amp;AC3</f>
        <v>神器图纸1/防具碎片3/烈焰玄铁3/火龙币32</v>
      </c>
    </row>
    <row r="797" spans="1:8" ht="15.75" x14ac:dyDescent="0.3">
      <c r="A797" s="44" t="s">
        <v>3498</v>
      </c>
      <c r="B797" s="44" t="s">
        <v>3576</v>
      </c>
      <c r="C797" s="45" t="s">
        <v>3579</v>
      </c>
      <c r="D797" s="44">
        <v>1</v>
      </c>
      <c r="E797" s="114"/>
      <c r="F797" s="44"/>
      <c r="G797" s="44">
        <v>6</v>
      </c>
      <c r="H797" s="116" t="str">
        <f t="shared" ref="H797:H805" si="117">"神器图纸"&amp;Z4&amp;"/防具碎片"&amp;AA4&amp;"/烈焰玄铁"&amp;AB4&amp;"/火龙币"&amp;AC4</f>
        <v>神器图纸1/防具碎片3/烈焰玄铁3/火龙币35</v>
      </c>
    </row>
    <row r="798" spans="1:8" ht="15.75" x14ac:dyDescent="0.3">
      <c r="A798" s="44" t="s">
        <v>3498</v>
      </c>
      <c r="B798" s="44" t="s">
        <v>3576</v>
      </c>
      <c r="C798" s="45" t="s">
        <v>3579</v>
      </c>
      <c r="D798" s="44">
        <v>2</v>
      </c>
      <c r="E798" s="114"/>
      <c r="F798" s="44"/>
      <c r="G798" s="44">
        <v>12</v>
      </c>
      <c r="H798" s="116" t="str">
        <f t="shared" si="117"/>
        <v>神器图纸1/防具碎片4/烈焰玄铁4/火龙币37</v>
      </c>
    </row>
    <row r="799" spans="1:8" ht="15.75" x14ac:dyDescent="0.3">
      <c r="A799" s="44" t="s">
        <v>3498</v>
      </c>
      <c r="B799" s="44" t="s">
        <v>3576</v>
      </c>
      <c r="C799" s="45" t="s">
        <v>3579</v>
      </c>
      <c r="D799" s="44">
        <v>3</v>
      </c>
      <c r="E799" s="114"/>
      <c r="F799" s="44"/>
      <c r="G799" s="44">
        <v>18</v>
      </c>
      <c r="H799" s="116" t="str">
        <f t="shared" si="117"/>
        <v>神器图纸2/防具碎片4/烈焰玄铁4/火龙币39</v>
      </c>
    </row>
    <row r="800" spans="1:8" ht="15.75" x14ac:dyDescent="0.3">
      <c r="A800" s="44" t="s">
        <v>3498</v>
      </c>
      <c r="B800" s="44" t="s">
        <v>3576</v>
      </c>
      <c r="C800" s="45" t="s">
        <v>3579</v>
      </c>
      <c r="D800" s="44">
        <v>4</v>
      </c>
      <c r="E800" s="114"/>
      <c r="F800" s="44"/>
      <c r="G800" s="44">
        <v>24</v>
      </c>
      <c r="H800" s="116" t="str">
        <f t="shared" si="117"/>
        <v>神器图纸2/防具碎片4/烈焰玄铁4/火龙币41</v>
      </c>
    </row>
    <row r="801" spans="1:8" ht="15.75" x14ac:dyDescent="0.3">
      <c r="A801" s="44" t="s">
        <v>3498</v>
      </c>
      <c r="B801" s="44" t="s">
        <v>3576</v>
      </c>
      <c r="C801" s="45" t="s">
        <v>3579</v>
      </c>
      <c r="D801" s="44">
        <v>5</v>
      </c>
      <c r="E801" s="114"/>
      <c r="F801" s="44"/>
      <c r="G801" s="44">
        <v>30</v>
      </c>
      <c r="H801" s="116" t="str">
        <f t="shared" si="117"/>
        <v>神器图纸2/防具碎片4/烈焰玄铁4/火龙币44</v>
      </c>
    </row>
    <row r="802" spans="1:8" ht="15.75" x14ac:dyDescent="0.3">
      <c r="A802" s="44" t="s">
        <v>3498</v>
      </c>
      <c r="B802" s="44" t="s">
        <v>3576</v>
      </c>
      <c r="C802" s="45" t="s">
        <v>3579</v>
      </c>
      <c r="D802" s="44">
        <v>6</v>
      </c>
      <c r="E802" s="114"/>
      <c r="F802" s="44"/>
      <c r="G802" s="44">
        <v>36</v>
      </c>
      <c r="H802" s="116" t="str">
        <f t="shared" si="117"/>
        <v>神器图纸2/防具碎片5/烈焰玄铁5/火龙币46</v>
      </c>
    </row>
    <row r="803" spans="1:8" ht="15.75" x14ac:dyDescent="0.3">
      <c r="A803" s="44" t="s">
        <v>3498</v>
      </c>
      <c r="B803" s="44" t="s">
        <v>3576</v>
      </c>
      <c r="C803" s="45" t="s">
        <v>3579</v>
      </c>
      <c r="D803" s="44">
        <v>7</v>
      </c>
      <c r="E803" s="114"/>
      <c r="F803" s="44"/>
      <c r="G803" s="44">
        <v>42</v>
      </c>
      <c r="H803" s="116" t="str">
        <f t="shared" si="117"/>
        <v>神器图纸2/防具碎片5/烈焰玄铁5/火龙币48</v>
      </c>
    </row>
    <row r="804" spans="1:8" ht="15.75" x14ac:dyDescent="0.3">
      <c r="A804" s="44" t="s">
        <v>3498</v>
      </c>
      <c r="B804" s="44" t="s">
        <v>3576</v>
      </c>
      <c r="C804" s="45" t="s">
        <v>3579</v>
      </c>
      <c r="D804" s="44">
        <v>8</v>
      </c>
      <c r="E804" s="114"/>
      <c r="F804" s="44"/>
      <c r="G804" s="44">
        <v>48</v>
      </c>
      <c r="H804" s="116" t="str">
        <f t="shared" si="117"/>
        <v>神器图纸2/防具碎片5/烈焰玄铁5/火龙币50</v>
      </c>
    </row>
    <row r="805" spans="1:8" ht="15.75" x14ac:dyDescent="0.3">
      <c r="A805" s="44" t="s">
        <v>3498</v>
      </c>
      <c r="B805" s="44" t="s">
        <v>3576</v>
      </c>
      <c r="C805" s="45" t="s">
        <v>3579</v>
      </c>
      <c r="D805" s="44">
        <v>9</v>
      </c>
      <c r="E805" s="114"/>
      <c r="F805" s="44"/>
      <c r="G805" s="44">
        <v>54</v>
      </c>
      <c r="H805" s="116" t="str">
        <f t="shared" si="117"/>
        <v>神器图纸2/防具碎片5/烈焰玄铁5/火龙币53</v>
      </c>
    </row>
    <row r="806" spans="1:8" ht="15.75" x14ac:dyDescent="0.3">
      <c r="A806" s="44" t="s">
        <v>3498</v>
      </c>
      <c r="B806" s="44" t="s">
        <v>3576</v>
      </c>
      <c r="C806" s="45" t="s">
        <v>3579</v>
      </c>
      <c r="D806" s="44">
        <v>10</v>
      </c>
      <c r="E806" s="114"/>
      <c r="F806" s="44"/>
      <c r="G806" s="44">
        <v>60</v>
      </c>
      <c r="H806" s="116"/>
    </row>
    <row r="807" spans="1:8" ht="15.75" x14ac:dyDescent="0.3">
      <c r="A807" s="44" t="s">
        <v>3498</v>
      </c>
      <c r="B807" s="44" t="s">
        <v>3576</v>
      </c>
      <c r="C807" s="45" t="s">
        <v>3580</v>
      </c>
      <c r="D807" s="44">
        <v>0</v>
      </c>
      <c r="E807" s="114"/>
      <c r="F807" s="44"/>
      <c r="G807" s="117"/>
      <c r="H807" s="116" t="str">
        <f>"神器图纸"&amp;Z3&amp;"/防具碎片"&amp;AA3&amp;"/烈焰玄铁"&amp;AB3&amp;"/火龙币"&amp;AC3</f>
        <v>神器图纸1/防具碎片3/烈焰玄铁3/火龙币32</v>
      </c>
    </row>
    <row r="808" spans="1:8" ht="15.75" x14ac:dyDescent="0.3">
      <c r="A808" s="44" t="s">
        <v>3498</v>
      </c>
      <c r="B808" s="44" t="s">
        <v>3576</v>
      </c>
      <c r="C808" s="45" t="s">
        <v>3580</v>
      </c>
      <c r="D808" s="44">
        <v>1</v>
      </c>
      <c r="E808" s="114"/>
      <c r="F808" s="44"/>
      <c r="G808" s="44">
        <v>7</v>
      </c>
      <c r="H808" s="116" t="str">
        <f t="shared" ref="H808:H816" si="118">"神器图纸"&amp;Z4&amp;"/防具碎片"&amp;AA4&amp;"/烈焰玄铁"&amp;AB4&amp;"/火龙币"&amp;AC4</f>
        <v>神器图纸1/防具碎片3/烈焰玄铁3/火龙币35</v>
      </c>
    </row>
    <row r="809" spans="1:8" ht="15.75" x14ac:dyDescent="0.3">
      <c r="A809" s="44" t="s">
        <v>3498</v>
      </c>
      <c r="B809" s="44" t="s">
        <v>3576</v>
      </c>
      <c r="C809" s="45" t="s">
        <v>3580</v>
      </c>
      <c r="D809" s="44">
        <v>2</v>
      </c>
      <c r="E809" s="114"/>
      <c r="F809" s="44"/>
      <c r="G809" s="44">
        <v>14</v>
      </c>
      <c r="H809" s="116" t="str">
        <f t="shared" si="118"/>
        <v>神器图纸1/防具碎片4/烈焰玄铁4/火龙币37</v>
      </c>
    </row>
    <row r="810" spans="1:8" ht="15.75" x14ac:dyDescent="0.3">
      <c r="A810" s="44" t="s">
        <v>3498</v>
      </c>
      <c r="B810" s="44" t="s">
        <v>3576</v>
      </c>
      <c r="C810" s="45" t="s">
        <v>3580</v>
      </c>
      <c r="D810" s="44">
        <v>3</v>
      </c>
      <c r="E810" s="114"/>
      <c r="F810" s="44"/>
      <c r="G810" s="44">
        <v>21</v>
      </c>
      <c r="H810" s="116" t="str">
        <f t="shared" si="118"/>
        <v>神器图纸2/防具碎片4/烈焰玄铁4/火龙币39</v>
      </c>
    </row>
    <row r="811" spans="1:8" ht="15.75" x14ac:dyDescent="0.3">
      <c r="A811" s="44" t="s">
        <v>3498</v>
      </c>
      <c r="B811" s="44" t="s">
        <v>3576</v>
      </c>
      <c r="C811" s="45" t="s">
        <v>3580</v>
      </c>
      <c r="D811" s="44">
        <v>4</v>
      </c>
      <c r="E811" s="114"/>
      <c r="F811" s="44"/>
      <c r="G811" s="44">
        <v>28</v>
      </c>
      <c r="H811" s="116" t="str">
        <f t="shared" si="118"/>
        <v>神器图纸2/防具碎片4/烈焰玄铁4/火龙币41</v>
      </c>
    </row>
    <row r="812" spans="1:8" ht="15.75" x14ac:dyDescent="0.3">
      <c r="A812" s="44" t="s">
        <v>3498</v>
      </c>
      <c r="B812" s="44" t="s">
        <v>3576</v>
      </c>
      <c r="C812" s="45" t="s">
        <v>3580</v>
      </c>
      <c r="D812" s="44">
        <v>5</v>
      </c>
      <c r="E812" s="114"/>
      <c r="F812" s="44"/>
      <c r="G812" s="44">
        <v>35</v>
      </c>
      <c r="H812" s="116" t="str">
        <f t="shared" si="118"/>
        <v>神器图纸2/防具碎片4/烈焰玄铁4/火龙币44</v>
      </c>
    </row>
    <row r="813" spans="1:8" ht="15.75" x14ac:dyDescent="0.3">
      <c r="A813" s="44" t="s">
        <v>3498</v>
      </c>
      <c r="B813" s="44" t="s">
        <v>3576</v>
      </c>
      <c r="C813" s="45" t="s">
        <v>3580</v>
      </c>
      <c r="D813" s="44">
        <v>6</v>
      </c>
      <c r="E813" s="114"/>
      <c r="F813" s="44"/>
      <c r="G813" s="44">
        <v>42</v>
      </c>
      <c r="H813" s="116" t="str">
        <f t="shared" si="118"/>
        <v>神器图纸2/防具碎片5/烈焰玄铁5/火龙币46</v>
      </c>
    </row>
    <row r="814" spans="1:8" ht="15.75" x14ac:dyDescent="0.3">
      <c r="A814" s="44" t="s">
        <v>3498</v>
      </c>
      <c r="B814" s="44" t="s">
        <v>3576</v>
      </c>
      <c r="C814" s="45" t="s">
        <v>3580</v>
      </c>
      <c r="D814" s="44">
        <v>7</v>
      </c>
      <c r="E814" s="114"/>
      <c r="F814" s="44"/>
      <c r="G814" s="44">
        <v>49</v>
      </c>
      <c r="H814" s="116" t="str">
        <f t="shared" si="118"/>
        <v>神器图纸2/防具碎片5/烈焰玄铁5/火龙币48</v>
      </c>
    </row>
    <row r="815" spans="1:8" ht="15.75" x14ac:dyDescent="0.3">
      <c r="A815" s="44" t="s">
        <v>3498</v>
      </c>
      <c r="B815" s="44" t="s">
        <v>3576</v>
      </c>
      <c r="C815" s="45" t="s">
        <v>3580</v>
      </c>
      <c r="D815" s="44">
        <v>8</v>
      </c>
      <c r="E815" s="114"/>
      <c r="F815" s="44"/>
      <c r="G815" s="44">
        <v>56</v>
      </c>
      <c r="H815" s="116" t="str">
        <f t="shared" si="118"/>
        <v>神器图纸2/防具碎片5/烈焰玄铁5/火龙币50</v>
      </c>
    </row>
    <row r="816" spans="1:8" ht="15.75" x14ac:dyDescent="0.3">
      <c r="A816" s="44" t="s">
        <v>3498</v>
      </c>
      <c r="B816" s="44" t="s">
        <v>3576</v>
      </c>
      <c r="C816" s="45" t="s">
        <v>3580</v>
      </c>
      <c r="D816" s="44">
        <v>9</v>
      </c>
      <c r="E816" s="114"/>
      <c r="F816" s="44"/>
      <c r="G816" s="44">
        <v>63</v>
      </c>
      <c r="H816" s="116" t="str">
        <f t="shared" si="118"/>
        <v>神器图纸2/防具碎片5/烈焰玄铁5/火龙币53</v>
      </c>
    </row>
    <row r="817" spans="1:8" ht="15.75" x14ac:dyDescent="0.3">
      <c r="A817" s="44" t="s">
        <v>3498</v>
      </c>
      <c r="B817" s="44" t="s">
        <v>3576</v>
      </c>
      <c r="C817" s="45" t="s">
        <v>3580</v>
      </c>
      <c r="D817" s="44">
        <v>10</v>
      </c>
      <c r="E817" s="114"/>
      <c r="F817" s="44"/>
      <c r="G817" s="44">
        <v>70</v>
      </c>
      <c r="H817" s="116"/>
    </row>
    <row r="818" spans="1:8" ht="15.75" x14ac:dyDescent="0.3">
      <c r="A818" s="44" t="s">
        <v>3498</v>
      </c>
      <c r="B818" s="44" t="s">
        <v>3576</v>
      </c>
      <c r="C818" s="45" t="s">
        <v>3581</v>
      </c>
      <c r="D818" s="44">
        <v>0</v>
      </c>
      <c r="E818" s="114"/>
      <c r="F818" s="44"/>
      <c r="G818" s="117"/>
      <c r="H818" s="116" t="str">
        <f>"神器图纸"&amp;Z3&amp;"/防具碎片"&amp;AA3&amp;"/烈焰玄铁"&amp;AB3&amp;"/火龙币"&amp;AC3</f>
        <v>神器图纸1/防具碎片3/烈焰玄铁3/火龙币32</v>
      </c>
    </row>
    <row r="819" spans="1:8" ht="15.75" x14ac:dyDescent="0.3">
      <c r="A819" s="44" t="s">
        <v>3498</v>
      </c>
      <c r="B819" s="44" t="s">
        <v>3576</v>
      </c>
      <c r="C819" s="45" t="s">
        <v>3581</v>
      </c>
      <c r="D819" s="44">
        <v>1</v>
      </c>
      <c r="E819" s="114"/>
      <c r="F819" s="44"/>
      <c r="G819" s="44">
        <v>8</v>
      </c>
      <c r="H819" s="116" t="str">
        <f t="shared" ref="H819:H827" si="119">"神器图纸"&amp;Z4&amp;"/防具碎片"&amp;AA4&amp;"/烈焰玄铁"&amp;AB4&amp;"/火龙币"&amp;AC4</f>
        <v>神器图纸1/防具碎片3/烈焰玄铁3/火龙币35</v>
      </c>
    </row>
    <row r="820" spans="1:8" ht="15.75" x14ac:dyDescent="0.3">
      <c r="A820" s="44" t="s">
        <v>3498</v>
      </c>
      <c r="B820" s="44" t="s">
        <v>3576</v>
      </c>
      <c r="C820" s="45" t="s">
        <v>3581</v>
      </c>
      <c r="D820" s="44">
        <v>2</v>
      </c>
      <c r="E820" s="114"/>
      <c r="F820" s="44"/>
      <c r="G820" s="44">
        <v>16</v>
      </c>
      <c r="H820" s="116" t="str">
        <f t="shared" si="119"/>
        <v>神器图纸1/防具碎片4/烈焰玄铁4/火龙币37</v>
      </c>
    </row>
    <row r="821" spans="1:8" ht="15.75" x14ac:dyDescent="0.3">
      <c r="A821" s="44" t="s">
        <v>3498</v>
      </c>
      <c r="B821" s="44" t="s">
        <v>3576</v>
      </c>
      <c r="C821" s="45" t="s">
        <v>3581</v>
      </c>
      <c r="D821" s="44">
        <v>3</v>
      </c>
      <c r="E821" s="114"/>
      <c r="F821" s="44"/>
      <c r="G821" s="44">
        <v>24</v>
      </c>
      <c r="H821" s="116" t="str">
        <f t="shared" si="119"/>
        <v>神器图纸2/防具碎片4/烈焰玄铁4/火龙币39</v>
      </c>
    </row>
    <row r="822" spans="1:8" ht="15.75" x14ac:dyDescent="0.3">
      <c r="A822" s="44" t="s">
        <v>3498</v>
      </c>
      <c r="B822" s="44" t="s">
        <v>3576</v>
      </c>
      <c r="C822" s="45" t="s">
        <v>3581</v>
      </c>
      <c r="D822" s="44">
        <v>4</v>
      </c>
      <c r="E822" s="114"/>
      <c r="F822" s="44"/>
      <c r="G822" s="44">
        <v>32</v>
      </c>
      <c r="H822" s="116" t="str">
        <f t="shared" si="119"/>
        <v>神器图纸2/防具碎片4/烈焰玄铁4/火龙币41</v>
      </c>
    </row>
    <row r="823" spans="1:8" ht="15.75" x14ac:dyDescent="0.3">
      <c r="A823" s="44" t="s">
        <v>3498</v>
      </c>
      <c r="B823" s="44" t="s">
        <v>3576</v>
      </c>
      <c r="C823" s="45" t="s">
        <v>3581</v>
      </c>
      <c r="D823" s="44">
        <v>5</v>
      </c>
      <c r="E823" s="114"/>
      <c r="F823" s="44"/>
      <c r="G823" s="44">
        <v>40</v>
      </c>
      <c r="H823" s="116" t="str">
        <f t="shared" si="119"/>
        <v>神器图纸2/防具碎片4/烈焰玄铁4/火龙币44</v>
      </c>
    </row>
    <row r="824" spans="1:8" ht="15.75" x14ac:dyDescent="0.3">
      <c r="A824" s="44" t="s">
        <v>3498</v>
      </c>
      <c r="B824" s="44" t="s">
        <v>3576</v>
      </c>
      <c r="C824" s="45" t="s">
        <v>3581</v>
      </c>
      <c r="D824" s="44">
        <v>6</v>
      </c>
      <c r="E824" s="114"/>
      <c r="F824" s="44"/>
      <c r="G824" s="44">
        <v>48</v>
      </c>
      <c r="H824" s="116" t="str">
        <f t="shared" si="119"/>
        <v>神器图纸2/防具碎片5/烈焰玄铁5/火龙币46</v>
      </c>
    </row>
    <row r="825" spans="1:8" ht="15.75" x14ac:dyDescent="0.3">
      <c r="A825" s="44" t="s">
        <v>3498</v>
      </c>
      <c r="B825" s="44" t="s">
        <v>3576</v>
      </c>
      <c r="C825" s="45" t="s">
        <v>3581</v>
      </c>
      <c r="D825" s="44">
        <v>7</v>
      </c>
      <c r="E825" s="114"/>
      <c r="F825" s="44"/>
      <c r="G825" s="44">
        <v>56</v>
      </c>
      <c r="H825" s="116" t="str">
        <f t="shared" si="119"/>
        <v>神器图纸2/防具碎片5/烈焰玄铁5/火龙币48</v>
      </c>
    </row>
    <row r="826" spans="1:8" ht="15.75" x14ac:dyDescent="0.3">
      <c r="A826" s="44" t="s">
        <v>3498</v>
      </c>
      <c r="B826" s="44" t="s">
        <v>3576</v>
      </c>
      <c r="C826" s="45" t="s">
        <v>3581</v>
      </c>
      <c r="D826" s="44">
        <v>8</v>
      </c>
      <c r="E826" s="114"/>
      <c r="F826" s="44"/>
      <c r="G826" s="44">
        <v>64</v>
      </c>
      <c r="H826" s="116" t="str">
        <f t="shared" si="119"/>
        <v>神器图纸2/防具碎片5/烈焰玄铁5/火龙币50</v>
      </c>
    </row>
    <row r="827" spans="1:8" ht="15.75" x14ac:dyDescent="0.3">
      <c r="A827" s="44" t="s">
        <v>3498</v>
      </c>
      <c r="B827" s="44" t="s">
        <v>3576</v>
      </c>
      <c r="C827" s="45" t="s">
        <v>3581</v>
      </c>
      <c r="D827" s="44">
        <v>9</v>
      </c>
      <c r="E827" s="114"/>
      <c r="F827" s="44"/>
      <c r="G827" s="44">
        <v>72</v>
      </c>
      <c r="H827" s="116" t="str">
        <f t="shared" si="119"/>
        <v>神器图纸2/防具碎片5/烈焰玄铁5/火龙币53</v>
      </c>
    </row>
    <row r="828" spans="1:8" ht="15.75" x14ac:dyDescent="0.3">
      <c r="A828" s="44" t="s">
        <v>3498</v>
      </c>
      <c r="B828" s="44" t="s">
        <v>3576</v>
      </c>
      <c r="C828" s="45" t="s">
        <v>3581</v>
      </c>
      <c r="D828" s="44">
        <v>10</v>
      </c>
      <c r="E828" s="114"/>
      <c r="F828" s="44"/>
      <c r="G828" s="44">
        <v>80</v>
      </c>
      <c r="H828" s="116"/>
    </row>
    <row r="829" spans="1:8" ht="15.75" x14ac:dyDescent="0.3">
      <c r="A829" s="44" t="s">
        <v>3498</v>
      </c>
      <c r="B829" s="44" t="s">
        <v>3576</v>
      </c>
      <c r="C829" s="45" t="s">
        <v>3582</v>
      </c>
      <c r="D829" s="44">
        <v>0</v>
      </c>
      <c r="E829" s="114"/>
      <c r="F829" s="44"/>
      <c r="G829" s="117"/>
      <c r="H829" s="116" t="str">
        <f>"神器图纸"&amp;Z3&amp;"/防具碎片"&amp;AA3&amp;"/烈焰玄铁"&amp;AB3&amp;"/火龙币"&amp;AC3</f>
        <v>神器图纸1/防具碎片3/烈焰玄铁3/火龙币32</v>
      </c>
    </row>
    <row r="830" spans="1:8" ht="15.75" x14ac:dyDescent="0.3">
      <c r="A830" s="44" t="s">
        <v>3498</v>
      </c>
      <c r="B830" s="44" t="s">
        <v>3576</v>
      </c>
      <c r="C830" s="45" t="s">
        <v>3582</v>
      </c>
      <c r="D830" s="44">
        <v>1</v>
      </c>
      <c r="E830" s="114"/>
      <c r="F830" s="44"/>
      <c r="G830" s="44">
        <v>9</v>
      </c>
      <c r="H830" s="116" t="str">
        <f t="shared" ref="H830:H838" si="120">"神器图纸"&amp;Z4&amp;"/防具碎片"&amp;AA4&amp;"/烈焰玄铁"&amp;AB4&amp;"/火龙币"&amp;AC4</f>
        <v>神器图纸1/防具碎片3/烈焰玄铁3/火龙币35</v>
      </c>
    </row>
    <row r="831" spans="1:8" ht="15.75" x14ac:dyDescent="0.3">
      <c r="A831" s="44" t="s">
        <v>3498</v>
      </c>
      <c r="B831" s="44" t="s">
        <v>3576</v>
      </c>
      <c r="C831" s="45" t="s">
        <v>3582</v>
      </c>
      <c r="D831" s="44">
        <v>2</v>
      </c>
      <c r="E831" s="114"/>
      <c r="F831" s="44"/>
      <c r="G831" s="44">
        <v>18</v>
      </c>
      <c r="H831" s="116" t="str">
        <f t="shared" si="120"/>
        <v>神器图纸1/防具碎片4/烈焰玄铁4/火龙币37</v>
      </c>
    </row>
    <row r="832" spans="1:8" ht="15.75" x14ac:dyDescent="0.3">
      <c r="A832" s="44" t="s">
        <v>3498</v>
      </c>
      <c r="B832" s="44" t="s">
        <v>3576</v>
      </c>
      <c r="C832" s="45" t="s">
        <v>3582</v>
      </c>
      <c r="D832" s="44">
        <v>3</v>
      </c>
      <c r="E832" s="114"/>
      <c r="F832" s="44"/>
      <c r="G832" s="44">
        <v>27</v>
      </c>
      <c r="H832" s="116" t="str">
        <f t="shared" si="120"/>
        <v>神器图纸2/防具碎片4/烈焰玄铁4/火龙币39</v>
      </c>
    </row>
    <row r="833" spans="1:8" ht="15.75" x14ac:dyDescent="0.3">
      <c r="A833" s="44" t="s">
        <v>3498</v>
      </c>
      <c r="B833" s="44" t="s">
        <v>3576</v>
      </c>
      <c r="C833" s="45" t="s">
        <v>3582</v>
      </c>
      <c r="D833" s="44">
        <v>4</v>
      </c>
      <c r="E833" s="114"/>
      <c r="F833" s="44"/>
      <c r="G833" s="44">
        <v>36</v>
      </c>
      <c r="H833" s="116" t="str">
        <f t="shared" si="120"/>
        <v>神器图纸2/防具碎片4/烈焰玄铁4/火龙币41</v>
      </c>
    </row>
    <row r="834" spans="1:8" ht="15.75" x14ac:dyDescent="0.3">
      <c r="A834" s="44" t="s">
        <v>3498</v>
      </c>
      <c r="B834" s="44" t="s">
        <v>3576</v>
      </c>
      <c r="C834" s="45" t="s">
        <v>3582</v>
      </c>
      <c r="D834" s="44">
        <v>5</v>
      </c>
      <c r="E834" s="114"/>
      <c r="F834" s="44"/>
      <c r="G834" s="44">
        <v>45</v>
      </c>
      <c r="H834" s="116" t="str">
        <f t="shared" si="120"/>
        <v>神器图纸2/防具碎片4/烈焰玄铁4/火龙币44</v>
      </c>
    </row>
    <row r="835" spans="1:8" ht="15.75" x14ac:dyDescent="0.3">
      <c r="A835" s="44" t="s">
        <v>3498</v>
      </c>
      <c r="B835" s="44" t="s">
        <v>3576</v>
      </c>
      <c r="C835" s="45" t="s">
        <v>3582</v>
      </c>
      <c r="D835" s="44">
        <v>6</v>
      </c>
      <c r="E835" s="114"/>
      <c r="F835" s="44"/>
      <c r="G835" s="44">
        <v>54</v>
      </c>
      <c r="H835" s="116" t="str">
        <f t="shared" si="120"/>
        <v>神器图纸2/防具碎片5/烈焰玄铁5/火龙币46</v>
      </c>
    </row>
    <row r="836" spans="1:8" ht="15.75" x14ac:dyDescent="0.3">
      <c r="A836" s="44" t="s">
        <v>3498</v>
      </c>
      <c r="B836" s="44" t="s">
        <v>3576</v>
      </c>
      <c r="C836" s="45" t="s">
        <v>3582</v>
      </c>
      <c r="D836" s="44">
        <v>7</v>
      </c>
      <c r="E836" s="114"/>
      <c r="F836" s="44"/>
      <c r="G836" s="44">
        <v>63</v>
      </c>
      <c r="H836" s="116" t="str">
        <f t="shared" si="120"/>
        <v>神器图纸2/防具碎片5/烈焰玄铁5/火龙币48</v>
      </c>
    </row>
    <row r="837" spans="1:8" ht="15.75" x14ac:dyDescent="0.3">
      <c r="A837" s="44" t="s">
        <v>3498</v>
      </c>
      <c r="B837" s="44" t="s">
        <v>3576</v>
      </c>
      <c r="C837" s="45" t="s">
        <v>3582</v>
      </c>
      <c r="D837" s="44">
        <v>8</v>
      </c>
      <c r="E837" s="114"/>
      <c r="F837" s="44"/>
      <c r="G837" s="44">
        <v>72</v>
      </c>
      <c r="H837" s="116" t="str">
        <f t="shared" si="120"/>
        <v>神器图纸2/防具碎片5/烈焰玄铁5/火龙币50</v>
      </c>
    </row>
    <row r="838" spans="1:8" ht="15.75" x14ac:dyDescent="0.3">
      <c r="A838" s="44" t="s">
        <v>3498</v>
      </c>
      <c r="B838" s="44" t="s">
        <v>3576</v>
      </c>
      <c r="C838" s="45" t="s">
        <v>3582</v>
      </c>
      <c r="D838" s="44">
        <v>9</v>
      </c>
      <c r="E838" s="114"/>
      <c r="F838" s="44"/>
      <c r="G838" s="44">
        <v>81</v>
      </c>
      <c r="H838" s="116" t="str">
        <f t="shared" si="120"/>
        <v>神器图纸2/防具碎片5/烈焰玄铁5/火龙币53</v>
      </c>
    </row>
    <row r="839" spans="1:8" ht="15.75" x14ac:dyDescent="0.3">
      <c r="A839" s="44" t="s">
        <v>3498</v>
      </c>
      <c r="B839" s="44" t="s">
        <v>3576</v>
      </c>
      <c r="C839" s="45" t="s">
        <v>3582</v>
      </c>
      <c r="D839" s="44">
        <v>10</v>
      </c>
      <c r="E839" s="114"/>
      <c r="F839" s="44"/>
      <c r="G839" s="44">
        <v>90</v>
      </c>
      <c r="H839" s="116"/>
    </row>
    <row r="840" spans="1:8" ht="15.75" x14ac:dyDescent="0.3">
      <c r="A840" s="44" t="s">
        <v>3498</v>
      </c>
      <c r="B840" s="44" t="s">
        <v>3576</v>
      </c>
      <c r="C840" s="45" t="s">
        <v>3583</v>
      </c>
      <c r="D840" s="44">
        <v>0</v>
      </c>
      <c r="E840" s="114"/>
      <c r="F840" s="44"/>
      <c r="G840" s="117"/>
      <c r="H840" s="116" t="str">
        <f>"神器图纸"&amp;Z3&amp;"/防具碎片"&amp;AA3&amp;"/烈焰玄铁"&amp;AB3&amp;"/火龙币"&amp;AC3</f>
        <v>神器图纸1/防具碎片3/烈焰玄铁3/火龙币32</v>
      </c>
    </row>
    <row r="841" spans="1:8" ht="15.75" x14ac:dyDescent="0.3">
      <c r="A841" s="44" t="s">
        <v>3498</v>
      </c>
      <c r="B841" s="44" t="s">
        <v>3576</v>
      </c>
      <c r="C841" s="45" t="s">
        <v>3583</v>
      </c>
      <c r="D841" s="44">
        <v>1</v>
      </c>
      <c r="E841" s="114"/>
      <c r="F841" s="44"/>
      <c r="G841" s="44">
        <v>10</v>
      </c>
      <c r="H841" s="116" t="str">
        <f t="shared" ref="H841:H849" si="121">"神器图纸"&amp;Z4&amp;"/防具碎片"&amp;AA4&amp;"/烈焰玄铁"&amp;AB4&amp;"/火龙币"&amp;AC4</f>
        <v>神器图纸1/防具碎片3/烈焰玄铁3/火龙币35</v>
      </c>
    </row>
    <row r="842" spans="1:8" ht="15.75" x14ac:dyDescent="0.3">
      <c r="A842" s="44" t="s">
        <v>3498</v>
      </c>
      <c r="B842" s="44" t="s">
        <v>3576</v>
      </c>
      <c r="C842" s="45" t="s">
        <v>3583</v>
      </c>
      <c r="D842" s="44">
        <v>2</v>
      </c>
      <c r="E842" s="114"/>
      <c r="F842" s="44"/>
      <c r="G842" s="44">
        <v>20</v>
      </c>
      <c r="H842" s="116" t="str">
        <f t="shared" si="121"/>
        <v>神器图纸1/防具碎片4/烈焰玄铁4/火龙币37</v>
      </c>
    </row>
    <row r="843" spans="1:8" ht="15.75" x14ac:dyDescent="0.3">
      <c r="A843" s="44" t="s">
        <v>3498</v>
      </c>
      <c r="B843" s="44" t="s">
        <v>3576</v>
      </c>
      <c r="C843" s="45" t="s">
        <v>3583</v>
      </c>
      <c r="D843" s="44">
        <v>3</v>
      </c>
      <c r="E843" s="114"/>
      <c r="F843" s="44"/>
      <c r="G843" s="44">
        <v>30</v>
      </c>
      <c r="H843" s="116" t="str">
        <f t="shared" si="121"/>
        <v>神器图纸2/防具碎片4/烈焰玄铁4/火龙币39</v>
      </c>
    </row>
    <row r="844" spans="1:8" ht="15.75" x14ac:dyDescent="0.3">
      <c r="A844" s="44" t="s">
        <v>3498</v>
      </c>
      <c r="B844" s="44" t="s">
        <v>3576</v>
      </c>
      <c r="C844" s="45" t="s">
        <v>3583</v>
      </c>
      <c r="D844" s="44">
        <v>4</v>
      </c>
      <c r="E844" s="114"/>
      <c r="F844" s="44"/>
      <c r="G844" s="44">
        <v>40</v>
      </c>
      <c r="H844" s="116" t="str">
        <f t="shared" si="121"/>
        <v>神器图纸2/防具碎片4/烈焰玄铁4/火龙币41</v>
      </c>
    </row>
    <row r="845" spans="1:8" ht="15.75" x14ac:dyDescent="0.3">
      <c r="A845" s="44" t="s">
        <v>3498</v>
      </c>
      <c r="B845" s="44" t="s">
        <v>3576</v>
      </c>
      <c r="C845" s="45" t="s">
        <v>3583</v>
      </c>
      <c r="D845" s="44">
        <v>5</v>
      </c>
      <c r="E845" s="114"/>
      <c r="F845" s="44"/>
      <c r="G845" s="44">
        <v>50</v>
      </c>
      <c r="H845" s="116" t="str">
        <f t="shared" si="121"/>
        <v>神器图纸2/防具碎片4/烈焰玄铁4/火龙币44</v>
      </c>
    </row>
    <row r="846" spans="1:8" ht="15.75" x14ac:dyDescent="0.3">
      <c r="A846" s="44" t="s">
        <v>3498</v>
      </c>
      <c r="B846" s="44" t="s">
        <v>3576</v>
      </c>
      <c r="C846" s="45" t="s">
        <v>3583</v>
      </c>
      <c r="D846" s="44">
        <v>6</v>
      </c>
      <c r="E846" s="114"/>
      <c r="F846" s="44"/>
      <c r="G846" s="44">
        <v>60</v>
      </c>
      <c r="H846" s="116" t="str">
        <f t="shared" si="121"/>
        <v>神器图纸2/防具碎片5/烈焰玄铁5/火龙币46</v>
      </c>
    </row>
    <row r="847" spans="1:8" ht="15.75" x14ac:dyDescent="0.3">
      <c r="A847" s="44" t="s">
        <v>3498</v>
      </c>
      <c r="B847" s="44" t="s">
        <v>3576</v>
      </c>
      <c r="C847" s="45" t="s">
        <v>3583</v>
      </c>
      <c r="D847" s="44">
        <v>7</v>
      </c>
      <c r="E847" s="114"/>
      <c r="F847" s="44"/>
      <c r="G847" s="44">
        <v>70</v>
      </c>
      <c r="H847" s="116" t="str">
        <f t="shared" si="121"/>
        <v>神器图纸2/防具碎片5/烈焰玄铁5/火龙币48</v>
      </c>
    </row>
    <row r="848" spans="1:8" ht="15.75" x14ac:dyDescent="0.3">
      <c r="A848" s="44" t="s">
        <v>3498</v>
      </c>
      <c r="B848" s="44" t="s">
        <v>3576</v>
      </c>
      <c r="C848" s="45" t="s">
        <v>3583</v>
      </c>
      <c r="D848" s="44">
        <v>8</v>
      </c>
      <c r="E848" s="114"/>
      <c r="F848" s="44"/>
      <c r="G848" s="44">
        <v>80</v>
      </c>
      <c r="H848" s="116" t="str">
        <f t="shared" si="121"/>
        <v>神器图纸2/防具碎片5/烈焰玄铁5/火龙币50</v>
      </c>
    </row>
    <row r="849" spans="1:8" ht="15.75" x14ac:dyDescent="0.3">
      <c r="A849" s="44" t="s">
        <v>3498</v>
      </c>
      <c r="B849" s="44" t="s">
        <v>3576</v>
      </c>
      <c r="C849" s="45" t="s">
        <v>3583</v>
      </c>
      <c r="D849" s="44">
        <v>9</v>
      </c>
      <c r="E849" s="114"/>
      <c r="F849" s="44"/>
      <c r="G849" s="44">
        <v>90</v>
      </c>
      <c r="H849" s="116" t="str">
        <f t="shared" si="121"/>
        <v>神器图纸2/防具碎片5/烈焰玄铁5/火龙币53</v>
      </c>
    </row>
    <row r="850" spans="1:8" ht="15.75" x14ac:dyDescent="0.3">
      <c r="A850" s="44" t="s">
        <v>3498</v>
      </c>
      <c r="B850" s="44" t="s">
        <v>3576</v>
      </c>
      <c r="C850" s="45" t="s">
        <v>3583</v>
      </c>
      <c r="D850" s="44">
        <v>10</v>
      </c>
      <c r="E850" s="114"/>
      <c r="F850" s="44"/>
      <c r="G850" s="44">
        <v>100</v>
      </c>
      <c r="H850" s="116"/>
    </row>
    <row r="851" spans="1:8" ht="15.75" x14ac:dyDescent="0.3">
      <c r="A851" s="44" t="s">
        <v>3498</v>
      </c>
      <c r="B851" s="44" t="s">
        <v>3576</v>
      </c>
      <c r="C851" s="45" t="s">
        <v>3584</v>
      </c>
      <c r="D851" s="44">
        <v>0</v>
      </c>
      <c r="E851" s="114"/>
      <c r="F851" s="44"/>
      <c r="G851" s="117"/>
      <c r="H851" s="116" t="str">
        <f>"神器图纸"&amp;Z3&amp;"/防具碎片"&amp;AA3&amp;"/烈焰玄铁"&amp;AB3&amp;"/火龙币"&amp;AC3</f>
        <v>神器图纸1/防具碎片3/烈焰玄铁3/火龙币32</v>
      </c>
    </row>
    <row r="852" spans="1:8" ht="15.75" x14ac:dyDescent="0.3">
      <c r="A852" s="44" t="s">
        <v>3498</v>
      </c>
      <c r="B852" s="44" t="s">
        <v>3576</v>
      </c>
      <c r="C852" s="45" t="s">
        <v>3584</v>
      </c>
      <c r="D852" s="44">
        <v>1</v>
      </c>
      <c r="E852" s="114"/>
      <c r="F852" s="44"/>
      <c r="G852" s="44">
        <v>11</v>
      </c>
      <c r="H852" s="116" t="str">
        <f t="shared" ref="H852:H860" si="122">"神器图纸"&amp;Z4&amp;"/防具碎片"&amp;AA4&amp;"/烈焰玄铁"&amp;AB4&amp;"/火龙币"&amp;AC4</f>
        <v>神器图纸1/防具碎片3/烈焰玄铁3/火龙币35</v>
      </c>
    </row>
    <row r="853" spans="1:8" ht="15.75" x14ac:dyDescent="0.3">
      <c r="A853" s="44" t="s">
        <v>3498</v>
      </c>
      <c r="B853" s="44" t="s">
        <v>3576</v>
      </c>
      <c r="C853" s="45" t="s">
        <v>3584</v>
      </c>
      <c r="D853" s="44">
        <v>2</v>
      </c>
      <c r="E853" s="114"/>
      <c r="F853" s="44"/>
      <c r="G853" s="44">
        <v>22</v>
      </c>
      <c r="H853" s="116" t="str">
        <f t="shared" si="122"/>
        <v>神器图纸1/防具碎片4/烈焰玄铁4/火龙币37</v>
      </c>
    </row>
    <row r="854" spans="1:8" ht="15.75" x14ac:dyDescent="0.3">
      <c r="A854" s="44" t="s">
        <v>3498</v>
      </c>
      <c r="B854" s="44" t="s">
        <v>3576</v>
      </c>
      <c r="C854" s="45" t="s">
        <v>3584</v>
      </c>
      <c r="D854" s="44">
        <v>3</v>
      </c>
      <c r="E854" s="114"/>
      <c r="F854" s="44"/>
      <c r="G854" s="44">
        <v>33</v>
      </c>
      <c r="H854" s="116" t="str">
        <f t="shared" si="122"/>
        <v>神器图纸2/防具碎片4/烈焰玄铁4/火龙币39</v>
      </c>
    </row>
    <row r="855" spans="1:8" ht="15.75" x14ac:dyDescent="0.3">
      <c r="A855" s="44" t="s">
        <v>3498</v>
      </c>
      <c r="B855" s="44" t="s">
        <v>3576</v>
      </c>
      <c r="C855" s="45" t="s">
        <v>3584</v>
      </c>
      <c r="D855" s="44">
        <v>4</v>
      </c>
      <c r="E855" s="114"/>
      <c r="F855" s="44"/>
      <c r="G855" s="44">
        <v>44</v>
      </c>
      <c r="H855" s="116" t="str">
        <f t="shared" si="122"/>
        <v>神器图纸2/防具碎片4/烈焰玄铁4/火龙币41</v>
      </c>
    </row>
    <row r="856" spans="1:8" ht="15.75" x14ac:dyDescent="0.3">
      <c r="A856" s="44" t="s">
        <v>3498</v>
      </c>
      <c r="B856" s="44" t="s">
        <v>3576</v>
      </c>
      <c r="C856" s="45" t="s">
        <v>3584</v>
      </c>
      <c r="D856" s="44">
        <v>5</v>
      </c>
      <c r="E856" s="114"/>
      <c r="F856" s="44"/>
      <c r="G856" s="44">
        <v>55</v>
      </c>
      <c r="H856" s="116" t="str">
        <f t="shared" si="122"/>
        <v>神器图纸2/防具碎片4/烈焰玄铁4/火龙币44</v>
      </c>
    </row>
    <row r="857" spans="1:8" ht="15.75" x14ac:dyDescent="0.3">
      <c r="A857" s="44" t="s">
        <v>3498</v>
      </c>
      <c r="B857" s="44" t="s">
        <v>3576</v>
      </c>
      <c r="C857" s="45" t="s">
        <v>3584</v>
      </c>
      <c r="D857" s="44">
        <v>6</v>
      </c>
      <c r="E857" s="114"/>
      <c r="F857" s="44"/>
      <c r="G857" s="44">
        <v>66</v>
      </c>
      <c r="H857" s="116" t="str">
        <f t="shared" si="122"/>
        <v>神器图纸2/防具碎片5/烈焰玄铁5/火龙币46</v>
      </c>
    </row>
    <row r="858" spans="1:8" ht="15.75" x14ac:dyDescent="0.3">
      <c r="A858" s="44" t="s">
        <v>3498</v>
      </c>
      <c r="B858" s="44" t="s">
        <v>3576</v>
      </c>
      <c r="C858" s="45" t="s">
        <v>3584</v>
      </c>
      <c r="D858" s="44">
        <v>7</v>
      </c>
      <c r="E858" s="114"/>
      <c r="F858" s="44"/>
      <c r="G858" s="44">
        <v>77</v>
      </c>
      <c r="H858" s="116" t="str">
        <f t="shared" si="122"/>
        <v>神器图纸2/防具碎片5/烈焰玄铁5/火龙币48</v>
      </c>
    </row>
    <row r="859" spans="1:8" ht="15.75" x14ac:dyDescent="0.3">
      <c r="A859" s="44" t="s">
        <v>3498</v>
      </c>
      <c r="B859" s="44" t="s">
        <v>3576</v>
      </c>
      <c r="C859" s="45" t="s">
        <v>3584</v>
      </c>
      <c r="D859" s="44">
        <v>8</v>
      </c>
      <c r="E859" s="114"/>
      <c r="F859" s="44"/>
      <c r="G859" s="44">
        <v>88</v>
      </c>
      <c r="H859" s="116" t="str">
        <f t="shared" si="122"/>
        <v>神器图纸2/防具碎片5/烈焰玄铁5/火龙币50</v>
      </c>
    </row>
    <row r="860" spans="1:8" ht="15.75" x14ac:dyDescent="0.3">
      <c r="A860" s="44" t="s">
        <v>3498</v>
      </c>
      <c r="B860" s="44" t="s">
        <v>3576</v>
      </c>
      <c r="C860" s="45" t="s">
        <v>3584</v>
      </c>
      <c r="D860" s="44">
        <v>9</v>
      </c>
      <c r="E860" s="114"/>
      <c r="F860" s="44"/>
      <c r="G860" s="44">
        <v>99</v>
      </c>
      <c r="H860" s="116" t="str">
        <f t="shared" si="122"/>
        <v>神器图纸2/防具碎片5/烈焰玄铁5/火龙币53</v>
      </c>
    </row>
    <row r="861" spans="1:8" ht="15.75" x14ac:dyDescent="0.3">
      <c r="A861" s="44" t="s">
        <v>3498</v>
      </c>
      <c r="B861" s="44" t="s">
        <v>3576</v>
      </c>
      <c r="C861" s="45" t="s">
        <v>3584</v>
      </c>
      <c r="D861" s="44">
        <v>10</v>
      </c>
      <c r="E861" s="114"/>
      <c r="F861" s="44"/>
      <c r="G861" s="44">
        <v>110</v>
      </c>
      <c r="H861" s="116"/>
    </row>
    <row r="862" spans="1:8" ht="15.75" x14ac:dyDescent="0.3">
      <c r="A862" s="44" t="s">
        <v>3498</v>
      </c>
      <c r="B862" s="44" t="s">
        <v>3576</v>
      </c>
      <c r="C862" s="45" t="s">
        <v>3585</v>
      </c>
      <c r="D862" s="44">
        <v>0</v>
      </c>
      <c r="E862" s="114"/>
      <c r="F862" s="44"/>
      <c r="G862" s="117"/>
      <c r="H862" s="116" t="str">
        <f>"神器图纸"&amp;Z3&amp;"/防具碎片"&amp;AA3&amp;"/烈焰玄铁"&amp;AB3&amp;"/火龙币"&amp;AC3</f>
        <v>神器图纸1/防具碎片3/烈焰玄铁3/火龙币32</v>
      </c>
    </row>
    <row r="863" spans="1:8" ht="15.75" x14ac:dyDescent="0.3">
      <c r="A863" s="44" t="s">
        <v>3498</v>
      </c>
      <c r="B863" s="44" t="s">
        <v>3576</v>
      </c>
      <c r="C863" s="45" t="s">
        <v>3585</v>
      </c>
      <c r="D863" s="44">
        <v>1</v>
      </c>
      <c r="E863" s="114"/>
      <c r="F863" s="44"/>
      <c r="G863" s="44">
        <v>12</v>
      </c>
      <c r="H863" s="116" t="str">
        <f t="shared" ref="H863:H871" si="123">"神器图纸"&amp;Z4&amp;"/防具碎片"&amp;AA4&amp;"/烈焰玄铁"&amp;AB4&amp;"/火龙币"&amp;AC4</f>
        <v>神器图纸1/防具碎片3/烈焰玄铁3/火龙币35</v>
      </c>
    </row>
    <row r="864" spans="1:8" ht="15.75" x14ac:dyDescent="0.3">
      <c r="A864" s="44" t="s">
        <v>3498</v>
      </c>
      <c r="B864" s="44" t="s">
        <v>3576</v>
      </c>
      <c r="C864" s="45" t="s">
        <v>3585</v>
      </c>
      <c r="D864" s="44">
        <v>2</v>
      </c>
      <c r="E864" s="114"/>
      <c r="F864" s="44"/>
      <c r="G864" s="44">
        <v>24</v>
      </c>
      <c r="H864" s="116" t="str">
        <f t="shared" si="123"/>
        <v>神器图纸1/防具碎片4/烈焰玄铁4/火龙币37</v>
      </c>
    </row>
    <row r="865" spans="1:8" ht="15.75" x14ac:dyDescent="0.3">
      <c r="A865" s="44" t="s">
        <v>3498</v>
      </c>
      <c r="B865" s="44" t="s">
        <v>3576</v>
      </c>
      <c r="C865" s="45" t="s">
        <v>3585</v>
      </c>
      <c r="D865" s="44">
        <v>3</v>
      </c>
      <c r="E865" s="114"/>
      <c r="F865" s="44"/>
      <c r="G865" s="44">
        <v>36</v>
      </c>
      <c r="H865" s="116" t="str">
        <f t="shared" si="123"/>
        <v>神器图纸2/防具碎片4/烈焰玄铁4/火龙币39</v>
      </c>
    </row>
    <row r="866" spans="1:8" ht="15.75" x14ac:dyDescent="0.3">
      <c r="A866" s="44" t="s">
        <v>3498</v>
      </c>
      <c r="B866" s="44" t="s">
        <v>3576</v>
      </c>
      <c r="C866" s="45" t="s">
        <v>3585</v>
      </c>
      <c r="D866" s="44">
        <v>4</v>
      </c>
      <c r="E866" s="114"/>
      <c r="F866" s="44"/>
      <c r="G866" s="44">
        <v>48</v>
      </c>
      <c r="H866" s="116" t="str">
        <f t="shared" si="123"/>
        <v>神器图纸2/防具碎片4/烈焰玄铁4/火龙币41</v>
      </c>
    </row>
    <row r="867" spans="1:8" ht="15.75" x14ac:dyDescent="0.3">
      <c r="A867" s="44" t="s">
        <v>3498</v>
      </c>
      <c r="B867" s="44" t="s">
        <v>3576</v>
      </c>
      <c r="C867" s="45" t="s">
        <v>3585</v>
      </c>
      <c r="D867" s="44">
        <v>5</v>
      </c>
      <c r="E867" s="114"/>
      <c r="F867" s="44"/>
      <c r="G867" s="44">
        <v>60</v>
      </c>
      <c r="H867" s="116" t="str">
        <f t="shared" si="123"/>
        <v>神器图纸2/防具碎片4/烈焰玄铁4/火龙币44</v>
      </c>
    </row>
    <row r="868" spans="1:8" ht="15.75" x14ac:dyDescent="0.3">
      <c r="A868" s="44" t="s">
        <v>3498</v>
      </c>
      <c r="B868" s="44" t="s">
        <v>3576</v>
      </c>
      <c r="C868" s="45" t="s">
        <v>3585</v>
      </c>
      <c r="D868" s="44">
        <v>6</v>
      </c>
      <c r="E868" s="114"/>
      <c r="F868" s="44"/>
      <c r="G868" s="44">
        <v>72</v>
      </c>
      <c r="H868" s="116" t="str">
        <f t="shared" si="123"/>
        <v>神器图纸2/防具碎片5/烈焰玄铁5/火龙币46</v>
      </c>
    </row>
    <row r="869" spans="1:8" ht="15.75" x14ac:dyDescent="0.3">
      <c r="A869" s="44" t="s">
        <v>3498</v>
      </c>
      <c r="B869" s="44" t="s">
        <v>3576</v>
      </c>
      <c r="C869" s="45" t="s">
        <v>3585</v>
      </c>
      <c r="D869" s="44">
        <v>7</v>
      </c>
      <c r="E869" s="114"/>
      <c r="F869" s="44"/>
      <c r="G869" s="44">
        <v>84</v>
      </c>
      <c r="H869" s="116" t="str">
        <f t="shared" si="123"/>
        <v>神器图纸2/防具碎片5/烈焰玄铁5/火龙币48</v>
      </c>
    </row>
    <row r="870" spans="1:8" ht="15.75" x14ac:dyDescent="0.3">
      <c r="A870" s="44" t="s">
        <v>3498</v>
      </c>
      <c r="B870" s="44" t="s">
        <v>3576</v>
      </c>
      <c r="C870" s="45" t="s">
        <v>3585</v>
      </c>
      <c r="D870" s="44">
        <v>8</v>
      </c>
      <c r="E870" s="114"/>
      <c r="F870" s="44"/>
      <c r="G870" s="44">
        <v>96</v>
      </c>
      <c r="H870" s="116" t="str">
        <f t="shared" si="123"/>
        <v>神器图纸2/防具碎片5/烈焰玄铁5/火龙币50</v>
      </c>
    </row>
    <row r="871" spans="1:8" ht="15.75" x14ac:dyDescent="0.3">
      <c r="A871" s="44" t="s">
        <v>3498</v>
      </c>
      <c r="B871" s="44" t="s">
        <v>3576</v>
      </c>
      <c r="C871" s="45" t="s">
        <v>3585</v>
      </c>
      <c r="D871" s="44">
        <v>9</v>
      </c>
      <c r="E871" s="114"/>
      <c r="F871" s="44"/>
      <c r="G871" s="44">
        <v>108</v>
      </c>
      <c r="H871" s="116" t="str">
        <f t="shared" si="123"/>
        <v>神器图纸2/防具碎片5/烈焰玄铁5/火龙币53</v>
      </c>
    </row>
    <row r="872" spans="1:8" ht="15.75" x14ac:dyDescent="0.3">
      <c r="A872" s="44" t="s">
        <v>3498</v>
      </c>
      <c r="B872" s="44" t="s">
        <v>3576</v>
      </c>
      <c r="C872" s="45" t="s">
        <v>3585</v>
      </c>
      <c r="D872" s="44">
        <v>10</v>
      </c>
      <c r="E872" s="114"/>
      <c r="F872" s="44"/>
      <c r="G872" s="44">
        <v>120</v>
      </c>
      <c r="H872" s="116"/>
    </row>
    <row r="873" spans="1:8" ht="15.75" x14ac:dyDescent="0.3">
      <c r="A873" s="44" t="s">
        <v>3498</v>
      </c>
      <c r="B873" s="44" t="s">
        <v>3576</v>
      </c>
      <c r="C873" s="45" t="s">
        <v>3586</v>
      </c>
      <c r="D873" s="44">
        <v>0</v>
      </c>
      <c r="E873" s="114"/>
      <c r="F873" s="44"/>
      <c r="G873" s="117"/>
      <c r="H873" s="116" t="str">
        <f>"神器图纸"&amp;Z3&amp;"/防具碎片"&amp;AA3&amp;"/烈焰玄铁"&amp;AB3&amp;"/火龙币"&amp;AC3</f>
        <v>神器图纸1/防具碎片3/烈焰玄铁3/火龙币32</v>
      </c>
    </row>
    <row r="874" spans="1:8" ht="15.75" x14ac:dyDescent="0.3">
      <c r="A874" s="44" t="s">
        <v>3498</v>
      </c>
      <c r="B874" s="44" t="s">
        <v>3576</v>
      </c>
      <c r="C874" s="45" t="s">
        <v>3586</v>
      </c>
      <c r="D874" s="44">
        <v>1</v>
      </c>
      <c r="E874" s="114"/>
      <c r="F874" s="44"/>
      <c r="G874" s="44">
        <v>13</v>
      </c>
      <c r="H874" s="116" t="str">
        <f t="shared" ref="H874:H882" si="124">"神器图纸"&amp;Z4&amp;"/防具碎片"&amp;AA4&amp;"/烈焰玄铁"&amp;AB4&amp;"/火龙币"&amp;AC4</f>
        <v>神器图纸1/防具碎片3/烈焰玄铁3/火龙币35</v>
      </c>
    </row>
    <row r="875" spans="1:8" ht="15.75" x14ac:dyDescent="0.3">
      <c r="A875" s="44" t="s">
        <v>3498</v>
      </c>
      <c r="B875" s="44" t="s">
        <v>3576</v>
      </c>
      <c r="C875" s="45" t="s">
        <v>3586</v>
      </c>
      <c r="D875" s="44">
        <v>2</v>
      </c>
      <c r="E875" s="114"/>
      <c r="F875" s="44"/>
      <c r="G875" s="44">
        <v>26</v>
      </c>
      <c r="H875" s="116" t="str">
        <f t="shared" si="124"/>
        <v>神器图纸1/防具碎片4/烈焰玄铁4/火龙币37</v>
      </c>
    </row>
    <row r="876" spans="1:8" ht="15.75" x14ac:dyDescent="0.3">
      <c r="A876" s="44" t="s">
        <v>3498</v>
      </c>
      <c r="B876" s="44" t="s">
        <v>3576</v>
      </c>
      <c r="C876" s="45" t="s">
        <v>3586</v>
      </c>
      <c r="D876" s="44">
        <v>3</v>
      </c>
      <c r="E876" s="114"/>
      <c r="F876" s="44"/>
      <c r="G876" s="44">
        <v>39</v>
      </c>
      <c r="H876" s="116" t="str">
        <f t="shared" si="124"/>
        <v>神器图纸2/防具碎片4/烈焰玄铁4/火龙币39</v>
      </c>
    </row>
    <row r="877" spans="1:8" ht="15.75" x14ac:dyDescent="0.3">
      <c r="A877" s="44" t="s">
        <v>3498</v>
      </c>
      <c r="B877" s="44" t="s">
        <v>3576</v>
      </c>
      <c r="C877" s="45" t="s">
        <v>3586</v>
      </c>
      <c r="D877" s="44">
        <v>4</v>
      </c>
      <c r="E877" s="114"/>
      <c r="F877" s="44"/>
      <c r="G877" s="44">
        <v>52</v>
      </c>
      <c r="H877" s="116" t="str">
        <f t="shared" si="124"/>
        <v>神器图纸2/防具碎片4/烈焰玄铁4/火龙币41</v>
      </c>
    </row>
    <row r="878" spans="1:8" ht="15.75" x14ac:dyDescent="0.3">
      <c r="A878" s="44" t="s">
        <v>3498</v>
      </c>
      <c r="B878" s="44" t="s">
        <v>3576</v>
      </c>
      <c r="C878" s="45" t="s">
        <v>3586</v>
      </c>
      <c r="D878" s="44">
        <v>5</v>
      </c>
      <c r="E878" s="114"/>
      <c r="F878" s="44"/>
      <c r="G878" s="44">
        <v>65</v>
      </c>
      <c r="H878" s="116" t="str">
        <f t="shared" si="124"/>
        <v>神器图纸2/防具碎片4/烈焰玄铁4/火龙币44</v>
      </c>
    </row>
    <row r="879" spans="1:8" ht="15.75" x14ac:dyDescent="0.3">
      <c r="A879" s="44" t="s">
        <v>3498</v>
      </c>
      <c r="B879" s="44" t="s">
        <v>3576</v>
      </c>
      <c r="C879" s="45" t="s">
        <v>3586</v>
      </c>
      <c r="D879" s="44">
        <v>6</v>
      </c>
      <c r="E879" s="114"/>
      <c r="F879" s="44"/>
      <c r="G879" s="44">
        <v>78</v>
      </c>
      <c r="H879" s="116" t="str">
        <f t="shared" si="124"/>
        <v>神器图纸2/防具碎片5/烈焰玄铁5/火龙币46</v>
      </c>
    </row>
    <row r="880" spans="1:8" ht="15.75" x14ac:dyDescent="0.3">
      <c r="A880" s="44" t="s">
        <v>3498</v>
      </c>
      <c r="B880" s="44" t="s">
        <v>3576</v>
      </c>
      <c r="C880" s="45" t="s">
        <v>3586</v>
      </c>
      <c r="D880" s="44">
        <v>7</v>
      </c>
      <c r="E880" s="114"/>
      <c r="F880" s="44"/>
      <c r="G880" s="44">
        <v>91</v>
      </c>
      <c r="H880" s="116" t="str">
        <f t="shared" si="124"/>
        <v>神器图纸2/防具碎片5/烈焰玄铁5/火龙币48</v>
      </c>
    </row>
    <row r="881" spans="1:8" ht="15.75" x14ac:dyDescent="0.3">
      <c r="A881" s="44" t="s">
        <v>3498</v>
      </c>
      <c r="B881" s="44" t="s">
        <v>3576</v>
      </c>
      <c r="C881" s="45" t="s">
        <v>3586</v>
      </c>
      <c r="D881" s="44">
        <v>8</v>
      </c>
      <c r="E881" s="114"/>
      <c r="F881" s="44"/>
      <c r="G881" s="44">
        <v>104</v>
      </c>
      <c r="H881" s="116" t="str">
        <f t="shared" si="124"/>
        <v>神器图纸2/防具碎片5/烈焰玄铁5/火龙币50</v>
      </c>
    </row>
    <row r="882" spans="1:8" ht="15.75" x14ac:dyDescent="0.3">
      <c r="A882" s="44" t="s">
        <v>3498</v>
      </c>
      <c r="B882" s="44" t="s">
        <v>3576</v>
      </c>
      <c r="C882" s="45" t="s">
        <v>3586</v>
      </c>
      <c r="D882" s="44">
        <v>9</v>
      </c>
      <c r="E882" s="114"/>
      <c r="F882" s="44"/>
      <c r="G882" s="44">
        <v>117</v>
      </c>
      <c r="H882" s="116" t="str">
        <f t="shared" si="124"/>
        <v>神器图纸2/防具碎片5/烈焰玄铁5/火龙币53</v>
      </c>
    </row>
    <row r="883" spans="1:8" ht="15.75" x14ac:dyDescent="0.3">
      <c r="A883" s="44" t="s">
        <v>3498</v>
      </c>
      <c r="B883" s="44" t="s">
        <v>3576</v>
      </c>
      <c r="C883" s="45" t="s">
        <v>3586</v>
      </c>
      <c r="D883" s="44">
        <v>10</v>
      </c>
      <c r="E883" s="114"/>
      <c r="F883" s="44"/>
      <c r="G883" s="44">
        <v>130</v>
      </c>
      <c r="H883" s="116"/>
    </row>
    <row r="884" spans="1:8" ht="15.75" x14ac:dyDescent="0.3">
      <c r="A884" s="47" t="s">
        <v>3498</v>
      </c>
      <c r="B884" s="47" t="s">
        <v>3587</v>
      </c>
      <c r="C884" s="48" t="s">
        <v>3588</v>
      </c>
      <c r="D884" s="47">
        <v>0</v>
      </c>
      <c r="E884" s="118"/>
      <c r="F884" s="47"/>
      <c r="G884" s="121"/>
      <c r="H884" s="120" t="str">
        <f>"神器图纸"&amp;Z3&amp;"/防具碎片"&amp;AA3&amp;"/烈焰玄铁"&amp;AB3&amp;"/火龙币"&amp;AC3</f>
        <v>神器图纸1/防具碎片3/烈焰玄铁3/火龙币32</v>
      </c>
    </row>
    <row r="885" spans="1:8" ht="15.75" x14ac:dyDescent="0.3">
      <c r="A885" s="47" t="s">
        <v>3498</v>
      </c>
      <c r="B885" s="47" t="s">
        <v>3587</v>
      </c>
      <c r="C885" s="48" t="s">
        <v>3588</v>
      </c>
      <c r="D885" s="47">
        <v>1</v>
      </c>
      <c r="E885" s="118"/>
      <c r="F885" s="47"/>
      <c r="G885" s="47">
        <v>6</v>
      </c>
      <c r="H885" s="120" t="str">
        <f t="shared" ref="H885:H893" si="125">"神器图纸"&amp;Z4&amp;"/防具碎片"&amp;AA4&amp;"/烈焰玄铁"&amp;AB4&amp;"/火龙币"&amp;AC4</f>
        <v>神器图纸1/防具碎片3/烈焰玄铁3/火龙币35</v>
      </c>
    </row>
    <row r="886" spans="1:8" ht="15.75" x14ac:dyDescent="0.3">
      <c r="A886" s="47" t="s">
        <v>3498</v>
      </c>
      <c r="B886" s="47" t="s">
        <v>3587</v>
      </c>
      <c r="C886" s="48" t="s">
        <v>3588</v>
      </c>
      <c r="D886" s="47">
        <v>2</v>
      </c>
      <c r="E886" s="118"/>
      <c r="F886" s="47"/>
      <c r="G886" s="47">
        <v>12</v>
      </c>
      <c r="H886" s="120" t="str">
        <f t="shared" si="125"/>
        <v>神器图纸1/防具碎片4/烈焰玄铁4/火龙币37</v>
      </c>
    </row>
    <row r="887" spans="1:8" ht="15.75" x14ac:dyDescent="0.3">
      <c r="A887" s="47" t="s">
        <v>3498</v>
      </c>
      <c r="B887" s="47" t="s">
        <v>3587</v>
      </c>
      <c r="C887" s="48" t="s">
        <v>3588</v>
      </c>
      <c r="D887" s="47">
        <v>3</v>
      </c>
      <c r="E887" s="118"/>
      <c r="F887" s="47"/>
      <c r="G887" s="47">
        <v>18</v>
      </c>
      <c r="H887" s="120" t="str">
        <f t="shared" si="125"/>
        <v>神器图纸2/防具碎片4/烈焰玄铁4/火龙币39</v>
      </c>
    </row>
    <row r="888" spans="1:8" ht="15.75" x14ac:dyDescent="0.3">
      <c r="A888" s="47" t="s">
        <v>3498</v>
      </c>
      <c r="B888" s="47" t="s">
        <v>3587</v>
      </c>
      <c r="C888" s="48" t="s">
        <v>3588</v>
      </c>
      <c r="D888" s="47">
        <v>4</v>
      </c>
      <c r="E888" s="118"/>
      <c r="F888" s="47"/>
      <c r="G888" s="47">
        <v>24</v>
      </c>
      <c r="H888" s="120" t="str">
        <f t="shared" si="125"/>
        <v>神器图纸2/防具碎片4/烈焰玄铁4/火龙币41</v>
      </c>
    </row>
    <row r="889" spans="1:8" ht="15.75" x14ac:dyDescent="0.3">
      <c r="A889" s="47" t="s">
        <v>3498</v>
      </c>
      <c r="B889" s="47" t="s">
        <v>3587</v>
      </c>
      <c r="C889" s="48" t="s">
        <v>3588</v>
      </c>
      <c r="D889" s="47">
        <v>5</v>
      </c>
      <c r="E889" s="118"/>
      <c r="F889" s="47"/>
      <c r="G889" s="47">
        <v>30</v>
      </c>
      <c r="H889" s="120" t="str">
        <f t="shared" si="125"/>
        <v>神器图纸2/防具碎片4/烈焰玄铁4/火龙币44</v>
      </c>
    </row>
    <row r="890" spans="1:8" ht="15.75" x14ac:dyDescent="0.3">
      <c r="A890" s="47" t="s">
        <v>3498</v>
      </c>
      <c r="B890" s="47" t="s">
        <v>3587</v>
      </c>
      <c r="C890" s="48" t="s">
        <v>3588</v>
      </c>
      <c r="D890" s="47">
        <v>6</v>
      </c>
      <c r="E890" s="118"/>
      <c r="F890" s="47"/>
      <c r="G890" s="47">
        <v>36</v>
      </c>
      <c r="H890" s="120" t="str">
        <f t="shared" si="125"/>
        <v>神器图纸2/防具碎片5/烈焰玄铁5/火龙币46</v>
      </c>
    </row>
    <row r="891" spans="1:8" ht="15.75" x14ac:dyDescent="0.3">
      <c r="A891" s="47" t="s">
        <v>3498</v>
      </c>
      <c r="B891" s="47" t="s">
        <v>3587</v>
      </c>
      <c r="C891" s="48" t="s">
        <v>3588</v>
      </c>
      <c r="D891" s="47">
        <v>7</v>
      </c>
      <c r="E891" s="118"/>
      <c r="F891" s="47"/>
      <c r="G891" s="47">
        <v>42</v>
      </c>
      <c r="H891" s="120" t="str">
        <f t="shared" si="125"/>
        <v>神器图纸2/防具碎片5/烈焰玄铁5/火龙币48</v>
      </c>
    </row>
    <row r="892" spans="1:8" ht="15.75" x14ac:dyDescent="0.3">
      <c r="A892" s="47" t="s">
        <v>3498</v>
      </c>
      <c r="B892" s="47" t="s">
        <v>3587</v>
      </c>
      <c r="C892" s="48" t="s">
        <v>3588</v>
      </c>
      <c r="D892" s="47">
        <v>8</v>
      </c>
      <c r="E892" s="118"/>
      <c r="F892" s="47"/>
      <c r="G892" s="47">
        <v>48</v>
      </c>
      <c r="H892" s="120" t="str">
        <f t="shared" si="125"/>
        <v>神器图纸2/防具碎片5/烈焰玄铁5/火龙币50</v>
      </c>
    </row>
    <row r="893" spans="1:8" ht="15.75" x14ac:dyDescent="0.3">
      <c r="A893" s="47" t="s">
        <v>3498</v>
      </c>
      <c r="B893" s="47" t="s">
        <v>3587</v>
      </c>
      <c r="C893" s="48" t="s">
        <v>3588</v>
      </c>
      <c r="D893" s="47">
        <v>9</v>
      </c>
      <c r="E893" s="118"/>
      <c r="F893" s="47"/>
      <c r="G893" s="47">
        <v>54</v>
      </c>
      <c r="H893" s="120" t="str">
        <f t="shared" si="125"/>
        <v>神器图纸2/防具碎片5/烈焰玄铁5/火龙币53</v>
      </c>
    </row>
    <row r="894" spans="1:8" ht="15.75" x14ac:dyDescent="0.3">
      <c r="A894" s="47" t="s">
        <v>3498</v>
      </c>
      <c r="B894" s="47" t="s">
        <v>3587</v>
      </c>
      <c r="C894" s="48" t="s">
        <v>3588</v>
      </c>
      <c r="D894" s="47">
        <v>10</v>
      </c>
      <c r="E894" s="118"/>
      <c r="F894" s="47"/>
      <c r="G894" s="47">
        <v>60</v>
      </c>
      <c r="H894" s="120"/>
    </row>
    <row r="895" spans="1:8" ht="15.75" x14ac:dyDescent="0.3">
      <c r="A895" s="47" t="s">
        <v>3498</v>
      </c>
      <c r="B895" s="47" t="s">
        <v>3587</v>
      </c>
      <c r="C895" s="48" t="s">
        <v>3589</v>
      </c>
      <c r="D895" s="47">
        <v>0</v>
      </c>
      <c r="E895" s="118"/>
      <c r="F895" s="47"/>
      <c r="G895" s="121"/>
      <c r="H895" s="120" t="str">
        <f>"神器图纸"&amp;Z3&amp;"/防具碎片"&amp;AA3&amp;"/烈焰玄铁"&amp;AB3&amp;"/火龙币"&amp;AC3</f>
        <v>神器图纸1/防具碎片3/烈焰玄铁3/火龙币32</v>
      </c>
    </row>
    <row r="896" spans="1:8" ht="15.75" x14ac:dyDescent="0.3">
      <c r="A896" s="47" t="s">
        <v>3498</v>
      </c>
      <c r="B896" s="47" t="s">
        <v>3587</v>
      </c>
      <c r="C896" s="48" t="s">
        <v>3589</v>
      </c>
      <c r="D896" s="47">
        <v>1</v>
      </c>
      <c r="E896" s="118"/>
      <c r="F896" s="47"/>
      <c r="G896" s="47">
        <v>7</v>
      </c>
      <c r="H896" s="120" t="str">
        <f t="shared" ref="H896:H904" si="126">"神器图纸"&amp;Z4&amp;"/防具碎片"&amp;AA4&amp;"/烈焰玄铁"&amp;AB4&amp;"/火龙币"&amp;AC4</f>
        <v>神器图纸1/防具碎片3/烈焰玄铁3/火龙币35</v>
      </c>
    </row>
    <row r="897" spans="1:8" ht="15.75" x14ac:dyDescent="0.3">
      <c r="A897" s="47" t="s">
        <v>3498</v>
      </c>
      <c r="B897" s="47" t="s">
        <v>3587</v>
      </c>
      <c r="C897" s="48" t="s">
        <v>3589</v>
      </c>
      <c r="D897" s="47">
        <v>2</v>
      </c>
      <c r="E897" s="118"/>
      <c r="F897" s="47"/>
      <c r="G897" s="47">
        <v>14</v>
      </c>
      <c r="H897" s="120" t="str">
        <f t="shared" si="126"/>
        <v>神器图纸1/防具碎片4/烈焰玄铁4/火龙币37</v>
      </c>
    </row>
    <row r="898" spans="1:8" ht="15.75" x14ac:dyDescent="0.3">
      <c r="A898" s="47" t="s">
        <v>3498</v>
      </c>
      <c r="B898" s="47" t="s">
        <v>3587</v>
      </c>
      <c r="C898" s="48" t="s">
        <v>3589</v>
      </c>
      <c r="D898" s="47">
        <v>3</v>
      </c>
      <c r="E898" s="118"/>
      <c r="F898" s="47"/>
      <c r="G898" s="47">
        <v>21</v>
      </c>
      <c r="H898" s="120" t="str">
        <f t="shared" si="126"/>
        <v>神器图纸2/防具碎片4/烈焰玄铁4/火龙币39</v>
      </c>
    </row>
    <row r="899" spans="1:8" ht="15.75" x14ac:dyDescent="0.3">
      <c r="A899" s="47" t="s">
        <v>3498</v>
      </c>
      <c r="B899" s="47" t="s">
        <v>3587</v>
      </c>
      <c r="C899" s="48" t="s">
        <v>3589</v>
      </c>
      <c r="D899" s="47">
        <v>4</v>
      </c>
      <c r="E899" s="118"/>
      <c r="F899" s="47"/>
      <c r="G899" s="47">
        <v>28</v>
      </c>
      <c r="H899" s="120" t="str">
        <f t="shared" si="126"/>
        <v>神器图纸2/防具碎片4/烈焰玄铁4/火龙币41</v>
      </c>
    </row>
    <row r="900" spans="1:8" ht="15.75" x14ac:dyDescent="0.3">
      <c r="A900" s="47" t="s">
        <v>3498</v>
      </c>
      <c r="B900" s="47" t="s">
        <v>3587</v>
      </c>
      <c r="C900" s="48" t="s">
        <v>3589</v>
      </c>
      <c r="D900" s="47">
        <v>5</v>
      </c>
      <c r="E900" s="118"/>
      <c r="F900" s="47"/>
      <c r="G900" s="47">
        <v>35</v>
      </c>
      <c r="H900" s="120" t="str">
        <f t="shared" si="126"/>
        <v>神器图纸2/防具碎片4/烈焰玄铁4/火龙币44</v>
      </c>
    </row>
    <row r="901" spans="1:8" ht="15.75" x14ac:dyDescent="0.3">
      <c r="A901" s="47" t="s">
        <v>3498</v>
      </c>
      <c r="B901" s="47" t="s">
        <v>3587</v>
      </c>
      <c r="C901" s="48" t="s">
        <v>3589</v>
      </c>
      <c r="D901" s="47">
        <v>6</v>
      </c>
      <c r="E901" s="118"/>
      <c r="F901" s="47"/>
      <c r="G901" s="47">
        <v>42</v>
      </c>
      <c r="H901" s="120" t="str">
        <f t="shared" si="126"/>
        <v>神器图纸2/防具碎片5/烈焰玄铁5/火龙币46</v>
      </c>
    </row>
    <row r="902" spans="1:8" ht="15.75" x14ac:dyDescent="0.3">
      <c r="A902" s="47" t="s">
        <v>3498</v>
      </c>
      <c r="B902" s="47" t="s">
        <v>3587</v>
      </c>
      <c r="C902" s="48" t="s">
        <v>3589</v>
      </c>
      <c r="D902" s="47">
        <v>7</v>
      </c>
      <c r="E902" s="118"/>
      <c r="F902" s="47"/>
      <c r="G902" s="47">
        <v>49</v>
      </c>
      <c r="H902" s="120" t="str">
        <f t="shared" si="126"/>
        <v>神器图纸2/防具碎片5/烈焰玄铁5/火龙币48</v>
      </c>
    </row>
    <row r="903" spans="1:8" ht="15.75" x14ac:dyDescent="0.3">
      <c r="A903" s="47" t="s">
        <v>3498</v>
      </c>
      <c r="B903" s="47" t="s">
        <v>3587</v>
      </c>
      <c r="C903" s="48" t="s">
        <v>3589</v>
      </c>
      <c r="D903" s="47">
        <v>8</v>
      </c>
      <c r="E903" s="118"/>
      <c r="F903" s="47"/>
      <c r="G903" s="47">
        <v>56</v>
      </c>
      <c r="H903" s="120" t="str">
        <f t="shared" si="126"/>
        <v>神器图纸2/防具碎片5/烈焰玄铁5/火龙币50</v>
      </c>
    </row>
    <row r="904" spans="1:8" ht="15.75" x14ac:dyDescent="0.3">
      <c r="A904" s="47" t="s">
        <v>3498</v>
      </c>
      <c r="B904" s="47" t="s">
        <v>3587</v>
      </c>
      <c r="C904" s="48" t="s">
        <v>3589</v>
      </c>
      <c r="D904" s="47">
        <v>9</v>
      </c>
      <c r="E904" s="118"/>
      <c r="F904" s="47"/>
      <c r="G904" s="47">
        <v>63</v>
      </c>
      <c r="H904" s="120" t="str">
        <f t="shared" si="126"/>
        <v>神器图纸2/防具碎片5/烈焰玄铁5/火龙币53</v>
      </c>
    </row>
    <row r="905" spans="1:8" ht="15.75" x14ac:dyDescent="0.3">
      <c r="A905" s="47" t="s">
        <v>3498</v>
      </c>
      <c r="B905" s="47" t="s">
        <v>3587</v>
      </c>
      <c r="C905" s="48" t="s">
        <v>3589</v>
      </c>
      <c r="D905" s="47">
        <v>10</v>
      </c>
      <c r="E905" s="118"/>
      <c r="F905" s="47"/>
      <c r="G905" s="47">
        <v>70</v>
      </c>
      <c r="H905" s="120"/>
    </row>
    <row r="906" spans="1:8" ht="15.75" x14ac:dyDescent="0.3">
      <c r="A906" s="47" t="s">
        <v>3498</v>
      </c>
      <c r="B906" s="47" t="s">
        <v>3587</v>
      </c>
      <c r="C906" s="48" t="s">
        <v>3590</v>
      </c>
      <c r="D906" s="47">
        <v>0</v>
      </c>
      <c r="E906" s="118"/>
      <c r="F906" s="47"/>
      <c r="G906" s="121"/>
      <c r="H906" s="120" t="str">
        <f>"神器图纸"&amp;Z3&amp;"/防具碎片"&amp;AA3&amp;"/烈焰玄铁"&amp;AB3&amp;"/火龙币"&amp;AC3</f>
        <v>神器图纸1/防具碎片3/烈焰玄铁3/火龙币32</v>
      </c>
    </row>
    <row r="907" spans="1:8" ht="15.75" x14ac:dyDescent="0.3">
      <c r="A907" s="47" t="s">
        <v>3498</v>
      </c>
      <c r="B907" s="47" t="s">
        <v>3587</v>
      </c>
      <c r="C907" s="48" t="s">
        <v>3590</v>
      </c>
      <c r="D907" s="47">
        <v>1</v>
      </c>
      <c r="E907" s="118"/>
      <c r="F907" s="47"/>
      <c r="G907" s="47">
        <v>8</v>
      </c>
      <c r="H907" s="120" t="str">
        <f t="shared" ref="H907:H915" si="127">"神器图纸"&amp;Z4&amp;"/防具碎片"&amp;AA4&amp;"/烈焰玄铁"&amp;AB4&amp;"/火龙币"&amp;AC4</f>
        <v>神器图纸1/防具碎片3/烈焰玄铁3/火龙币35</v>
      </c>
    </row>
    <row r="908" spans="1:8" ht="15.75" x14ac:dyDescent="0.3">
      <c r="A908" s="47" t="s">
        <v>3498</v>
      </c>
      <c r="B908" s="47" t="s">
        <v>3587</v>
      </c>
      <c r="C908" s="48" t="s">
        <v>3590</v>
      </c>
      <c r="D908" s="47">
        <v>2</v>
      </c>
      <c r="E908" s="118"/>
      <c r="F908" s="47"/>
      <c r="G908" s="47">
        <v>16</v>
      </c>
      <c r="H908" s="120" t="str">
        <f t="shared" si="127"/>
        <v>神器图纸1/防具碎片4/烈焰玄铁4/火龙币37</v>
      </c>
    </row>
    <row r="909" spans="1:8" ht="15.75" x14ac:dyDescent="0.3">
      <c r="A909" s="47" t="s">
        <v>3498</v>
      </c>
      <c r="B909" s="47" t="s">
        <v>3587</v>
      </c>
      <c r="C909" s="48" t="s">
        <v>3590</v>
      </c>
      <c r="D909" s="47">
        <v>3</v>
      </c>
      <c r="E909" s="118"/>
      <c r="F909" s="47"/>
      <c r="G909" s="47">
        <v>24</v>
      </c>
      <c r="H909" s="120" t="str">
        <f t="shared" si="127"/>
        <v>神器图纸2/防具碎片4/烈焰玄铁4/火龙币39</v>
      </c>
    </row>
    <row r="910" spans="1:8" ht="15.75" x14ac:dyDescent="0.3">
      <c r="A910" s="47" t="s">
        <v>3498</v>
      </c>
      <c r="B910" s="47" t="s">
        <v>3587</v>
      </c>
      <c r="C910" s="48" t="s">
        <v>3590</v>
      </c>
      <c r="D910" s="47">
        <v>4</v>
      </c>
      <c r="E910" s="118"/>
      <c r="F910" s="47"/>
      <c r="G910" s="47">
        <v>32</v>
      </c>
      <c r="H910" s="120" t="str">
        <f t="shared" si="127"/>
        <v>神器图纸2/防具碎片4/烈焰玄铁4/火龙币41</v>
      </c>
    </row>
    <row r="911" spans="1:8" ht="15.75" x14ac:dyDescent="0.3">
      <c r="A911" s="47" t="s">
        <v>3498</v>
      </c>
      <c r="B911" s="47" t="s">
        <v>3587</v>
      </c>
      <c r="C911" s="48" t="s">
        <v>3590</v>
      </c>
      <c r="D911" s="47">
        <v>5</v>
      </c>
      <c r="E911" s="118"/>
      <c r="F911" s="47"/>
      <c r="G911" s="47">
        <v>40</v>
      </c>
      <c r="H911" s="120" t="str">
        <f t="shared" si="127"/>
        <v>神器图纸2/防具碎片4/烈焰玄铁4/火龙币44</v>
      </c>
    </row>
    <row r="912" spans="1:8" ht="15.75" x14ac:dyDescent="0.3">
      <c r="A912" s="47" t="s">
        <v>3498</v>
      </c>
      <c r="B912" s="47" t="s">
        <v>3587</v>
      </c>
      <c r="C912" s="48" t="s">
        <v>3590</v>
      </c>
      <c r="D912" s="47">
        <v>6</v>
      </c>
      <c r="E912" s="118"/>
      <c r="F912" s="47"/>
      <c r="G912" s="47">
        <v>48</v>
      </c>
      <c r="H912" s="120" t="str">
        <f t="shared" si="127"/>
        <v>神器图纸2/防具碎片5/烈焰玄铁5/火龙币46</v>
      </c>
    </row>
    <row r="913" spans="1:8" ht="15.75" x14ac:dyDescent="0.3">
      <c r="A913" s="47" t="s">
        <v>3498</v>
      </c>
      <c r="B913" s="47" t="s">
        <v>3587</v>
      </c>
      <c r="C913" s="48" t="s">
        <v>3590</v>
      </c>
      <c r="D913" s="47">
        <v>7</v>
      </c>
      <c r="E913" s="118"/>
      <c r="F913" s="47"/>
      <c r="G913" s="47">
        <v>56</v>
      </c>
      <c r="H913" s="120" t="str">
        <f t="shared" si="127"/>
        <v>神器图纸2/防具碎片5/烈焰玄铁5/火龙币48</v>
      </c>
    </row>
    <row r="914" spans="1:8" ht="15.75" x14ac:dyDescent="0.3">
      <c r="A914" s="47" t="s">
        <v>3498</v>
      </c>
      <c r="B914" s="47" t="s">
        <v>3587</v>
      </c>
      <c r="C914" s="48" t="s">
        <v>3590</v>
      </c>
      <c r="D914" s="47">
        <v>8</v>
      </c>
      <c r="E914" s="118"/>
      <c r="F914" s="47"/>
      <c r="G914" s="47">
        <v>64</v>
      </c>
      <c r="H914" s="120" t="str">
        <f t="shared" si="127"/>
        <v>神器图纸2/防具碎片5/烈焰玄铁5/火龙币50</v>
      </c>
    </row>
    <row r="915" spans="1:8" ht="15.75" x14ac:dyDescent="0.3">
      <c r="A915" s="47" t="s">
        <v>3498</v>
      </c>
      <c r="B915" s="47" t="s">
        <v>3587</v>
      </c>
      <c r="C915" s="48" t="s">
        <v>3590</v>
      </c>
      <c r="D915" s="47">
        <v>9</v>
      </c>
      <c r="E915" s="118"/>
      <c r="F915" s="47"/>
      <c r="G915" s="47">
        <v>72</v>
      </c>
      <c r="H915" s="120" t="str">
        <f t="shared" si="127"/>
        <v>神器图纸2/防具碎片5/烈焰玄铁5/火龙币53</v>
      </c>
    </row>
    <row r="916" spans="1:8" ht="15.75" x14ac:dyDescent="0.3">
      <c r="A916" s="47" t="s">
        <v>3498</v>
      </c>
      <c r="B916" s="47" t="s">
        <v>3587</v>
      </c>
      <c r="C916" s="48" t="s">
        <v>3590</v>
      </c>
      <c r="D916" s="47">
        <v>10</v>
      </c>
      <c r="E916" s="118"/>
      <c r="F916" s="47"/>
      <c r="G916" s="47">
        <v>80</v>
      </c>
      <c r="H916" s="120"/>
    </row>
    <row r="917" spans="1:8" ht="15.75" x14ac:dyDescent="0.3">
      <c r="A917" s="47" t="s">
        <v>3498</v>
      </c>
      <c r="B917" s="47" t="s">
        <v>3587</v>
      </c>
      <c r="C917" s="48" t="s">
        <v>3591</v>
      </c>
      <c r="D917" s="47">
        <v>0</v>
      </c>
      <c r="E917" s="118"/>
      <c r="F917" s="47"/>
      <c r="G917" s="121"/>
      <c r="H917" s="120" t="str">
        <f>"神器图纸"&amp;Z3&amp;"/防具碎片"&amp;AA3&amp;"/烈焰玄铁"&amp;AB3&amp;"/火龙币"&amp;AC3</f>
        <v>神器图纸1/防具碎片3/烈焰玄铁3/火龙币32</v>
      </c>
    </row>
    <row r="918" spans="1:8" ht="15.75" x14ac:dyDescent="0.3">
      <c r="A918" s="47" t="s">
        <v>3498</v>
      </c>
      <c r="B918" s="47" t="s">
        <v>3587</v>
      </c>
      <c r="C918" s="48" t="s">
        <v>3591</v>
      </c>
      <c r="D918" s="47">
        <v>1</v>
      </c>
      <c r="E918" s="118"/>
      <c r="F918" s="47"/>
      <c r="G918" s="47">
        <v>9</v>
      </c>
      <c r="H918" s="120" t="str">
        <f t="shared" ref="H918:H926" si="128">"神器图纸"&amp;Z4&amp;"/防具碎片"&amp;AA4&amp;"/烈焰玄铁"&amp;AB4&amp;"/火龙币"&amp;AC4</f>
        <v>神器图纸1/防具碎片3/烈焰玄铁3/火龙币35</v>
      </c>
    </row>
    <row r="919" spans="1:8" ht="15.75" x14ac:dyDescent="0.3">
      <c r="A919" s="47" t="s">
        <v>3498</v>
      </c>
      <c r="B919" s="47" t="s">
        <v>3587</v>
      </c>
      <c r="C919" s="48" t="s">
        <v>3591</v>
      </c>
      <c r="D919" s="47">
        <v>2</v>
      </c>
      <c r="E919" s="118"/>
      <c r="F919" s="47"/>
      <c r="G919" s="47">
        <v>18</v>
      </c>
      <c r="H919" s="120" t="str">
        <f t="shared" si="128"/>
        <v>神器图纸1/防具碎片4/烈焰玄铁4/火龙币37</v>
      </c>
    </row>
    <row r="920" spans="1:8" ht="15.75" x14ac:dyDescent="0.3">
      <c r="A920" s="47" t="s">
        <v>3498</v>
      </c>
      <c r="B920" s="47" t="s">
        <v>3587</v>
      </c>
      <c r="C920" s="48" t="s">
        <v>3591</v>
      </c>
      <c r="D920" s="47">
        <v>3</v>
      </c>
      <c r="E920" s="118"/>
      <c r="F920" s="47"/>
      <c r="G920" s="47">
        <v>27</v>
      </c>
      <c r="H920" s="120" t="str">
        <f t="shared" si="128"/>
        <v>神器图纸2/防具碎片4/烈焰玄铁4/火龙币39</v>
      </c>
    </row>
    <row r="921" spans="1:8" ht="15.75" x14ac:dyDescent="0.3">
      <c r="A921" s="47" t="s">
        <v>3498</v>
      </c>
      <c r="B921" s="47" t="s">
        <v>3587</v>
      </c>
      <c r="C921" s="48" t="s">
        <v>3591</v>
      </c>
      <c r="D921" s="47">
        <v>4</v>
      </c>
      <c r="E921" s="118"/>
      <c r="F921" s="47"/>
      <c r="G921" s="47">
        <v>36</v>
      </c>
      <c r="H921" s="120" t="str">
        <f t="shared" si="128"/>
        <v>神器图纸2/防具碎片4/烈焰玄铁4/火龙币41</v>
      </c>
    </row>
    <row r="922" spans="1:8" ht="15.75" x14ac:dyDescent="0.3">
      <c r="A922" s="47" t="s">
        <v>3498</v>
      </c>
      <c r="B922" s="47" t="s">
        <v>3587</v>
      </c>
      <c r="C922" s="48" t="s">
        <v>3591</v>
      </c>
      <c r="D922" s="47">
        <v>5</v>
      </c>
      <c r="E922" s="118"/>
      <c r="F922" s="47"/>
      <c r="G922" s="47">
        <v>45</v>
      </c>
      <c r="H922" s="120" t="str">
        <f t="shared" si="128"/>
        <v>神器图纸2/防具碎片4/烈焰玄铁4/火龙币44</v>
      </c>
    </row>
    <row r="923" spans="1:8" ht="15.75" x14ac:dyDescent="0.3">
      <c r="A923" s="47" t="s">
        <v>3498</v>
      </c>
      <c r="B923" s="47" t="s">
        <v>3587</v>
      </c>
      <c r="C923" s="48" t="s">
        <v>3591</v>
      </c>
      <c r="D923" s="47">
        <v>6</v>
      </c>
      <c r="E923" s="118"/>
      <c r="F923" s="47"/>
      <c r="G923" s="47">
        <v>54</v>
      </c>
      <c r="H923" s="120" t="str">
        <f t="shared" si="128"/>
        <v>神器图纸2/防具碎片5/烈焰玄铁5/火龙币46</v>
      </c>
    </row>
    <row r="924" spans="1:8" ht="15.75" x14ac:dyDescent="0.3">
      <c r="A924" s="47" t="s">
        <v>3498</v>
      </c>
      <c r="B924" s="47" t="s">
        <v>3587</v>
      </c>
      <c r="C924" s="48" t="s">
        <v>3591</v>
      </c>
      <c r="D924" s="47">
        <v>7</v>
      </c>
      <c r="E924" s="118"/>
      <c r="F924" s="47"/>
      <c r="G924" s="47">
        <v>63</v>
      </c>
      <c r="H924" s="120" t="str">
        <f t="shared" si="128"/>
        <v>神器图纸2/防具碎片5/烈焰玄铁5/火龙币48</v>
      </c>
    </row>
    <row r="925" spans="1:8" ht="15.75" x14ac:dyDescent="0.3">
      <c r="A925" s="47" t="s">
        <v>3498</v>
      </c>
      <c r="B925" s="47" t="s">
        <v>3587</v>
      </c>
      <c r="C925" s="48" t="s">
        <v>3591</v>
      </c>
      <c r="D925" s="47">
        <v>8</v>
      </c>
      <c r="E925" s="118"/>
      <c r="F925" s="47"/>
      <c r="G925" s="47">
        <v>72</v>
      </c>
      <c r="H925" s="120" t="str">
        <f t="shared" si="128"/>
        <v>神器图纸2/防具碎片5/烈焰玄铁5/火龙币50</v>
      </c>
    </row>
    <row r="926" spans="1:8" ht="15.75" x14ac:dyDescent="0.3">
      <c r="A926" s="47" t="s">
        <v>3498</v>
      </c>
      <c r="B926" s="47" t="s">
        <v>3587</v>
      </c>
      <c r="C926" s="48" t="s">
        <v>3591</v>
      </c>
      <c r="D926" s="47">
        <v>9</v>
      </c>
      <c r="E926" s="118"/>
      <c r="F926" s="47"/>
      <c r="G926" s="47">
        <v>81</v>
      </c>
      <c r="H926" s="120" t="str">
        <f t="shared" si="128"/>
        <v>神器图纸2/防具碎片5/烈焰玄铁5/火龙币53</v>
      </c>
    </row>
    <row r="927" spans="1:8" ht="15.75" x14ac:dyDescent="0.3">
      <c r="A927" s="47" t="s">
        <v>3498</v>
      </c>
      <c r="B927" s="47" t="s">
        <v>3587</v>
      </c>
      <c r="C927" s="48" t="s">
        <v>3591</v>
      </c>
      <c r="D927" s="47">
        <v>10</v>
      </c>
      <c r="E927" s="118"/>
      <c r="F927" s="47"/>
      <c r="G927" s="47">
        <v>90</v>
      </c>
      <c r="H927" s="120"/>
    </row>
    <row r="928" spans="1:8" ht="15.75" x14ac:dyDescent="0.3">
      <c r="A928" s="47" t="s">
        <v>3498</v>
      </c>
      <c r="B928" s="47" t="s">
        <v>3587</v>
      </c>
      <c r="C928" s="48" t="s">
        <v>3592</v>
      </c>
      <c r="D928" s="47">
        <v>0</v>
      </c>
      <c r="E928" s="118"/>
      <c r="F928" s="47"/>
      <c r="G928" s="121"/>
      <c r="H928" s="120" t="str">
        <f>"神器图纸"&amp;Z3&amp;"/防具碎片"&amp;AA3&amp;"/烈焰玄铁"&amp;AB3&amp;"/火龙币"&amp;AC3</f>
        <v>神器图纸1/防具碎片3/烈焰玄铁3/火龙币32</v>
      </c>
    </row>
    <row r="929" spans="1:8" ht="15.75" x14ac:dyDescent="0.3">
      <c r="A929" s="47" t="s">
        <v>3498</v>
      </c>
      <c r="B929" s="47" t="s">
        <v>3587</v>
      </c>
      <c r="C929" s="48" t="s">
        <v>3592</v>
      </c>
      <c r="D929" s="47">
        <v>1</v>
      </c>
      <c r="E929" s="118"/>
      <c r="F929" s="47"/>
      <c r="G929" s="47">
        <v>10</v>
      </c>
      <c r="H929" s="120" t="str">
        <f t="shared" ref="H929:H937" si="129">"神器图纸"&amp;Z4&amp;"/防具碎片"&amp;AA4&amp;"/烈焰玄铁"&amp;AB4&amp;"/火龙币"&amp;AC4</f>
        <v>神器图纸1/防具碎片3/烈焰玄铁3/火龙币35</v>
      </c>
    </row>
    <row r="930" spans="1:8" ht="15.75" x14ac:dyDescent="0.3">
      <c r="A930" s="47" t="s">
        <v>3498</v>
      </c>
      <c r="B930" s="47" t="s">
        <v>3587</v>
      </c>
      <c r="C930" s="48" t="s">
        <v>3592</v>
      </c>
      <c r="D930" s="47">
        <v>2</v>
      </c>
      <c r="E930" s="118"/>
      <c r="F930" s="47"/>
      <c r="G930" s="47">
        <v>20</v>
      </c>
      <c r="H930" s="120" t="str">
        <f t="shared" si="129"/>
        <v>神器图纸1/防具碎片4/烈焰玄铁4/火龙币37</v>
      </c>
    </row>
    <row r="931" spans="1:8" ht="15.75" x14ac:dyDescent="0.3">
      <c r="A931" s="47" t="s">
        <v>3498</v>
      </c>
      <c r="B931" s="47" t="s">
        <v>3587</v>
      </c>
      <c r="C931" s="48" t="s">
        <v>3592</v>
      </c>
      <c r="D931" s="47">
        <v>3</v>
      </c>
      <c r="E931" s="118"/>
      <c r="F931" s="47"/>
      <c r="G931" s="47">
        <v>30</v>
      </c>
      <c r="H931" s="120" t="str">
        <f t="shared" si="129"/>
        <v>神器图纸2/防具碎片4/烈焰玄铁4/火龙币39</v>
      </c>
    </row>
    <row r="932" spans="1:8" ht="15.75" x14ac:dyDescent="0.3">
      <c r="A932" s="47" t="s">
        <v>3498</v>
      </c>
      <c r="B932" s="47" t="s">
        <v>3587</v>
      </c>
      <c r="C932" s="48" t="s">
        <v>3592</v>
      </c>
      <c r="D932" s="47">
        <v>4</v>
      </c>
      <c r="E932" s="118"/>
      <c r="F932" s="47"/>
      <c r="G932" s="47">
        <v>40</v>
      </c>
      <c r="H932" s="120" t="str">
        <f t="shared" si="129"/>
        <v>神器图纸2/防具碎片4/烈焰玄铁4/火龙币41</v>
      </c>
    </row>
    <row r="933" spans="1:8" ht="15.75" x14ac:dyDescent="0.3">
      <c r="A933" s="47" t="s">
        <v>3498</v>
      </c>
      <c r="B933" s="47" t="s">
        <v>3587</v>
      </c>
      <c r="C933" s="48" t="s">
        <v>3592</v>
      </c>
      <c r="D933" s="47">
        <v>5</v>
      </c>
      <c r="E933" s="118"/>
      <c r="F933" s="47"/>
      <c r="G933" s="47">
        <v>50</v>
      </c>
      <c r="H933" s="120" t="str">
        <f t="shared" si="129"/>
        <v>神器图纸2/防具碎片4/烈焰玄铁4/火龙币44</v>
      </c>
    </row>
    <row r="934" spans="1:8" ht="15.75" x14ac:dyDescent="0.3">
      <c r="A934" s="47" t="s">
        <v>3498</v>
      </c>
      <c r="B934" s="47" t="s">
        <v>3587</v>
      </c>
      <c r="C934" s="48" t="s">
        <v>3592</v>
      </c>
      <c r="D934" s="47">
        <v>6</v>
      </c>
      <c r="E934" s="118"/>
      <c r="F934" s="47"/>
      <c r="G934" s="47">
        <v>60</v>
      </c>
      <c r="H934" s="120" t="str">
        <f t="shared" si="129"/>
        <v>神器图纸2/防具碎片5/烈焰玄铁5/火龙币46</v>
      </c>
    </row>
    <row r="935" spans="1:8" ht="15.75" x14ac:dyDescent="0.3">
      <c r="A935" s="47" t="s">
        <v>3498</v>
      </c>
      <c r="B935" s="47" t="s">
        <v>3587</v>
      </c>
      <c r="C935" s="48" t="s">
        <v>3592</v>
      </c>
      <c r="D935" s="47">
        <v>7</v>
      </c>
      <c r="E935" s="118"/>
      <c r="F935" s="47"/>
      <c r="G935" s="47">
        <v>70</v>
      </c>
      <c r="H935" s="120" t="str">
        <f t="shared" si="129"/>
        <v>神器图纸2/防具碎片5/烈焰玄铁5/火龙币48</v>
      </c>
    </row>
    <row r="936" spans="1:8" ht="15.75" x14ac:dyDescent="0.3">
      <c r="A936" s="47" t="s">
        <v>3498</v>
      </c>
      <c r="B936" s="47" t="s">
        <v>3587</v>
      </c>
      <c r="C936" s="48" t="s">
        <v>3592</v>
      </c>
      <c r="D936" s="47">
        <v>8</v>
      </c>
      <c r="E936" s="118"/>
      <c r="F936" s="47"/>
      <c r="G936" s="47">
        <v>80</v>
      </c>
      <c r="H936" s="120" t="str">
        <f t="shared" si="129"/>
        <v>神器图纸2/防具碎片5/烈焰玄铁5/火龙币50</v>
      </c>
    </row>
    <row r="937" spans="1:8" ht="15.75" x14ac:dyDescent="0.3">
      <c r="A937" s="47" t="s">
        <v>3498</v>
      </c>
      <c r="B937" s="47" t="s">
        <v>3587</v>
      </c>
      <c r="C937" s="48" t="s">
        <v>3592</v>
      </c>
      <c r="D937" s="47">
        <v>9</v>
      </c>
      <c r="E937" s="118"/>
      <c r="F937" s="47"/>
      <c r="G937" s="47">
        <v>90</v>
      </c>
      <c r="H937" s="120" t="str">
        <f t="shared" si="129"/>
        <v>神器图纸2/防具碎片5/烈焰玄铁5/火龙币53</v>
      </c>
    </row>
    <row r="938" spans="1:8" ht="15.75" x14ac:dyDescent="0.3">
      <c r="A938" s="47" t="s">
        <v>3498</v>
      </c>
      <c r="B938" s="47" t="s">
        <v>3587</v>
      </c>
      <c r="C938" s="48" t="s">
        <v>3592</v>
      </c>
      <c r="D938" s="47">
        <v>10</v>
      </c>
      <c r="E938" s="118"/>
      <c r="F938" s="47"/>
      <c r="G938" s="47">
        <v>100</v>
      </c>
      <c r="H938" s="120"/>
    </row>
    <row r="939" spans="1:8" ht="15.75" x14ac:dyDescent="0.3">
      <c r="A939" s="47" t="s">
        <v>3498</v>
      </c>
      <c r="B939" s="47" t="s">
        <v>3587</v>
      </c>
      <c r="C939" s="48" t="s">
        <v>3593</v>
      </c>
      <c r="D939" s="47">
        <v>0</v>
      </c>
      <c r="E939" s="118"/>
      <c r="F939" s="47"/>
      <c r="G939" s="121"/>
      <c r="H939" s="120" t="str">
        <f>"神器图纸"&amp;Z3&amp;"/防具碎片"&amp;AA3&amp;"/烈焰玄铁"&amp;AB3&amp;"/火龙币"&amp;AC3</f>
        <v>神器图纸1/防具碎片3/烈焰玄铁3/火龙币32</v>
      </c>
    </row>
    <row r="940" spans="1:8" ht="15.75" x14ac:dyDescent="0.3">
      <c r="A940" s="47" t="s">
        <v>3498</v>
      </c>
      <c r="B940" s="47" t="s">
        <v>3587</v>
      </c>
      <c r="C940" s="48" t="s">
        <v>3593</v>
      </c>
      <c r="D940" s="47">
        <v>1</v>
      </c>
      <c r="E940" s="118"/>
      <c r="F940" s="47"/>
      <c r="G940" s="47">
        <v>11</v>
      </c>
      <c r="H940" s="120" t="str">
        <f t="shared" ref="H940:H948" si="130">"神器图纸"&amp;Z4&amp;"/防具碎片"&amp;AA4&amp;"/烈焰玄铁"&amp;AB4&amp;"/火龙币"&amp;AC4</f>
        <v>神器图纸1/防具碎片3/烈焰玄铁3/火龙币35</v>
      </c>
    </row>
    <row r="941" spans="1:8" ht="15.75" x14ac:dyDescent="0.3">
      <c r="A941" s="47" t="s">
        <v>3498</v>
      </c>
      <c r="B941" s="47" t="s">
        <v>3587</v>
      </c>
      <c r="C941" s="48" t="s">
        <v>3593</v>
      </c>
      <c r="D941" s="47">
        <v>2</v>
      </c>
      <c r="E941" s="118"/>
      <c r="F941" s="47"/>
      <c r="G941" s="47">
        <v>22</v>
      </c>
      <c r="H941" s="120" t="str">
        <f t="shared" si="130"/>
        <v>神器图纸1/防具碎片4/烈焰玄铁4/火龙币37</v>
      </c>
    </row>
    <row r="942" spans="1:8" ht="15.75" x14ac:dyDescent="0.3">
      <c r="A942" s="47" t="s">
        <v>3498</v>
      </c>
      <c r="B942" s="47" t="s">
        <v>3587</v>
      </c>
      <c r="C942" s="48" t="s">
        <v>3593</v>
      </c>
      <c r="D942" s="47">
        <v>3</v>
      </c>
      <c r="E942" s="118"/>
      <c r="F942" s="47"/>
      <c r="G942" s="47">
        <v>33</v>
      </c>
      <c r="H942" s="120" t="str">
        <f t="shared" si="130"/>
        <v>神器图纸2/防具碎片4/烈焰玄铁4/火龙币39</v>
      </c>
    </row>
    <row r="943" spans="1:8" ht="15.75" x14ac:dyDescent="0.3">
      <c r="A943" s="47" t="s">
        <v>3498</v>
      </c>
      <c r="B943" s="47" t="s">
        <v>3587</v>
      </c>
      <c r="C943" s="48" t="s">
        <v>3593</v>
      </c>
      <c r="D943" s="47">
        <v>4</v>
      </c>
      <c r="E943" s="118"/>
      <c r="F943" s="47"/>
      <c r="G943" s="47">
        <v>44</v>
      </c>
      <c r="H943" s="120" t="str">
        <f t="shared" si="130"/>
        <v>神器图纸2/防具碎片4/烈焰玄铁4/火龙币41</v>
      </c>
    </row>
    <row r="944" spans="1:8" ht="15.75" x14ac:dyDescent="0.3">
      <c r="A944" s="47" t="s">
        <v>3498</v>
      </c>
      <c r="B944" s="47" t="s">
        <v>3587</v>
      </c>
      <c r="C944" s="48" t="s">
        <v>3593</v>
      </c>
      <c r="D944" s="47">
        <v>5</v>
      </c>
      <c r="E944" s="118"/>
      <c r="F944" s="47"/>
      <c r="G944" s="47">
        <v>55</v>
      </c>
      <c r="H944" s="120" t="str">
        <f t="shared" si="130"/>
        <v>神器图纸2/防具碎片4/烈焰玄铁4/火龙币44</v>
      </c>
    </row>
    <row r="945" spans="1:8" ht="15.75" x14ac:dyDescent="0.3">
      <c r="A945" s="47" t="s">
        <v>3498</v>
      </c>
      <c r="B945" s="47" t="s">
        <v>3587</v>
      </c>
      <c r="C945" s="48" t="s">
        <v>3593</v>
      </c>
      <c r="D945" s="47">
        <v>6</v>
      </c>
      <c r="E945" s="118"/>
      <c r="F945" s="47"/>
      <c r="G945" s="47">
        <v>66</v>
      </c>
      <c r="H945" s="120" t="str">
        <f t="shared" si="130"/>
        <v>神器图纸2/防具碎片5/烈焰玄铁5/火龙币46</v>
      </c>
    </row>
    <row r="946" spans="1:8" ht="15.75" x14ac:dyDescent="0.3">
      <c r="A946" s="47" t="s">
        <v>3498</v>
      </c>
      <c r="B946" s="47" t="s">
        <v>3587</v>
      </c>
      <c r="C946" s="48" t="s">
        <v>3593</v>
      </c>
      <c r="D946" s="47">
        <v>7</v>
      </c>
      <c r="E946" s="118"/>
      <c r="F946" s="47"/>
      <c r="G946" s="47">
        <v>77</v>
      </c>
      <c r="H946" s="120" t="str">
        <f t="shared" si="130"/>
        <v>神器图纸2/防具碎片5/烈焰玄铁5/火龙币48</v>
      </c>
    </row>
    <row r="947" spans="1:8" ht="15.75" x14ac:dyDescent="0.3">
      <c r="A947" s="47" t="s">
        <v>3498</v>
      </c>
      <c r="B947" s="47" t="s">
        <v>3587</v>
      </c>
      <c r="C947" s="48" t="s">
        <v>3593</v>
      </c>
      <c r="D947" s="47">
        <v>8</v>
      </c>
      <c r="E947" s="118"/>
      <c r="F947" s="47"/>
      <c r="G947" s="47">
        <v>88</v>
      </c>
      <c r="H947" s="120" t="str">
        <f t="shared" si="130"/>
        <v>神器图纸2/防具碎片5/烈焰玄铁5/火龙币50</v>
      </c>
    </row>
    <row r="948" spans="1:8" ht="15.75" x14ac:dyDescent="0.3">
      <c r="A948" s="47" t="s">
        <v>3498</v>
      </c>
      <c r="B948" s="47" t="s">
        <v>3587</v>
      </c>
      <c r="C948" s="48" t="s">
        <v>3593</v>
      </c>
      <c r="D948" s="47">
        <v>9</v>
      </c>
      <c r="E948" s="118"/>
      <c r="F948" s="47"/>
      <c r="G948" s="47">
        <v>99</v>
      </c>
      <c r="H948" s="120" t="str">
        <f t="shared" si="130"/>
        <v>神器图纸2/防具碎片5/烈焰玄铁5/火龙币53</v>
      </c>
    </row>
    <row r="949" spans="1:8" ht="15.75" x14ac:dyDescent="0.3">
      <c r="A949" s="47" t="s">
        <v>3498</v>
      </c>
      <c r="B949" s="47" t="s">
        <v>3587</v>
      </c>
      <c r="C949" s="48" t="s">
        <v>3593</v>
      </c>
      <c r="D949" s="47">
        <v>10</v>
      </c>
      <c r="E949" s="118"/>
      <c r="F949" s="47"/>
      <c r="G949" s="47">
        <v>110</v>
      </c>
      <c r="H949" s="120"/>
    </row>
    <row r="950" spans="1:8" ht="15.75" x14ac:dyDescent="0.3">
      <c r="A950" s="47" t="s">
        <v>3498</v>
      </c>
      <c r="B950" s="47" t="s">
        <v>3587</v>
      </c>
      <c r="C950" s="48" t="s">
        <v>3594</v>
      </c>
      <c r="D950" s="47">
        <v>0</v>
      </c>
      <c r="E950" s="118"/>
      <c r="F950" s="47"/>
      <c r="G950" s="121"/>
      <c r="H950" s="120" t="str">
        <f>"神器图纸"&amp;Z3&amp;"/防具碎片"&amp;AA3&amp;"/烈焰玄铁"&amp;AB3&amp;"/火龙币"&amp;AC3</f>
        <v>神器图纸1/防具碎片3/烈焰玄铁3/火龙币32</v>
      </c>
    </row>
    <row r="951" spans="1:8" ht="15.75" x14ac:dyDescent="0.3">
      <c r="A951" s="47" t="s">
        <v>3498</v>
      </c>
      <c r="B951" s="47" t="s">
        <v>3587</v>
      </c>
      <c r="C951" s="48" t="s">
        <v>3594</v>
      </c>
      <c r="D951" s="47">
        <v>1</v>
      </c>
      <c r="E951" s="118"/>
      <c r="F951" s="47"/>
      <c r="G951" s="47">
        <v>12</v>
      </c>
      <c r="H951" s="120" t="str">
        <f t="shared" ref="H951:H959" si="131">"神器图纸"&amp;Z4&amp;"/防具碎片"&amp;AA4&amp;"/烈焰玄铁"&amp;AB4&amp;"/火龙币"&amp;AC4</f>
        <v>神器图纸1/防具碎片3/烈焰玄铁3/火龙币35</v>
      </c>
    </row>
    <row r="952" spans="1:8" ht="15.75" x14ac:dyDescent="0.3">
      <c r="A952" s="47" t="s">
        <v>3498</v>
      </c>
      <c r="B952" s="47" t="s">
        <v>3587</v>
      </c>
      <c r="C952" s="48" t="s">
        <v>3594</v>
      </c>
      <c r="D952" s="47">
        <v>2</v>
      </c>
      <c r="E952" s="118"/>
      <c r="F952" s="47"/>
      <c r="G952" s="47">
        <v>24</v>
      </c>
      <c r="H952" s="120" t="str">
        <f t="shared" si="131"/>
        <v>神器图纸1/防具碎片4/烈焰玄铁4/火龙币37</v>
      </c>
    </row>
    <row r="953" spans="1:8" ht="15.75" x14ac:dyDescent="0.3">
      <c r="A953" s="47" t="s">
        <v>3498</v>
      </c>
      <c r="B953" s="47" t="s">
        <v>3587</v>
      </c>
      <c r="C953" s="48" t="s">
        <v>3594</v>
      </c>
      <c r="D953" s="47">
        <v>3</v>
      </c>
      <c r="E953" s="118"/>
      <c r="F953" s="47"/>
      <c r="G953" s="47">
        <v>36</v>
      </c>
      <c r="H953" s="120" t="str">
        <f t="shared" si="131"/>
        <v>神器图纸2/防具碎片4/烈焰玄铁4/火龙币39</v>
      </c>
    </row>
    <row r="954" spans="1:8" ht="15.75" x14ac:dyDescent="0.3">
      <c r="A954" s="47" t="s">
        <v>3498</v>
      </c>
      <c r="B954" s="47" t="s">
        <v>3587</v>
      </c>
      <c r="C954" s="48" t="s">
        <v>3594</v>
      </c>
      <c r="D954" s="47">
        <v>4</v>
      </c>
      <c r="E954" s="118"/>
      <c r="F954" s="47"/>
      <c r="G954" s="47">
        <v>48</v>
      </c>
      <c r="H954" s="120" t="str">
        <f t="shared" si="131"/>
        <v>神器图纸2/防具碎片4/烈焰玄铁4/火龙币41</v>
      </c>
    </row>
    <row r="955" spans="1:8" ht="15.75" x14ac:dyDescent="0.3">
      <c r="A955" s="47" t="s">
        <v>3498</v>
      </c>
      <c r="B955" s="47" t="s">
        <v>3587</v>
      </c>
      <c r="C955" s="48" t="s">
        <v>3594</v>
      </c>
      <c r="D955" s="47">
        <v>5</v>
      </c>
      <c r="E955" s="118"/>
      <c r="F955" s="47"/>
      <c r="G955" s="47">
        <v>60</v>
      </c>
      <c r="H955" s="120" t="str">
        <f t="shared" si="131"/>
        <v>神器图纸2/防具碎片4/烈焰玄铁4/火龙币44</v>
      </c>
    </row>
    <row r="956" spans="1:8" ht="15.75" x14ac:dyDescent="0.3">
      <c r="A956" s="47" t="s">
        <v>3498</v>
      </c>
      <c r="B956" s="47" t="s">
        <v>3587</v>
      </c>
      <c r="C956" s="48" t="s">
        <v>3594</v>
      </c>
      <c r="D956" s="47">
        <v>6</v>
      </c>
      <c r="E956" s="118"/>
      <c r="F956" s="47"/>
      <c r="G956" s="47">
        <v>72</v>
      </c>
      <c r="H956" s="120" t="str">
        <f t="shared" si="131"/>
        <v>神器图纸2/防具碎片5/烈焰玄铁5/火龙币46</v>
      </c>
    </row>
    <row r="957" spans="1:8" ht="15.75" x14ac:dyDescent="0.3">
      <c r="A957" s="47" t="s">
        <v>3498</v>
      </c>
      <c r="B957" s="47" t="s">
        <v>3587</v>
      </c>
      <c r="C957" s="48" t="s">
        <v>3594</v>
      </c>
      <c r="D957" s="47">
        <v>7</v>
      </c>
      <c r="E957" s="118"/>
      <c r="F957" s="47"/>
      <c r="G957" s="47">
        <v>84</v>
      </c>
      <c r="H957" s="120" t="str">
        <f t="shared" si="131"/>
        <v>神器图纸2/防具碎片5/烈焰玄铁5/火龙币48</v>
      </c>
    </row>
    <row r="958" spans="1:8" ht="15.75" x14ac:dyDescent="0.3">
      <c r="A958" s="47" t="s">
        <v>3498</v>
      </c>
      <c r="B958" s="47" t="s">
        <v>3587</v>
      </c>
      <c r="C958" s="48" t="s">
        <v>3594</v>
      </c>
      <c r="D958" s="47">
        <v>8</v>
      </c>
      <c r="E958" s="118"/>
      <c r="F958" s="47"/>
      <c r="G958" s="47">
        <v>96</v>
      </c>
      <c r="H958" s="120" t="str">
        <f t="shared" si="131"/>
        <v>神器图纸2/防具碎片5/烈焰玄铁5/火龙币50</v>
      </c>
    </row>
    <row r="959" spans="1:8" ht="15.75" x14ac:dyDescent="0.3">
      <c r="A959" s="47" t="s">
        <v>3498</v>
      </c>
      <c r="B959" s="47" t="s">
        <v>3587</v>
      </c>
      <c r="C959" s="48" t="s">
        <v>3594</v>
      </c>
      <c r="D959" s="47">
        <v>9</v>
      </c>
      <c r="E959" s="118"/>
      <c r="F959" s="47"/>
      <c r="G959" s="47">
        <v>108</v>
      </c>
      <c r="H959" s="120" t="str">
        <f t="shared" si="131"/>
        <v>神器图纸2/防具碎片5/烈焰玄铁5/火龙币53</v>
      </c>
    </row>
    <row r="960" spans="1:8" ht="15.75" x14ac:dyDescent="0.3">
      <c r="A960" s="47" t="s">
        <v>3498</v>
      </c>
      <c r="B960" s="47" t="s">
        <v>3587</v>
      </c>
      <c r="C960" s="48" t="s">
        <v>3594</v>
      </c>
      <c r="D960" s="47">
        <v>10</v>
      </c>
      <c r="E960" s="118"/>
      <c r="F960" s="47"/>
      <c r="G960" s="47">
        <v>120</v>
      </c>
      <c r="H960" s="120"/>
    </row>
    <row r="961" spans="1:8" ht="15.75" x14ac:dyDescent="0.3">
      <c r="A961" s="47" t="s">
        <v>3498</v>
      </c>
      <c r="B961" s="47" t="s">
        <v>3587</v>
      </c>
      <c r="C961" s="48" t="s">
        <v>3595</v>
      </c>
      <c r="D961" s="47">
        <v>0</v>
      </c>
      <c r="E961" s="118"/>
      <c r="F961" s="47"/>
      <c r="G961" s="121"/>
      <c r="H961" s="120" t="str">
        <f>"神器图纸"&amp;Z3&amp;"/防具碎片"&amp;AA3&amp;"/烈焰玄铁"&amp;AB3&amp;"/火龙币"&amp;AC3</f>
        <v>神器图纸1/防具碎片3/烈焰玄铁3/火龙币32</v>
      </c>
    </row>
    <row r="962" spans="1:8" ht="15.75" x14ac:dyDescent="0.3">
      <c r="A962" s="47" t="s">
        <v>3498</v>
      </c>
      <c r="B962" s="47" t="s">
        <v>3587</v>
      </c>
      <c r="C962" s="48" t="s">
        <v>3595</v>
      </c>
      <c r="D962" s="47">
        <v>1</v>
      </c>
      <c r="E962" s="118"/>
      <c r="F962" s="47"/>
      <c r="G962" s="47">
        <v>13</v>
      </c>
      <c r="H962" s="120" t="str">
        <f t="shared" ref="H962:H970" si="132">"神器图纸"&amp;Z4&amp;"/防具碎片"&amp;AA4&amp;"/烈焰玄铁"&amp;AB4&amp;"/火龙币"&amp;AC4</f>
        <v>神器图纸1/防具碎片3/烈焰玄铁3/火龙币35</v>
      </c>
    </row>
    <row r="963" spans="1:8" ht="15.75" x14ac:dyDescent="0.3">
      <c r="A963" s="47" t="s">
        <v>3498</v>
      </c>
      <c r="B963" s="47" t="s">
        <v>3587</v>
      </c>
      <c r="C963" s="48" t="s">
        <v>3595</v>
      </c>
      <c r="D963" s="47">
        <v>2</v>
      </c>
      <c r="E963" s="118"/>
      <c r="F963" s="47"/>
      <c r="G963" s="47">
        <v>26</v>
      </c>
      <c r="H963" s="120" t="str">
        <f t="shared" si="132"/>
        <v>神器图纸1/防具碎片4/烈焰玄铁4/火龙币37</v>
      </c>
    </row>
    <row r="964" spans="1:8" ht="15.75" x14ac:dyDescent="0.3">
      <c r="A964" s="47" t="s">
        <v>3498</v>
      </c>
      <c r="B964" s="47" t="s">
        <v>3587</v>
      </c>
      <c r="C964" s="48" t="s">
        <v>3595</v>
      </c>
      <c r="D964" s="47">
        <v>3</v>
      </c>
      <c r="E964" s="118"/>
      <c r="F964" s="47"/>
      <c r="G964" s="47">
        <v>39</v>
      </c>
      <c r="H964" s="120" t="str">
        <f t="shared" si="132"/>
        <v>神器图纸2/防具碎片4/烈焰玄铁4/火龙币39</v>
      </c>
    </row>
    <row r="965" spans="1:8" ht="15.75" x14ac:dyDescent="0.3">
      <c r="A965" s="47" t="s">
        <v>3498</v>
      </c>
      <c r="B965" s="47" t="s">
        <v>3587</v>
      </c>
      <c r="C965" s="48" t="s">
        <v>3595</v>
      </c>
      <c r="D965" s="47">
        <v>4</v>
      </c>
      <c r="E965" s="118"/>
      <c r="F965" s="47"/>
      <c r="G965" s="47">
        <v>52</v>
      </c>
      <c r="H965" s="120" t="str">
        <f t="shared" si="132"/>
        <v>神器图纸2/防具碎片4/烈焰玄铁4/火龙币41</v>
      </c>
    </row>
    <row r="966" spans="1:8" ht="15.75" x14ac:dyDescent="0.3">
      <c r="A966" s="47" t="s">
        <v>3498</v>
      </c>
      <c r="B966" s="47" t="s">
        <v>3587</v>
      </c>
      <c r="C966" s="48" t="s">
        <v>3595</v>
      </c>
      <c r="D966" s="47">
        <v>5</v>
      </c>
      <c r="E966" s="118"/>
      <c r="F966" s="47"/>
      <c r="G966" s="47">
        <v>65</v>
      </c>
      <c r="H966" s="120" t="str">
        <f t="shared" si="132"/>
        <v>神器图纸2/防具碎片4/烈焰玄铁4/火龙币44</v>
      </c>
    </row>
    <row r="967" spans="1:8" ht="15.75" x14ac:dyDescent="0.3">
      <c r="A967" s="47" t="s">
        <v>3498</v>
      </c>
      <c r="B967" s="47" t="s">
        <v>3587</v>
      </c>
      <c r="C967" s="48" t="s">
        <v>3595</v>
      </c>
      <c r="D967" s="47">
        <v>6</v>
      </c>
      <c r="E967" s="118"/>
      <c r="F967" s="47"/>
      <c r="G967" s="47">
        <v>78</v>
      </c>
      <c r="H967" s="120" t="str">
        <f t="shared" si="132"/>
        <v>神器图纸2/防具碎片5/烈焰玄铁5/火龙币46</v>
      </c>
    </row>
    <row r="968" spans="1:8" ht="15.75" x14ac:dyDescent="0.3">
      <c r="A968" s="47" t="s">
        <v>3498</v>
      </c>
      <c r="B968" s="47" t="s">
        <v>3587</v>
      </c>
      <c r="C968" s="48" t="s">
        <v>3595</v>
      </c>
      <c r="D968" s="47">
        <v>7</v>
      </c>
      <c r="E968" s="118"/>
      <c r="F968" s="47"/>
      <c r="G968" s="47">
        <v>91</v>
      </c>
      <c r="H968" s="120" t="str">
        <f t="shared" si="132"/>
        <v>神器图纸2/防具碎片5/烈焰玄铁5/火龙币48</v>
      </c>
    </row>
    <row r="969" spans="1:8" ht="15.75" x14ac:dyDescent="0.3">
      <c r="A969" s="47" t="s">
        <v>3498</v>
      </c>
      <c r="B969" s="47" t="s">
        <v>3587</v>
      </c>
      <c r="C969" s="48" t="s">
        <v>3595</v>
      </c>
      <c r="D969" s="47">
        <v>8</v>
      </c>
      <c r="E969" s="118"/>
      <c r="F969" s="47"/>
      <c r="G969" s="47">
        <v>104</v>
      </c>
      <c r="H969" s="120" t="str">
        <f t="shared" si="132"/>
        <v>神器图纸2/防具碎片5/烈焰玄铁5/火龙币50</v>
      </c>
    </row>
    <row r="970" spans="1:8" ht="15.75" x14ac:dyDescent="0.3">
      <c r="A970" s="47" t="s">
        <v>3498</v>
      </c>
      <c r="B970" s="47" t="s">
        <v>3587</v>
      </c>
      <c r="C970" s="48" t="s">
        <v>3595</v>
      </c>
      <c r="D970" s="47">
        <v>9</v>
      </c>
      <c r="E970" s="118"/>
      <c r="F970" s="47"/>
      <c r="G970" s="47">
        <v>117</v>
      </c>
      <c r="H970" s="120" t="str">
        <f t="shared" si="132"/>
        <v>神器图纸2/防具碎片5/烈焰玄铁5/火龙币53</v>
      </c>
    </row>
    <row r="971" spans="1:8" ht="15.75" x14ac:dyDescent="0.3">
      <c r="A971" s="47" t="s">
        <v>3498</v>
      </c>
      <c r="B971" s="47" t="s">
        <v>3587</v>
      </c>
      <c r="C971" s="48" t="s">
        <v>3595</v>
      </c>
      <c r="D971" s="47">
        <v>10</v>
      </c>
      <c r="E971" s="118"/>
      <c r="F971" s="47"/>
      <c r="G971" s="47">
        <v>130</v>
      </c>
      <c r="H971" s="120"/>
    </row>
    <row r="972" spans="1:8" ht="15.75" x14ac:dyDescent="0.3">
      <c r="A972" s="47" t="s">
        <v>3498</v>
      </c>
      <c r="B972" s="47" t="s">
        <v>3587</v>
      </c>
      <c r="C972" s="48" t="s">
        <v>3596</v>
      </c>
      <c r="D972" s="47">
        <v>0</v>
      </c>
      <c r="E972" s="118"/>
      <c r="F972" s="47"/>
      <c r="G972" s="121"/>
      <c r="H972" s="120" t="str">
        <f>"神器图纸"&amp;Z3&amp;"/防具碎片"&amp;AA3&amp;"/烈焰玄铁"&amp;AB3&amp;"/火龙币"&amp;AC3</f>
        <v>神器图纸1/防具碎片3/烈焰玄铁3/火龙币32</v>
      </c>
    </row>
    <row r="973" spans="1:8" ht="15.75" x14ac:dyDescent="0.3">
      <c r="A973" s="47" t="s">
        <v>3498</v>
      </c>
      <c r="B973" s="47" t="s">
        <v>3587</v>
      </c>
      <c r="C973" s="48" t="s">
        <v>3596</v>
      </c>
      <c r="D973" s="47">
        <v>1</v>
      </c>
      <c r="E973" s="118"/>
      <c r="F973" s="47"/>
      <c r="G973" s="47">
        <v>14</v>
      </c>
      <c r="H973" s="120" t="str">
        <f t="shared" ref="H973:H981" si="133">"神器图纸"&amp;Z4&amp;"/防具碎片"&amp;AA4&amp;"/烈焰玄铁"&amp;AB4&amp;"/火龙币"&amp;AC4</f>
        <v>神器图纸1/防具碎片3/烈焰玄铁3/火龙币35</v>
      </c>
    </row>
    <row r="974" spans="1:8" ht="15.75" x14ac:dyDescent="0.3">
      <c r="A974" s="47" t="s">
        <v>3498</v>
      </c>
      <c r="B974" s="47" t="s">
        <v>3587</v>
      </c>
      <c r="C974" s="48" t="s">
        <v>3596</v>
      </c>
      <c r="D974" s="47">
        <v>2</v>
      </c>
      <c r="E974" s="118"/>
      <c r="F974" s="47"/>
      <c r="G974" s="47">
        <v>28</v>
      </c>
      <c r="H974" s="120" t="str">
        <f t="shared" si="133"/>
        <v>神器图纸1/防具碎片4/烈焰玄铁4/火龙币37</v>
      </c>
    </row>
    <row r="975" spans="1:8" ht="15.75" x14ac:dyDescent="0.3">
      <c r="A975" s="47" t="s">
        <v>3498</v>
      </c>
      <c r="B975" s="47" t="s">
        <v>3587</v>
      </c>
      <c r="C975" s="48" t="s">
        <v>3596</v>
      </c>
      <c r="D975" s="47">
        <v>3</v>
      </c>
      <c r="E975" s="118"/>
      <c r="F975" s="47"/>
      <c r="G975" s="47">
        <v>42</v>
      </c>
      <c r="H975" s="120" t="str">
        <f t="shared" si="133"/>
        <v>神器图纸2/防具碎片4/烈焰玄铁4/火龙币39</v>
      </c>
    </row>
    <row r="976" spans="1:8" ht="15.75" x14ac:dyDescent="0.3">
      <c r="A976" s="47" t="s">
        <v>3498</v>
      </c>
      <c r="B976" s="47" t="s">
        <v>3587</v>
      </c>
      <c r="C976" s="48" t="s">
        <v>3596</v>
      </c>
      <c r="D976" s="47">
        <v>4</v>
      </c>
      <c r="E976" s="118"/>
      <c r="F976" s="47"/>
      <c r="G976" s="47">
        <v>56</v>
      </c>
      <c r="H976" s="120" t="str">
        <f t="shared" si="133"/>
        <v>神器图纸2/防具碎片4/烈焰玄铁4/火龙币41</v>
      </c>
    </row>
    <row r="977" spans="1:8" ht="15.75" x14ac:dyDescent="0.3">
      <c r="A977" s="47" t="s">
        <v>3498</v>
      </c>
      <c r="B977" s="47" t="s">
        <v>3587</v>
      </c>
      <c r="C977" s="48" t="s">
        <v>3596</v>
      </c>
      <c r="D977" s="47">
        <v>5</v>
      </c>
      <c r="E977" s="118"/>
      <c r="F977" s="47"/>
      <c r="G977" s="47">
        <v>70</v>
      </c>
      <c r="H977" s="120" t="str">
        <f t="shared" si="133"/>
        <v>神器图纸2/防具碎片4/烈焰玄铁4/火龙币44</v>
      </c>
    </row>
    <row r="978" spans="1:8" ht="15.75" x14ac:dyDescent="0.3">
      <c r="A978" s="47" t="s">
        <v>3498</v>
      </c>
      <c r="B978" s="47" t="s">
        <v>3587</v>
      </c>
      <c r="C978" s="48" t="s">
        <v>3596</v>
      </c>
      <c r="D978" s="47">
        <v>6</v>
      </c>
      <c r="E978" s="118"/>
      <c r="F978" s="47"/>
      <c r="G978" s="47">
        <v>84</v>
      </c>
      <c r="H978" s="120" t="str">
        <f t="shared" si="133"/>
        <v>神器图纸2/防具碎片5/烈焰玄铁5/火龙币46</v>
      </c>
    </row>
    <row r="979" spans="1:8" ht="15.75" x14ac:dyDescent="0.3">
      <c r="A979" s="47" t="s">
        <v>3498</v>
      </c>
      <c r="B979" s="47" t="s">
        <v>3587</v>
      </c>
      <c r="C979" s="48" t="s">
        <v>3596</v>
      </c>
      <c r="D979" s="47">
        <v>7</v>
      </c>
      <c r="E979" s="118"/>
      <c r="F979" s="47"/>
      <c r="G979" s="47">
        <v>98</v>
      </c>
      <c r="H979" s="120" t="str">
        <f t="shared" si="133"/>
        <v>神器图纸2/防具碎片5/烈焰玄铁5/火龙币48</v>
      </c>
    </row>
    <row r="980" spans="1:8" ht="15.75" x14ac:dyDescent="0.3">
      <c r="A980" s="47" t="s">
        <v>3498</v>
      </c>
      <c r="B980" s="47" t="s">
        <v>3587</v>
      </c>
      <c r="C980" s="48" t="s">
        <v>3596</v>
      </c>
      <c r="D980" s="47">
        <v>8</v>
      </c>
      <c r="E980" s="118"/>
      <c r="F980" s="47"/>
      <c r="G980" s="47">
        <v>112</v>
      </c>
      <c r="H980" s="120" t="str">
        <f t="shared" si="133"/>
        <v>神器图纸2/防具碎片5/烈焰玄铁5/火龙币50</v>
      </c>
    </row>
    <row r="981" spans="1:8" ht="15.75" x14ac:dyDescent="0.3">
      <c r="A981" s="47" t="s">
        <v>3498</v>
      </c>
      <c r="B981" s="47" t="s">
        <v>3587</v>
      </c>
      <c r="C981" s="48" t="s">
        <v>3596</v>
      </c>
      <c r="D981" s="47">
        <v>9</v>
      </c>
      <c r="E981" s="118"/>
      <c r="F981" s="47"/>
      <c r="G981" s="47">
        <v>126</v>
      </c>
      <c r="H981" s="120" t="str">
        <f t="shared" si="133"/>
        <v>神器图纸2/防具碎片5/烈焰玄铁5/火龙币53</v>
      </c>
    </row>
    <row r="982" spans="1:8" ht="15.75" x14ac:dyDescent="0.3">
      <c r="A982" s="47" t="s">
        <v>3498</v>
      </c>
      <c r="B982" s="47" t="s">
        <v>3587</v>
      </c>
      <c r="C982" s="48" t="s">
        <v>3596</v>
      </c>
      <c r="D982" s="47">
        <v>10</v>
      </c>
      <c r="E982" s="118"/>
      <c r="F982" s="47"/>
      <c r="G982" s="47">
        <v>140</v>
      </c>
      <c r="H982" s="120"/>
    </row>
    <row r="983" spans="1:8" ht="15.75" x14ac:dyDescent="0.3">
      <c r="A983" s="47" t="s">
        <v>3498</v>
      </c>
      <c r="B983" s="47" t="s">
        <v>3587</v>
      </c>
      <c r="C983" s="48" t="s">
        <v>3597</v>
      </c>
      <c r="D983" s="47">
        <v>0</v>
      </c>
      <c r="E983" s="118"/>
      <c r="F983" s="47"/>
      <c r="G983" s="121"/>
      <c r="H983" s="120" t="str">
        <f>"神器图纸"&amp;Z3&amp;"/防具碎片"&amp;AA3&amp;"/烈焰玄铁"&amp;AB3&amp;"/火龙币"&amp;AC3</f>
        <v>神器图纸1/防具碎片3/烈焰玄铁3/火龙币32</v>
      </c>
    </row>
    <row r="984" spans="1:8" ht="15.75" x14ac:dyDescent="0.3">
      <c r="A984" s="47" t="s">
        <v>3498</v>
      </c>
      <c r="B984" s="47" t="s">
        <v>3587</v>
      </c>
      <c r="C984" s="48" t="s">
        <v>3597</v>
      </c>
      <c r="D984" s="47">
        <v>1</v>
      </c>
      <c r="E984" s="118"/>
      <c r="F984" s="47"/>
      <c r="G984" s="47">
        <v>15</v>
      </c>
      <c r="H984" s="120" t="str">
        <f t="shared" ref="H984:H992" si="134">"神器图纸"&amp;Z4&amp;"/防具碎片"&amp;AA4&amp;"/烈焰玄铁"&amp;AB4&amp;"/火龙币"&amp;AC4</f>
        <v>神器图纸1/防具碎片3/烈焰玄铁3/火龙币35</v>
      </c>
    </row>
    <row r="985" spans="1:8" ht="15.75" x14ac:dyDescent="0.3">
      <c r="A985" s="47" t="s">
        <v>3498</v>
      </c>
      <c r="B985" s="47" t="s">
        <v>3587</v>
      </c>
      <c r="C985" s="48" t="s">
        <v>3597</v>
      </c>
      <c r="D985" s="47">
        <v>2</v>
      </c>
      <c r="E985" s="118"/>
      <c r="F985" s="47"/>
      <c r="G985" s="47">
        <v>30</v>
      </c>
      <c r="H985" s="120" t="str">
        <f t="shared" si="134"/>
        <v>神器图纸1/防具碎片4/烈焰玄铁4/火龙币37</v>
      </c>
    </row>
    <row r="986" spans="1:8" ht="15.75" x14ac:dyDescent="0.3">
      <c r="A986" s="47" t="s">
        <v>3498</v>
      </c>
      <c r="B986" s="47" t="s">
        <v>3587</v>
      </c>
      <c r="C986" s="48" t="s">
        <v>3597</v>
      </c>
      <c r="D986" s="47">
        <v>3</v>
      </c>
      <c r="E986" s="118"/>
      <c r="F986" s="47"/>
      <c r="G986" s="47">
        <v>45</v>
      </c>
      <c r="H986" s="120" t="str">
        <f t="shared" si="134"/>
        <v>神器图纸2/防具碎片4/烈焰玄铁4/火龙币39</v>
      </c>
    </row>
    <row r="987" spans="1:8" ht="15.75" x14ac:dyDescent="0.3">
      <c r="A987" s="47" t="s">
        <v>3498</v>
      </c>
      <c r="B987" s="47" t="s">
        <v>3587</v>
      </c>
      <c r="C987" s="48" t="s">
        <v>3597</v>
      </c>
      <c r="D987" s="47">
        <v>4</v>
      </c>
      <c r="E987" s="118"/>
      <c r="F987" s="47"/>
      <c r="G987" s="47">
        <v>60</v>
      </c>
      <c r="H987" s="120" t="str">
        <f t="shared" si="134"/>
        <v>神器图纸2/防具碎片4/烈焰玄铁4/火龙币41</v>
      </c>
    </row>
    <row r="988" spans="1:8" ht="15.75" x14ac:dyDescent="0.3">
      <c r="A988" s="47" t="s">
        <v>3498</v>
      </c>
      <c r="B988" s="47" t="s">
        <v>3587</v>
      </c>
      <c r="C988" s="48" t="s">
        <v>3597</v>
      </c>
      <c r="D988" s="47">
        <v>5</v>
      </c>
      <c r="E988" s="118"/>
      <c r="F988" s="47"/>
      <c r="G988" s="47">
        <v>75</v>
      </c>
      <c r="H988" s="120" t="str">
        <f t="shared" si="134"/>
        <v>神器图纸2/防具碎片4/烈焰玄铁4/火龙币44</v>
      </c>
    </row>
    <row r="989" spans="1:8" ht="15.75" x14ac:dyDescent="0.3">
      <c r="A989" s="47" t="s">
        <v>3498</v>
      </c>
      <c r="B989" s="47" t="s">
        <v>3587</v>
      </c>
      <c r="C989" s="48" t="s">
        <v>3597</v>
      </c>
      <c r="D989" s="47">
        <v>6</v>
      </c>
      <c r="E989" s="118"/>
      <c r="F989" s="47"/>
      <c r="G989" s="47">
        <v>90</v>
      </c>
      <c r="H989" s="120" t="str">
        <f t="shared" si="134"/>
        <v>神器图纸2/防具碎片5/烈焰玄铁5/火龙币46</v>
      </c>
    </row>
    <row r="990" spans="1:8" ht="15.75" x14ac:dyDescent="0.3">
      <c r="A990" s="47" t="s">
        <v>3498</v>
      </c>
      <c r="B990" s="47" t="s">
        <v>3587</v>
      </c>
      <c r="C990" s="48" t="s">
        <v>3597</v>
      </c>
      <c r="D990" s="47">
        <v>7</v>
      </c>
      <c r="E990" s="118"/>
      <c r="F990" s="47"/>
      <c r="G990" s="47">
        <v>105</v>
      </c>
      <c r="H990" s="120" t="str">
        <f t="shared" si="134"/>
        <v>神器图纸2/防具碎片5/烈焰玄铁5/火龙币48</v>
      </c>
    </row>
    <row r="991" spans="1:8" ht="15.75" x14ac:dyDescent="0.3">
      <c r="A991" s="47" t="s">
        <v>3498</v>
      </c>
      <c r="B991" s="47" t="s">
        <v>3587</v>
      </c>
      <c r="C991" s="48" t="s">
        <v>3597</v>
      </c>
      <c r="D991" s="47">
        <v>8</v>
      </c>
      <c r="E991" s="118"/>
      <c r="F991" s="47"/>
      <c r="G991" s="47">
        <v>120</v>
      </c>
      <c r="H991" s="120" t="str">
        <f t="shared" si="134"/>
        <v>神器图纸2/防具碎片5/烈焰玄铁5/火龙币50</v>
      </c>
    </row>
    <row r="992" spans="1:8" ht="15.75" x14ac:dyDescent="0.3">
      <c r="A992" s="47" t="s">
        <v>3498</v>
      </c>
      <c r="B992" s="47" t="s">
        <v>3587</v>
      </c>
      <c r="C992" s="48" t="s">
        <v>3597</v>
      </c>
      <c r="D992" s="47">
        <v>9</v>
      </c>
      <c r="E992" s="118"/>
      <c r="F992" s="47"/>
      <c r="G992" s="47">
        <v>135</v>
      </c>
      <c r="H992" s="120" t="str">
        <f t="shared" si="134"/>
        <v>神器图纸2/防具碎片5/烈焰玄铁5/火龙币53</v>
      </c>
    </row>
    <row r="993" spans="1:8" ht="15.75" x14ac:dyDescent="0.3">
      <c r="A993" s="47" t="s">
        <v>3498</v>
      </c>
      <c r="B993" s="47" t="s">
        <v>3587</v>
      </c>
      <c r="C993" s="48" t="s">
        <v>3597</v>
      </c>
      <c r="D993" s="47">
        <v>10</v>
      </c>
      <c r="E993" s="118"/>
      <c r="F993" s="47"/>
      <c r="G993" s="47">
        <v>150</v>
      </c>
      <c r="H993" s="120"/>
    </row>
  </sheetData>
  <mergeCells count="4">
    <mergeCell ref="I1:S1"/>
    <mergeCell ref="T1:U1"/>
    <mergeCell ref="V1:Y1"/>
    <mergeCell ref="Z1:AC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2:I11"/>
  <sheetViews>
    <sheetView workbookViewId="0">
      <selection activeCell="D21" sqref="D21"/>
    </sheetView>
  </sheetViews>
  <sheetFormatPr defaultRowHeight="14.25" x14ac:dyDescent="0.2"/>
  <cols>
    <col min="3" max="3" width="63.625" customWidth="1"/>
    <col min="4" max="4" width="76.625" customWidth="1"/>
  </cols>
  <sheetData>
    <row r="2" spans="1:9" s="31" customFormat="1" ht="18" x14ac:dyDescent="0.2">
      <c r="A2" s="21" t="s">
        <v>50</v>
      </c>
      <c r="B2" s="21" t="s">
        <v>54</v>
      </c>
      <c r="C2" s="21" t="s">
        <v>77</v>
      </c>
      <c r="D2" s="21" t="s">
        <v>61</v>
      </c>
      <c r="F2" s="18" t="s">
        <v>37</v>
      </c>
      <c r="G2" s="18" t="s">
        <v>38</v>
      </c>
      <c r="H2" s="18" t="s">
        <v>3</v>
      </c>
      <c r="I2" s="18" t="s">
        <v>2</v>
      </c>
    </row>
    <row r="3" spans="1:9" ht="15.75" x14ac:dyDescent="0.3">
      <c r="A3" s="66" t="s">
        <v>42</v>
      </c>
      <c r="B3" s="26" t="s">
        <v>3603</v>
      </c>
      <c r="C3" s="66" t="s">
        <v>3604</v>
      </c>
      <c r="D3" s="66">
        <v>0</v>
      </c>
    </row>
    <row r="4" spans="1:9" ht="15.75" x14ac:dyDescent="0.3">
      <c r="A4" s="66" t="s">
        <v>42</v>
      </c>
      <c r="B4" s="26" t="s">
        <v>3605</v>
      </c>
      <c r="C4" s="66" t="s">
        <v>3606</v>
      </c>
      <c r="D4" s="66" t="s">
        <v>3607</v>
      </c>
    </row>
    <row r="5" spans="1:9" ht="15.75" x14ac:dyDescent="0.3">
      <c r="A5" s="66" t="s">
        <v>42</v>
      </c>
      <c r="B5" s="26" t="s">
        <v>3608</v>
      </c>
      <c r="C5" s="66" t="s">
        <v>3609</v>
      </c>
      <c r="D5" s="66" t="s">
        <v>3610</v>
      </c>
    </row>
    <row r="6" spans="1:9" ht="15.75" x14ac:dyDescent="0.3">
      <c r="A6" s="66" t="s">
        <v>42</v>
      </c>
      <c r="B6" s="26" t="s">
        <v>3611</v>
      </c>
      <c r="C6" s="66" t="s">
        <v>3612</v>
      </c>
      <c r="D6" s="66" t="s">
        <v>3613</v>
      </c>
    </row>
    <row r="7" spans="1:9" ht="15.75" x14ac:dyDescent="0.3">
      <c r="A7" s="66" t="s">
        <v>42</v>
      </c>
      <c r="B7" s="26" t="s">
        <v>3614</v>
      </c>
      <c r="C7" s="66" t="s">
        <v>3615</v>
      </c>
      <c r="D7" s="66" t="s">
        <v>3616</v>
      </c>
    </row>
    <row r="8" spans="1:9" ht="15.75" x14ac:dyDescent="0.3">
      <c r="A8" s="66" t="s">
        <v>42</v>
      </c>
      <c r="B8" s="26" t="s">
        <v>3617</v>
      </c>
      <c r="C8" s="66" t="s">
        <v>3618</v>
      </c>
      <c r="D8" s="66" t="s">
        <v>3619</v>
      </c>
    </row>
    <row r="9" spans="1:9" ht="15.75" x14ac:dyDescent="0.3">
      <c r="A9" s="66" t="s">
        <v>42</v>
      </c>
      <c r="B9" s="26" t="s">
        <v>3620</v>
      </c>
      <c r="C9" s="66" t="s">
        <v>3621</v>
      </c>
      <c r="D9" s="66" t="s">
        <v>3622</v>
      </c>
    </row>
    <row r="10" spans="1:9" ht="15.75" x14ac:dyDescent="0.3">
      <c r="A10" s="66" t="s">
        <v>42</v>
      </c>
      <c r="B10" s="26" t="s">
        <v>3623</v>
      </c>
      <c r="C10" s="66" t="s">
        <v>3624</v>
      </c>
      <c r="D10" s="66" t="s">
        <v>3625</v>
      </c>
    </row>
    <row r="11" spans="1:9" ht="15.75" x14ac:dyDescent="0.3">
      <c r="A11" s="66" t="s">
        <v>42</v>
      </c>
      <c r="B11" s="26" t="s">
        <v>3626</v>
      </c>
      <c r="C11" s="66" t="s">
        <v>3609</v>
      </c>
      <c r="D11" s="66" t="s">
        <v>3627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P13"/>
  <sheetViews>
    <sheetView workbookViewId="0">
      <selection activeCell="O31" sqref="O31"/>
    </sheetView>
  </sheetViews>
  <sheetFormatPr defaultRowHeight="14.25" x14ac:dyDescent="0.2"/>
  <cols>
    <col min="15" max="15" width="11.25" bestFit="1" customWidth="1"/>
    <col min="16" max="16" width="15.375" bestFit="1" customWidth="1"/>
  </cols>
  <sheetData>
    <row r="1" spans="1:16" ht="15" x14ac:dyDescent="0.2">
      <c r="A1" s="303" t="s">
        <v>44</v>
      </c>
      <c r="B1" s="303"/>
      <c r="C1" s="303"/>
      <c r="D1" s="305" t="s">
        <v>2849</v>
      </c>
      <c r="E1" s="305"/>
      <c r="F1" s="305"/>
      <c r="G1" s="305"/>
      <c r="H1" s="305"/>
      <c r="I1" s="305"/>
      <c r="J1" s="305"/>
      <c r="K1" s="305"/>
      <c r="L1" s="306"/>
      <c r="M1" s="299" t="s">
        <v>44</v>
      </c>
      <c r="N1" s="300"/>
      <c r="O1" s="305" t="s">
        <v>3773</v>
      </c>
      <c r="P1" s="305"/>
    </row>
    <row r="2" spans="1:16" ht="15" x14ac:dyDescent="0.2">
      <c r="A2" s="304"/>
      <c r="B2" s="304"/>
      <c r="C2" s="304"/>
      <c r="D2" s="307" t="s">
        <v>55</v>
      </c>
      <c r="E2" s="143" t="s">
        <v>3629</v>
      </c>
      <c r="F2" s="143" t="s">
        <v>3630</v>
      </c>
      <c r="G2" s="305" t="s">
        <v>3631</v>
      </c>
      <c r="H2" s="305"/>
      <c r="I2" s="305" t="s">
        <v>3632</v>
      </c>
      <c r="J2" s="305"/>
      <c r="K2" s="305" t="s">
        <v>3633</v>
      </c>
      <c r="L2" s="306"/>
      <c r="M2" s="301"/>
      <c r="N2" s="302"/>
      <c r="O2" s="305"/>
      <c r="P2" s="305"/>
    </row>
    <row r="3" spans="1:16" ht="15" x14ac:dyDescent="0.2">
      <c r="A3" s="143" t="s">
        <v>55</v>
      </c>
      <c r="B3" s="210" t="s">
        <v>3</v>
      </c>
      <c r="C3" s="210" t="s">
        <v>2</v>
      </c>
      <c r="D3" s="308"/>
      <c r="E3" s="143" t="s">
        <v>3</v>
      </c>
      <c r="F3" s="143" t="s">
        <v>2</v>
      </c>
      <c r="G3" s="143" t="s">
        <v>3</v>
      </c>
      <c r="H3" s="144" t="s">
        <v>2853</v>
      </c>
      <c r="I3" s="143" t="s">
        <v>2</v>
      </c>
      <c r="J3" s="144" t="s">
        <v>2390</v>
      </c>
      <c r="K3" s="144" t="s">
        <v>3634</v>
      </c>
      <c r="L3" s="185" t="s">
        <v>2851</v>
      </c>
      <c r="M3" s="143" t="s">
        <v>3</v>
      </c>
      <c r="N3" s="143" t="s">
        <v>2</v>
      </c>
      <c r="O3" s="143" t="s">
        <v>3758</v>
      </c>
      <c r="P3" s="143" t="s">
        <v>3771</v>
      </c>
    </row>
    <row r="4" spans="1:16" ht="16.5" x14ac:dyDescent="0.3">
      <c r="A4" s="10">
        <v>1</v>
      </c>
      <c r="B4" s="165">
        <f t="shared" ref="B4:B12" si="0">INT(M4/10)</f>
        <v>4</v>
      </c>
      <c r="C4" s="165">
        <f t="shared" ref="C4:C12" si="1">INT(N4/10)</f>
        <v>4</v>
      </c>
      <c r="D4" s="10">
        <v>1</v>
      </c>
      <c r="E4" s="8">
        <f t="shared" ref="E4:E13" si="2">3/4*B4</f>
        <v>3</v>
      </c>
      <c r="F4" s="8">
        <f t="shared" ref="F4:F13" si="3">3/4*C4</f>
        <v>3</v>
      </c>
      <c r="G4" s="8">
        <f t="shared" ref="G4:G13" si="4">1/4*B4</f>
        <v>1</v>
      </c>
      <c r="H4" s="142">
        <v>1</v>
      </c>
      <c r="I4" s="8">
        <f t="shared" ref="I4:I13" si="5">1/4*C4</f>
        <v>1</v>
      </c>
      <c r="J4" s="142">
        <v>1</v>
      </c>
      <c r="K4" s="142">
        <v>1</v>
      </c>
      <c r="L4" s="186">
        <v>1</v>
      </c>
      <c r="M4" s="8">
        <f>INT($A4/$A$13*M$13)</f>
        <v>40</v>
      </c>
      <c r="N4" s="8">
        <f t="shared" ref="N4:N10" si="6">INT($A4/$A$13*N$13)</f>
        <v>40</v>
      </c>
      <c r="O4" s="8">
        <f>M4*(属性价值参考!C$7+属性价值参考!C$8)+宝石镶嵌!N4*(属性价值参考!C$9+属性价值参考!C$10+属性价值参考!C$11+属性价值参考!C$12)</f>
        <v>6192</v>
      </c>
      <c r="P4" s="8">
        <f>11*(H4*属性价值参考!C$27+J4*属性价值参考!C$24+K4*属性价值参考!C$16+L4*属性价值参考!C$26)</f>
        <v>7292.9999999999991</v>
      </c>
    </row>
    <row r="5" spans="1:16" ht="16.5" x14ac:dyDescent="0.3">
      <c r="A5" s="10">
        <v>2</v>
      </c>
      <c r="B5" s="165">
        <f t="shared" si="0"/>
        <v>8</v>
      </c>
      <c r="C5" s="165">
        <f t="shared" si="1"/>
        <v>8</v>
      </c>
      <c r="D5" s="10">
        <v>2</v>
      </c>
      <c r="E5" s="8">
        <f t="shared" si="2"/>
        <v>6</v>
      </c>
      <c r="F5" s="8">
        <f t="shared" si="3"/>
        <v>6</v>
      </c>
      <c r="G5" s="8">
        <f t="shared" si="4"/>
        <v>2</v>
      </c>
      <c r="H5" s="142">
        <v>1</v>
      </c>
      <c r="I5" s="8">
        <f t="shared" si="5"/>
        <v>2</v>
      </c>
      <c r="J5" s="142">
        <v>1</v>
      </c>
      <c r="K5" s="142">
        <v>2</v>
      </c>
      <c r="L5" s="186">
        <v>2</v>
      </c>
      <c r="M5" s="8">
        <f t="shared" ref="M5:M11" si="7">INT($A5/$A$13*M$13)</f>
        <v>80</v>
      </c>
      <c r="N5" s="8">
        <f t="shared" si="6"/>
        <v>80</v>
      </c>
      <c r="O5" s="8">
        <f>M5*(属性价值参考!C$7+属性价值参考!C$8)+宝石镶嵌!N5*(属性价值参考!C$9+属性价值参考!C$10+属性价值参考!C$11+属性价值参考!C$12)</f>
        <v>12384</v>
      </c>
      <c r="P5" s="8">
        <f>11*(H5*属性价值参考!C$27+J5*属性价值参考!C$24+K5*属性价值参考!C$16+L5*属性价值参考!C$26)</f>
        <v>8883.6</v>
      </c>
    </row>
    <row r="6" spans="1:16" ht="16.5" x14ac:dyDescent="0.3">
      <c r="A6" s="10">
        <v>3</v>
      </c>
      <c r="B6" s="165">
        <f t="shared" si="0"/>
        <v>12</v>
      </c>
      <c r="C6" s="165">
        <f t="shared" si="1"/>
        <v>12</v>
      </c>
      <c r="D6" s="10">
        <v>3</v>
      </c>
      <c r="E6" s="8">
        <f t="shared" si="2"/>
        <v>9</v>
      </c>
      <c r="F6" s="8">
        <f t="shared" si="3"/>
        <v>9</v>
      </c>
      <c r="G6" s="8">
        <f t="shared" si="4"/>
        <v>3</v>
      </c>
      <c r="H6" s="142">
        <v>2</v>
      </c>
      <c r="I6" s="8">
        <f t="shared" si="5"/>
        <v>3</v>
      </c>
      <c r="J6" s="142">
        <v>2</v>
      </c>
      <c r="K6" s="142">
        <v>3</v>
      </c>
      <c r="L6" s="186">
        <v>3</v>
      </c>
      <c r="M6" s="8">
        <f t="shared" si="7"/>
        <v>120</v>
      </c>
      <c r="N6" s="8">
        <f t="shared" si="6"/>
        <v>120</v>
      </c>
      <c r="O6" s="8">
        <f>M6*(属性价值参考!C$7+属性价值参考!C$8)+宝石镶嵌!N6*(属性价值参考!C$9+属性价值参考!C$10+属性价值参考!C$11+属性价值参考!C$12)</f>
        <v>18576</v>
      </c>
      <c r="P6" s="8">
        <f>11*(H6*属性价值参考!C$27+J6*属性价值参考!C$24+K6*属性价值参考!C$16+L6*属性价值参考!C$26)</f>
        <v>16176.599999999999</v>
      </c>
    </row>
    <row r="7" spans="1:16" ht="16.5" x14ac:dyDescent="0.3">
      <c r="A7" s="10">
        <v>4</v>
      </c>
      <c r="B7" s="165">
        <f t="shared" si="0"/>
        <v>16</v>
      </c>
      <c r="C7" s="165">
        <f t="shared" si="1"/>
        <v>16</v>
      </c>
      <c r="D7" s="10">
        <v>4</v>
      </c>
      <c r="E7" s="8">
        <f t="shared" si="2"/>
        <v>12</v>
      </c>
      <c r="F7" s="8">
        <f t="shared" si="3"/>
        <v>12</v>
      </c>
      <c r="G7" s="8">
        <f t="shared" si="4"/>
        <v>4</v>
      </c>
      <c r="H7" s="142">
        <v>2</v>
      </c>
      <c r="I7" s="8">
        <f t="shared" si="5"/>
        <v>4</v>
      </c>
      <c r="J7" s="142">
        <v>2</v>
      </c>
      <c r="K7" s="142">
        <v>4</v>
      </c>
      <c r="L7" s="186">
        <v>4</v>
      </c>
      <c r="M7" s="8">
        <f t="shared" si="7"/>
        <v>160</v>
      </c>
      <c r="N7" s="8">
        <f t="shared" si="6"/>
        <v>160</v>
      </c>
      <c r="O7" s="8">
        <f>M7*(属性价值参考!C$7+属性价值参考!C$8)+宝石镶嵌!N7*(属性价值参考!C$9+属性价值参考!C$10+属性价值参考!C$11+属性价值参考!C$12)</f>
        <v>24768</v>
      </c>
      <c r="P7" s="8">
        <f>11*(H7*属性价值参考!C$27+J7*属性价值参考!C$24+K7*属性价值参考!C$16+L7*属性价值参考!C$26)</f>
        <v>17767.2</v>
      </c>
    </row>
    <row r="8" spans="1:16" ht="16.5" x14ac:dyDescent="0.3">
      <c r="A8" s="10">
        <v>5</v>
      </c>
      <c r="B8" s="165">
        <f t="shared" si="0"/>
        <v>20</v>
      </c>
      <c r="C8" s="165">
        <f t="shared" si="1"/>
        <v>20</v>
      </c>
      <c r="D8" s="10">
        <v>5</v>
      </c>
      <c r="E8" s="8">
        <f t="shared" si="2"/>
        <v>15</v>
      </c>
      <c r="F8" s="8">
        <f t="shared" si="3"/>
        <v>15</v>
      </c>
      <c r="G8" s="8">
        <f t="shared" si="4"/>
        <v>5</v>
      </c>
      <c r="H8" s="142">
        <v>3</v>
      </c>
      <c r="I8" s="8">
        <f t="shared" si="5"/>
        <v>5</v>
      </c>
      <c r="J8" s="142">
        <v>3</v>
      </c>
      <c r="K8" s="142">
        <v>5</v>
      </c>
      <c r="L8" s="186">
        <v>5</v>
      </c>
      <c r="M8" s="8">
        <f t="shared" si="7"/>
        <v>200</v>
      </c>
      <c r="N8" s="8">
        <f t="shared" si="6"/>
        <v>200</v>
      </c>
      <c r="O8" s="8">
        <f>M8*(属性价值参考!C$7+属性价值参考!C$8)+宝石镶嵌!N8*(属性价值参考!C$9+属性价值参考!C$10+属性价值参考!C$11+属性价值参考!C$12)</f>
        <v>30960</v>
      </c>
      <c r="P8" s="8">
        <f>11*(H8*属性价值参考!C$27+J8*属性价值参考!C$24+K8*属性价值参考!C$16+L8*属性价值参考!C$26)</f>
        <v>25060.199999999997</v>
      </c>
    </row>
    <row r="9" spans="1:16" ht="16.5" x14ac:dyDescent="0.3">
      <c r="A9" s="10">
        <v>6</v>
      </c>
      <c r="B9" s="165">
        <f t="shared" si="0"/>
        <v>24</v>
      </c>
      <c r="C9" s="165">
        <f t="shared" si="1"/>
        <v>24</v>
      </c>
      <c r="D9" s="10">
        <v>6</v>
      </c>
      <c r="E9" s="8">
        <f t="shared" si="2"/>
        <v>18</v>
      </c>
      <c r="F9" s="8">
        <f t="shared" si="3"/>
        <v>18</v>
      </c>
      <c r="G9" s="8">
        <f t="shared" si="4"/>
        <v>6</v>
      </c>
      <c r="H9" s="142">
        <v>3</v>
      </c>
      <c r="I9" s="8">
        <f t="shared" si="5"/>
        <v>6</v>
      </c>
      <c r="J9" s="142">
        <v>3</v>
      </c>
      <c r="K9" s="142">
        <v>6</v>
      </c>
      <c r="L9" s="186">
        <v>6</v>
      </c>
      <c r="M9" s="8">
        <f t="shared" si="7"/>
        <v>240</v>
      </c>
      <c r="N9" s="8">
        <f t="shared" si="6"/>
        <v>240</v>
      </c>
      <c r="O9" s="8">
        <f>M9*(属性价值参考!C$7+属性价值参考!C$8)+宝石镶嵌!N9*(属性价值参考!C$9+属性价值参考!C$10+属性价值参考!C$11+属性价值参考!C$12)</f>
        <v>37152</v>
      </c>
      <c r="P9" s="8">
        <f>11*(H9*属性价值参考!C$27+J9*属性价值参考!C$24+K9*属性价值参考!C$16+L9*属性价值参考!C$26)</f>
        <v>26650.799999999996</v>
      </c>
    </row>
    <row r="10" spans="1:16" ht="16.5" x14ac:dyDescent="0.3">
      <c r="A10" s="10">
        <v>7</v>
      </c>
      <c r="B10" s="165">
        <f t="shared" si="0"/>
        <v>28</v>
      </c>
      <c r="C10" s="165">
        <f t="shared" si="1"/>
        <v>28</v>
      </c>
      <c r="D10" s="10">
        <v>7</v>
      </c>
      <c r="E10" s="8">
        <f t="shared" si="2"/>
        <v>21</v>
      </c>
      <c r="F10" s="8">
        <f t="shared" si="3"/>
        <v>21</v>
      </c>
      <c r="G10" s="8">
        <f t="shared" si="4"/>
        <v>7</v>
      </c>
      <c r="H10" s="142">
        <v>4</v>
      </c>
      <c r="I10" s="8">
        <f t="shared" si="5"/>
        <v>7</v>
      </c>
      <c r="J10" s="142">
        <v>4</v>
      </c>
      <c r="K10" s="142">
        <v>7</v>
      </c>
      <c r="L10" s="186">
        <v>7</v>
      </c>
      <c r="M10" s="8">
        <f t="shared" si="7"/>
        <v>280</v>
      </c>
      <c r="N10" s="8">
        <f t="shared" si="6"/>
        <v>280</v>
      </c>
      <c r="O10" s="8">
        <f>M10*(属性价值参考!C$7+属性价值参考!C$8)+宝石镶嵌!N10*(属性价值参考!C$9+属性价值参考!C$10+属性价值参考!C$11+属性价值参考!C$12)</f>
        <v>43344</v>
      </c>
      <c r="P10" s="8">
        <f>11*(H10*属性价值参考!C$27+J10*属性价值参考!C$24+K10*属性价值参考!C$16+L10*属性价值参考!C$26)</f>
        <v>33943.799999999996</v>
      </c>
    </row>
    <row r="11" spans="1:16" ht="16.5" x14ac:dyDescent="0.3">
      <c r="A11" s="10">
        <v>8</v>
      </c>
      <c r="B11" s="165">
        <f t="shared" si="0"/>
        <v>32</v>
      </c>
      <c r="C11" s="165">
        <f t="shared" si="1"/>
        <v>32</v>
      </c>
      <c r="D11" s="10">
        <v>8</v>
      </c>
      <c r="E11" s="8">
        <f t="shared" si="2"/>
        <v>24</v>
      </c>
      <c r="F11" s="8">
        <f t="shared" si="3"/>
        <v>24</v>
      </c>
      <c r="G11" s="8">
        <f t="shared" si="4"/>
        <v>8</v>
      </c>
      <c r="H11" s="142">
        <v>4</v>
      </c>
      <c r="I11" s="8">
        <f t="shared" si="5"/>
        <v>8</v>
      </c>
      <c r="J11" s="142">
        <v>4</v>
      </c>
      <c r="K11" s="142">
        <v>8</v>
      </c>
      <c r="L11" s="186">
        <v>8</v>
      </c>
      <c r="M11" s="8">
        <f t="shared" si="7"/>
        <v>320</v>
      </c>
      <c r="N11" s="8">
        <f>INT($A11/$A$13*N$13)</f>
        <v>320</v>
      </c>
      <c r="O11" s="8">
        <f>M11*(属性价值参考!C$7+属性价值参考!C$8)+宝石镶嵌!N11*(属性价值参考!C$9+属性价值参考!C$10+属性价值参考!C$11+属性价值参考!C$12)</f>
        <v>49536</v>
      </c>
      <c r="P11" s="8">
        <f>11*(H11*属性价值参考!C$27+J11*属性价值参考!C$24+K11*属性价值参考!C$16+L11*属性价值参考!C$26)</f>
        <v>35534.400000000001</v>
      </c>
    </row>
    <row r="12" spans="1:16" ht="16.5" x14ac:dyDescent="0.3">
      <c r="A12" s="10">
        <v>9</v>
      </c>
      <c r="B12" s="165">
        <f t="shared" si="0"/>
        <v>36</v>
      </c>
      <c r="C12" s="165">
        <f t="shared" si="1"/>
        <v>36</v>
      </c>
      <c r="D12" s="10">
        <v>9</v>
      </c>
      <c r="E12" s="8">
        <f t="shared" si="2"/>
        <v>27</v>
      </c>
      <c r="F12" s="8">
        <f t="shared" si="3"/>
        <v>27</v>
      </c>
      <c r="G12" s="8">
        <f t="shared" si="4"/>
        <v>9</v>
      </c>
      <c r="H12" s="142">
        <v>5</v>
      </c>
      <c r="I12" s="8">
        <f t="shared" si="5"/>
        <v>9</v>
      </c>
      <c r="J12" s="142">
        <v>5</v>
      </c>
      <c r="K12" s="142">
        <v>9</v>
      </c>
      <c r="L12" s="186">
        <v>9</v>
      </c>
      <c r="M12" s="8">
        <f>INT($A12/$A$13*M$13)</f>
        <v>360</v>
      </c>
      <c r="N12" s="8">
        <f>INT($A12/$A$13*N$13)</f>
        <v>360</v>
      </c>
      <c r="O12" s="8">
        <f>M12*(属性价值参考!C$7+属性价值参考!C$8)+宝石镶嵌!N12*(属性价值参考!C$9+属性价值参考!C$10+属性价值参考!C$11+属性价值参考!C$12)</f>
        <v>55728.000000000007</v>
      </c>
      <c r="P12" s="8">
        <f>11*(H12*属性价值参考!C$27+J12*属性价值参考!C$24+K12*属性价值参考!C$16+L12*属性价值参考!C$26)</f>
        <v>42827.399999999994</v>
      </c>
    </row>
    <row r="13" spans="1:16" ht="16.5" x14ac:dyDescent="0.3">
      <c r="A13" s="10">
        <v>10</v>
      </c>
      <c r="B13" s="165">
        <f>INT(M13/10)</f>
        <v>40</v>
      </c>
      <c r="C13" s="165">
        <f>INT(N13/10)</f>
        <v>40</v>
      </c>
      <c r="D13" s="10">
        <v>10</v>
      </c>
      <c r="E13" s="8">
        <f t="shared" si="2"/>
        <v>30</v>
      </c>
      <c r="F13" s="8">
        <f t="shared" si="3"/>
        <v>30</v>
      </c>
      <c r="G13" s="8">
        <f t="shared" si="4"/>
        <v>10</v>
      </c>
      <c r="H13" s="142">
        <v>5</v>
      </c>
      <c r="I13" s="8">
        <f t="shared" si="5"/>
        <v>10</v>
      </c>
      <c r="J13" s="142">
        <v>5</v>
      </c>
      <c r="K13" s="142">
        <v>10</v>
      </c>
      <c r="L13" s="186">
        <v>10</v>
      </c>
      <c r="M13" s="8">
        <f>养成属性分配!BA31</f>
        <v>400</v>
      </c>
      <c r="N13" s="8">
        <f>养成属性分配!BB31</f>
        <v>400</v>
      </c>
      <c r="O13" s="8">
        <f>M13*(属性价值参考!C$7+属性价值参考!C$8)+宝石镶嵌!N13*(属性价值参考!C$9+属性价值参考!C$10+属性价值参考!C$11+属性价值参考!C$12)</f>
        <v>61920</v>
      </c>
      <c r="P13" s="8">
        <f>11*(H13*属性价值参考!C$27+J13*属性价值参考!C$24+K13*属性价值参考!C$16+L13*属性价值参考!C$26)</f>
        <v>44418</v>
      </c>
    </row>
  </sheetData>
  <mergeCells count="8">
    <mergeCell ref="M1:N2"/>
    <mergeCell ref="A1:C2"/>
    <mergeCell ref="O1:P2"/>
    <mergeCell ref="G2:H2"/>
    <mergeCell ref="I2:J2"/>
    <mergeCell ref="K2:L2"/>
    <mergeCell ref="D1:L1"/>
    <mergeCell ref="D2:D3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944B-CC1F-477B-9916-B97C0E6A19E3}">
  <dimension ref="A1:D52"/>
  <sheetViews>
    <sheetView workbookViewId="0">
      <selection activeCell="H10" sqref="H10"/>
    </sheetView>
  </sheetViews>
  <sheetFormatPr defaultRowHeight="16.5" x14ac:dyDescent="0.3"/>
  <cols>
    <col min="1" max="1" width="9" style="13"/>
    <col min="2" max="2" width="21.25" style="13" customWidth="1"/>
    <col min="3" max="3" width="9" style="13"/>
    <col min="4" max="4" width="11" style="13" bestFit="1" customWidth="1"/>
    <col min="5" max="16384" width="9" style="12"/>
  </cols>
  <sheetData>
    <row r="1" spans="1:4" x14ac:dyDescent="0.3">
      <c r="A1" s="10" t="s">
        <v>49</v>
      </c>
      <c r="B1" s="10" t="s">
        <v>3828</v>
      </c>
      <c r="C1" s="10" t="s">
        <v>3829</v>
      </c>
      <c r="D1" s="10" t="s">
        <v>3830</v>
      </c>
    </row>
    <row r="2" spans="1:4" x14ac:dyDescent="0.3">
      <c r="A2" s="10" t="s">
        <v>63</v>
      </c>
      <c r="B2" s="10" t="s">
        <v>3731</v>
      </c>
      <c r="C2" s="10">
        <v>1</v>
      </c>
      <c r="D2" s="10">
        <v>0.01</v>
      </c>
    </row>
    <row r="3" spans="1:4" x14ac:dyDescent="0.3">
      <c r="A3" s="10"/>
      <c r="B3" s="10" t="s">
        <v>3746</v>
      </c>
      <c r="C3" s="10">
        <v>1</v>
      </c>
      <c r="D3" s="10">
        <v>500</v>
      </c>
    </row>
    <row r="4" spans="1:4" x14ac:dyDescent="0.3">
      <c r="A4" s="312" t="s">
        <v>1974</v>
      </c>
      <c r="B4" s="10" t="s">
        <v>3831</v>
      </c>
      <c r="C4" s="10">
        <v>1</v>
      </c>
      <c r="D4" s="10">
        <v>50</v>
      </c>
    </row>
    <row r="5" spans="1:4" x14ac:dyDescent="0.3">
      <c r="A5" s="312"/>
      <c r="B5" s="10" t="s">
        <v>3832</v>
      </c>
      <c r="C5" s="10">
        <v>1</v>
      </c>
      <c r="D5" s="10">
        <v>50</v>
      </c>
    </row>
    <row r="6" spans="1:4" x14ac:dyDescent="0.3">
      <c r="A6" s="312"/>
      <c r="B6" s="10" t="s">
        <v>3833</v>
      </c>
      <c r="C6" s="10">
        <v>1</v>
      </c>
      <c r="D6" s="10">
        <v>50</v>
      </c>
    </row>
    <row r="7" spans="1:4" x14ac:dyDescent="0.3">
      <c r="A7" s="312"/>
      <c r="B7" s="10" t="s">
        <v>3834</v>
      </c>
      <c r="C7" s="10">
        <v>1</v>
      </c>
      <c r="D7" s="10">
        <v>50</v>
      </c>
    </row>
    <row r="8" spans="1:4" x14ac:dyDescent="0.3">
      <c r="A8" s="10" t="s">
        <v>3835</v>
      </c>
      <c r="B8" s="10" t="s">
        <v>3738</v>
      </c>
      <c r="C8" s="10">
        <v>1</v>
      </c>
      <c r="D8" s="10">
        <v>15</v>
      </c>
    </row>
    <row r="9" spans="1:4" x14ac:dyDescent="0.3">
      <c r="A9" s="309" t="s">
        <v>31</v>
      </c>
      <c r="B9" s="10" t="s">
        <v>3729</v>
      </c>
      <c r="C9" s="10">
        <v>1</v>
      </c>
      <c r="D9" s="10">
        <v>15</v>
      </c>
    </row>
    <row r="10" spans="1:4" x14ac:dyDescent="0.3">
      <c r="A10" s="311"/>
      <c r="B10" s="189" t="s">
        <v>3733</v>
      </c>
      <c r="C10" s="189">
        <v>1</v>
      </c>
      <c r="D10" s="189">
        <v>300</v>
      </c>
    </row>
    <row r="11" spans="1:4" x14ac:dyDescent="0.3">
      <c r="A11" s="309" t="s">
        <v>3836</v>
      </c>
      <c r="B11" s="10" t="s">
        <v>3837</v>
      </c>
      <c r="C11" s="10">
        <v>1</v>
      </c>
      <c r="D11" s="10">
        <v>98</v>
      </c>
    </row>
    <row r="12" spans="1:4" x14ac:dyDescent="0.3">
      <c r="A12" s="310"/>
      <c r="B12" s="10" t="s">
        <v>3838</v>
      </c>
      <c r="C12" s="10">
        <v>1</v>
      </c>
      <c r="D12" s="10">
        <v>888</v>
      </c>
    </row>
    <row r="13" spans="1:4" x14ac:dyDescent="0.3">
      <c r="A13" s="311"/>
      <c r="B13" s="189" t="s">
        <v>3839</v>
      </c>
      <c r="C13" s="189">
        <v>1</v>
      </c>
      <c r="D13" s="189">
        <v>498</v>
      </c>
    </row>
    <row r="14" spans="1:4" x14ac:dyDescent="0.3">
      <c r="A14" s="309" t="s">
        <v>30</v>
      </c>
      <c r="B14" s="10" t="s">
        <v>3840</v>
      </c>
      <c r="C14" s="10">
        <v>1</v>
      </c>
      <c r="D14" s="10">
        <v>50</v>
      </c>
    </row>
    <row r="15" spans="1:4" x14ac:dyDescent="0.3">
      <c r="A15" s="311"/>
      <c r="B15" s="10" t="s">
        <v>3841</v>
      </c>
      <c r="C15" s="10">
        <v>1</v>
      </c>
      <c r="D15" s="10">
        <v>500</v>
      </c>
    </row>
    <row r="16" spans="1:4" x14ac:dyDescent="0.3">
      <c r="A16" s="10"/>
      <c r="B16" s="10" t="s">
        <v>3842</v>
      </c>
      <c r="C16" s="10">
        <v>1</v>
      </c>
      <c r="D16" s="10">
        <v>588</v>
      </c>
    </row>
    <row r="17" spans="1:4" x14ac:dyDescent="0.3">
      <c r="A17" s="10"/>
      <c r="B17" s="10" t="s">
        <v>3843</v>
      </c>
      <c r="C17" s="10">
        <v>1</v>
      </c>
      <c r="D17" s="10">
        <v>288</v>
      </c>
    </row>
    <row r="18" spans="1:4" x14ac:dyDescent="0.3">
      <c r="A18" s="10" t="s">
        <v>3844</v>
      </c>
      <c r="B18" s="10" t="s">
        <v>3845</v>
      </c>
      <c r="C18" s="10">
        <v>1</v>
      </c>
      <c r="D18" s="10">
        <v>500</v>
      </c>
    </row>
    <row r="19" spans="1:4" x14ac:dyDescent="0.3">
      <c r="A19" s="312" t="s">
        <v>40</v>
      </c>
      <c r="B19" s="10" t="s">
        <v>3743</v>
      </c>
      <c r="C19" s="10">
        <v>1</v>
      </c>
      <c r="D19" s="10">
        <v>30</v>
      </c>
    </row>
    <row r="20" spans="1:4" x14ac:dyDescent="0.3">
      <c r="A20" s="312"/>
      <c r="B20" s="10" t="s">
        <v>3744</v>
      </c>
      <c r="C20" s="10">
        <v>1</v>
      </c>
      <c r="D20" s="10">
        <v>60</v>
      </c>
    </row>
    <row r="21" spans="1:4" x14ac:dyDescent="0.3">
      <c r="A21" s="312"/>
      <c r="B21" s="10" t="s">
        <v>3745</v>
      </c>
      <c r="C21" s="10">
        <v>1</v>
      </c>
      <c r="D21" s="10">
        <v>500</v>
      </c>
    </row>
    <row r="22" spans="1:4" x14ac:dyDescent="0.3">
      <c r="A22" s="309" t="s">
        <v>33</v>
      </c>
      <c r="B22" s="10" t="s">
        <v>3846</v>
      </c>
      <c r="C22" s="10">
        <v>1</v>
      </c>
      <c r="D22" s="10">
        <v>10</v>
      </c>
    </row>
    <row r="23" spans="1:4" x14ac:dyDescent="0.3">
      <c r="A23" s="310"/>
      <c r="B23" s="10" t="s">
        <v>3847</v>
      </c>
      <c r="C23" s="10">
        <v>1</v>
      </c>
      <c r="D23" s="10">
        <v>50</v>
      </c>
    </row>
    <row r="24" spans="1:4" x14ac:dyDescent="0.3">
      <c r="A24" s="310"/>
      <c r="B24" s="10" t="s">
        <v>3741</v>
      </c>
      <c r="C24" s="10">
        <v>1</v>
      </c>
      <c r="D24" s="10">
        <v>100</v>
      </c>
    </row>
    <row r="25" spans="1:4" x14ac:dyDescent="0.3">
      <c r="A25" s="311"/>
      <c r="B25" s="10" t="s">
        <v>3742</v>
      </c>
      <c r="C25" s="10">
        <v>1</v>
      </c>
      <c r="D25" s="10">
        <v>500</v>
      </c>
    </row>
    <row r="26" spans="1:4" x14ac:dyDescent="0.3">
      <c r="A26" s="10" t="s">
        <v>34</v>
      </c>
      <c r="B26" s="10" t="s">
        <v>3848</v>
      </c>
      <c r="C26" s="10">
        <v>1</v>
      </c>
      <c r="D26" s="10">
        <v>2999</v>
      </c>
    </row>
    <row r="27" spans="1:4" x14ac:dyDescent="0.3">
      <c r="A27" s="309" t="s">
        <v>3849</v>
      </c>
      <c r="B27" s="10" t="s">
        <v>3850</v>
      </c>
      <c r="C27" s="10">
        <v>1</v>
      </c>
      <c r="D27" s="10">
        <v>9800</v>
      </c>
    </row>
    <row r="28" spans="1:4" x14ac:dyDescent="0.3">
      <c r="A28" s="310"/>
      <c r="B28" s="10" t="s">
        <v>3869</v>
      </c>
      <c r="C28" s="10">
        <v>1</v>
      </c>
      <c r="D28" s="10">
        <v>29800</v>
      </c>
    </row>
    <row r="29" spans="1:4" x14ac:dyDescent="0.3">
      <c r="A29" s="310"/>
      <c r="B29" s="10" t="s">
        <v>3870</v>
      </c>
      <c r="C29" s="10">
        <v>1</v>
      </c>
      <c r="D29" s="10">
        <v>49800</v>
      </c>
    </row>
    <row r="30" spans="1:4" x14ac:dyDescent="0.3">
      <c r="A30" s="310"/>
      <c r="B30" s="10" t="s">
        <v>3851</v>
      </c>
      <c r="C30" s="10">
        <v>1</v>
      </c>
      <c r="D30" s="10">
        <v>9800</v>
      </c>
    </row>
    <row r="31" spans="1:4" x14ac:dyDescent="0.3">
      <c r="A31" s="310"/>
      <c r="B31" s="10" t="s">
        <v>3871</v>
      </c>
      <c r="C31" s="10">
        <v>1</v>
      </c>
      <c r="D31" s="10">
        <v>29800</v>
      </c>
    </row>
    <row r="32" spans="1:4" x14ac:dyDescent="0.3">
      <c r="A32" s="311"/>
      <c r="B32" s="10" t="s">
        <v>3872</v>
      </c>
      <c r="C32" s="10">
        <v>1</v>
      </c>
      <c r="D32" s="10">
        <v>49800</v>
      </c>
    </row>
    <row r="33" spans="1:4" x14ac:dyDescent="0.3">
      <c r="A33" s="309" t="s">
        <v>3852</v>
      </c>
      <c r="B33" s="10" t="s">
        <v>3853</v>
      </c>
      <c r="C33" s="10">
        <v>1</v>
      </c>
      <c r="D33" s="10">
        <v>2000</v>
      </c>
    </row>
    <row r="34" spans="1:4" x14ac:dyDescent="0.3">
      <c r="A34" s="310"/>
      <c r="B34" s="10" t="s">
        <v>3854</v>
      </c>
      <c r="C34" s="10">
        <v>1</v>
      </c>
      <c r="D34" s="10">
        <v>1000</v>
      </c>
    </row>
    <row r="35" spans="1:4" x14ac:dyDescent="0.3">
      <c r="A35" s="310"/>
      <c r="B35" s="10" t="s">
        <v>3855</v>
      </c>
      <c r="C35" s="10">
        <v>1</v>
      </c>
      <c r="D35" s="10">
        <v>3000</v>
      </c>
    </row>
    <row r="36" spans="1:4" x14ac:dyDescent="0.3">
      <c r="A36" s="310"/>
      <c r="B36" s="10" t="s">
        <v>3856</v>
      </c>
      <c r="C36" s="10">
        <v>1</v>
      </c>
      <c r="D36" s="10">
        <v>1000</v>
      </c>
    </row>
    <row r="37" spans="1:4" x14ac:dyDescent="0.3">
      <c r="A37" s="310"/>
      <c r="B37" s="10" t="s">
        <v>3857</v>
      </c>
      <c r="C37" s="10">
        <v>1</v>
      </c>
      <c r="D37" s="10">
        <v>2000</v>
      </c>
    </row>
    <row r="38" spans="1:4" x14ac:dyDescent="0.3">
      <c r="A38" s="310"/>
      <c r="B38" s="10" t="s">
        <v>3858</v>
      </c>
      <c r="C38" s="10">
        <v>1</v>
      </c>
      <c r="D38" s="10">
        <v>1000</v>
      </c>
    </row>
    <row r="39" spans="1:4" x14ac:dyDescent="0.3">
      <c r="A39" s="310"/>
      <c r="B39" s="10" t="s">
        <v>3859</v>
      </c>
      <c r="C39" s="10">
        <v>1</v>
      </c>
      <c r="D39" s="15">
        <v>10000</v>
      </c>
    </row>
    <row r="40" spans="1:4" x14ac:dyDescent="0.3">
      <c r="A40" s="310"/>
      <c r="B40" s="10" t="s">
        <v>3860</v>
      </c>
      <c r="C40" s="10">
        <v>1</v>
      </c>
      <c r="D40" s="10">
        <v>2000</v>
      </c>
    </row>
    <row r="41" spans="1:4" x14ac:dyDescent="0.3">
      <c r="A41" s="310"/>
      <c r="B41" s="10" t="s">
        <v>3861</v>
      </c>
      <c r="C41" s="10">
        <v>1</v>
      </c>
      <c r="D41" s="10">
        <v>1000</v>
      </c>
    </row>
    <row r="42" spans="1:4" x14ac:dyDescent="0.3">
      <c r="A42" s="311"/>
      <c r="B42" s="10" t="s">
        <v>3862</v>
      </c>
      <c r="C42" s="10">
        <v>1</v>
      </c>
      <c r="D42" s="10">
        <v>1000</v>
      </c>
    </row>
    <row r="43" spans="1:4" x14ac:dyDescent="0.3">
      <c r="A43" s="312" t="s">
        <v>3863</v>
      </c>
      <c r="B43" s="10" t="s">
        <v>3750</v>
      </c>
      <c r="C43" s="10">
        <v>1</v>
      </c>
      <c r="D43" s="10">
        <v>400</v>
      </c>
    </row>
    <row r="44" spans="1:4" x14ac:dyDescent="0.3">
      <c r="A44" s="312"/>
      <c r="B44" s="10" t="s">
        <v>3751</v>
      </c>
      <c r="C44" s="10">
        <v>1</v>
      </c>
      <c r="D44" s="10">
        <v>400</v>
      </c>
    </row>
    <row r="45" spans="1:4" x14ac:dyDescent="0.3">
      <c r="A45" s="312"/>
      <c r="B45" s="10" t="s">
        <v>3752</v>
      </c>
      <c r="C45" s="10">
        <v>1</v>
      </c>
      <c r="D45" s="10">
        <v>400</v>
      </c>
    </row>
    <row r="46" spans="1:4" x14ac:dyDescent="0.3">
      <c r="A46" s="312"/>
      <c r="B46" s="10" t="s">
        <v>3754</v>
      </c>
      <c r="C46" s="10">
        <v>1</v>
      </c>
      <c r="D46" s="10">
        <v>400</v>
      </c>
    </row>
    <row r="47" spans="1:4" x14ac:dyDescent="0.3">
      <c r="A47" s="312"/>
      <c r="B47" s="10" t="s">
        <v>3864</v>
      </c>
      <c r="C47" s="10">
        <v>1</v>
      </c>
      <c r="D47" s="10">
        <v>400</v>
      </c>
    </row>
    <row r="48" spans="1:4" x14ac:dyDescent="0.3">
      <c r="A48" s="312"/>
      <c r="B48" s="10" t="s">
        <v>3865</v>
      </c>
      <c r="C48" s="10">
        <v>1</v>
      </c>
      <c r="D48" s="10">
        <v>1000</v>
      </c>
    </row>
    <row r="49" spans="1:4" x14ac:dyDescent="0.3">
      <c r="A49" s="312"/>
      <c r="B49" s="10" t="s">
        <v>3794</v>
      </c>
      <c r="C49" s="10">
        <v>1</v>
      </c>
      <c r="D49" s="10">
        <v>1000</v>
      </c>
    </row>
    <row r="50" spans="1:4" x14ac:dyDescent="0.3">
      <c r="A50" s="312"/>
      <c r="B50" s="10" t="s">
        <v>3753</v>
      </c>
      <c r="C50" s="10">
        <v>1</v>
      </c>
      <c r="D50" s="10">
        <v>1000</v>
      </c>
    </row>
    <row r="51" spans="1:4" x14ac:dyDescent="0.3">
      <c r="A51" s="10" t="s">
        <v>3866</v>
      </c>
      <c r="B51" s="10" t="s">
        <v>3867</v>
      </c>
      <c r="C51" s="10">
        <v>1</v>
      </c>
      <c r="D51" s="10">
        <v>1500</v>
      </c>
    </row>
    <row r="52" spans="1:4" x14ac:dyDescent="0.3">
      <c r="A52" s="10" t="s">
        <v>3844</v>
      </c>
      <c r="B52" s="10" t="s">
        <v>3868</v>
      </c>
      <c r="C52" s="10">
        <v>1</v>
      </c>
      <c r="D52" s="10">
        <v>10</v>
      </c>
    </row>
  </sheetData>
  <mergeCells count="9">
    <mergeCell ref="A27:A32"/>
    <mergeCell ref="A33:A42"/>
    <mergeCell ref="A43:A50"/>
    <mergeCell ref="A4:A7"/>
    <mergeCell ref="A9:A10"/>
    <mergeCell ref="A11:A13"/>
    <mergeCell ref="A14:A15"/>
    <mergeCell ref="A19:A21"/>
    <mergeCell ref="A22:A25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F30"/>
  <sheetViews>
    <sheetView topLeftCell="AH1" workbookViewId="0">
      <selection activeCell="AN24" sqref="AN24:AN25"/>
    </sheetView>
  </sheetViews>
  <sheetFormatPr defaultRowHeight="16.5" x14ac:dyDescent="0.3"/>
  <cols>
    <col min="1" max="1" width="9.75" style="12" customWidth="1"/>
    <col min="2" max="2" width="9.75" style="12" bestFit="1" customWidth="1"/>
    <col min="3" max="5" width="11.125" style="12" bestFit="1" customWidth="1"/>
    <col min="6" max="8" width="9.75" style="12" bestFit="1" customWidth="1"/>
    <col min="9" max="9" width="14.125" style="12" bestFit="1" customWidth="1"/>
    <col min="10" max="11" width="7.75" style="12" bestFit="1" customWidth="1"/>
    <col min="12" max="13" width="5.75" style="12" bestFit="1" customWidth="1"/>
    <col min="14" max="17" width="7.75" style="12" bestFit="1" customWidth="1"/>
    <col min="18" max="19" width="5.75" style="12" bestFit="1" customWidth="1"/>
    <col min="20" max="21" width="7.75" style="12" bestFit="1" customWidth="1"/>
    <col min="22" max="22" width="9.75" style="12" bestFit="1" customWidth="1"/>
    <col min="23" max="23" width="31.875" style="12" bestFit="1" customWidth="1"/>
    <col min="24" max="29" width="9" style="12"/>
    <col min="30" max="30" width="11.875" style="12" bestFit="1" customWidth="1"/>
    <col min="31" max="31" width="16.375" style="12" bestFit="1" customWidth="1"/>
    <col min="32" max="35" width="10.375" style="12" bestFit="1" customWidth="1"/>
    <col min="36" max="36" width="9" style="12"/>
    <col min="37" max="40" width="9.25" style="12" bestFit="1" customWidth="1"/>
    <col min="41" max="41" width="10.875" style="12" bestFit="1" customWidth="1"/>
    <col min="42" max="16384" width="9" style="12"/>
  </cols>
  <sheetData>
    <row r="1" spans="1:58" x14ac:dyDescent="0.3">
      <c r="A1" s="12" t="s">
        <v>4076</v>
      </c>
    </row>
    <row r="2" spans="1:58" ht="18" x14ac:dyDescent="0.3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3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B4" si="0">INT(3/150*AA30)</f>
        <v>0</v>
      </c>
      <c r="AB4" s="315">
        <f t="shared" si="0"/>
        <v>0</v>
      </c>
      <c r="AC4" s="315">
        <f t="shared" ref="AC4" si="1">INT(3/150*AC30)</f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J30" si="2">Z5</f>
        <v>0</v>
      </c>
      <c r="K5" s="8">
        <f t="shared" ref="K5:K30" si="3">AA5</f>
        <v>0</v>
      </c>
      <c r="L5" s="8">
        <f t="shared" ref="L5:L30" si="4">0.5*AB5</f>
        <v>0</v>
      </c>
      <c r="M5" s="8">
        <f t="shared" ref="M5:M30" si="5">AB5</f>
        <v>0</v>
      </c>
      <c r="N5" s="8">
        <f t="shared" ref="N5:N30" si="6">0.5*AB5</f>
        <v>0</v>
      </c>
      <c r="O5" s="8">
        <f t="shared" ref="O5:O30" si="7">AB5</f>
        <v>0</v>
      </c>
      <c r="P5" s="8">
        <f t="shared" ref="P5:P30" si="8">0.5*AB5</f>
        <v>0</v>
      </c>
      <c r="Q5" s="8">
        <f t="shared" ref="Q5:Q30" si="9">AB5</f>
        <v>0</v>
      </c>
      <c r="R5" s="8">
        <f t="shared" ref="R5:R30" si="10">0.5*AC5</f>
        <v>0</v>
      </c>
      <c r="S5" s="8">
        <f t="shared" ref="S5:S30" si="11">AC5</f>
        <v>0</v>
      </c>
      <c r="T5" s="8">
        <f t="shared" ref="T5:T30" si="12">0.5*AC5</f>
        <v>0</v>
      </c>
      <c r="U5" s="8">
        <f t="shared" ref="U5:U30" si="13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B5" si="14">INT(4.5/150*AA30)</f>
        <v>0</v>
      </c>
      <c r="AB5" s="315">
        <f t="shared" si="14"/>
        <v>0</v>
      </c>
      <c r="AC5" s="315">
        <f t="shared" ref="AC5" si="15">INT(4.5/150*AC30)</f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6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3"/>
        <v>0</v>
      </c>
      <c r="L6" s="8">
        <f t="shared" si="4"/>
        <v>0</v>
      </c>
      <c r="M6" s="8">
        <f t="shared" si="5"/>
        <v>0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T6" s="8">
        <f t="shared" si="12"/>
        <v>0</v>
      </c>
      <c r="U6" s="8">
        <f t="shared" si="13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B6" si="17">INT(6/150*AA30)</f>
        <v>0</v>
      </c>
      <c r="AB6" s="315">
        <f t="shared" si="17"/>
        <v>0</v>
      </c>
      <c r="AC6" s="315">
        <f t="shared" ref="AC6" si="18">INT(6/150*AC30)</f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6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3"/>
        <v>0</v>
      </c>
      <c r="L7" s="8">
        <f t="shared" si="4"/>
        <v>0</v>
      </c>
      <c r="M7" s="8">
        <f t="shared" si="5"/>
        <v>0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T7" s="8">
        <f t="shared" si="12"/>
        <v>0</v>
      </c>
      <c r="U7" s="8">
        <f t="shared" si="13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B7" si="19">INT(7.5/150*AA30)</f>
        <v>0</v>
      </c>
      <c r="AB7" s="315">
        <f t="shared" si="19"/>
        <v>0</v>
      </c>
      <c r="AC7" s="315">
        <f t="shared" ref="AC7" si="20">INT(7.5/150*AC30)</f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6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3"/>
        <v>0</v>
      </c>
      <c r="L8" s="8">
        <f t="shared" si="4"/>
        <v>0</v>
      </c>
      <c r="M8" s="8">
        <f t="shared" si="5"/>
        <v>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T8" s="8">
        <f t="shared" si="12"/>
        <v>0</v>
      </c>
      <c r="U8" s="8">
        <f t="shared" si="13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B8" si="21">INT(9.75/150*AA30)</f>
        <v>0</v>
      </c>
      <c r="AB8" s="315">
        <f t="shared" si="21"/>
        <v>0</v>
      </c>
      <c r="AC8" s="315">
        <f t="shared" ref="AC8" si="22">INT(9.75/150*AC30)</f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6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3"/>
        <v>0</v>
      </c>
      <c r="L9" s="8">
        <f t="shared" si="4"/>
        <v>0</v>
      </c>
      <c r="M9" s="8">
        <f t="shared" si="5"/>
        <v>0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T9" s="8">
        <f t="shared" si="12"/>
        <v>0</v>
      </c>
      <c r="U9" s="8">
        <f t="shared" si="13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B9" si="23">INT(12/150*AA30)</f>
        <v>0</v>
      </c>
      <c r="AB9" s="315">
        <f t="shared" si="23"/>
        <v>0</v>
      </c>
      <c r="AC9" s="315">
        <f t="shared" ref="AC9" si="24">INT(12/150*AC30)</f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6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3"/>
        <v>0</v>
      </c>
      <c r="L10" s="8">
        <f t="shared" si="4"/>
        <v>0</v>
      </c>
      <c r="M10" s="8">
        <f t="shared" si="5"/>
        <v>0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T10" s="8">
        <f t="shared" si="12"/>
        <v>0</v>
      </c>
      <c r="U10" s="8">
        <f t="shared" si="13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B10" si="25">INT(14.25/150*AA30)</f>
        <v>0</v>
      </c>
      <c r="AB10" s="315">
        <f t="shared" si="25"/>
        <v>0</v>
      </c>
      <c r="AC10" s="315">
        <f t="shared" ref="AC10" si="26">INT(14.25/150*AC30)</f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6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3"/>
        <v>0</v>
      </c>
      <c r="L11" s="8">
        <f t="shared" si="4"/>
        <v>0</v>
      </c>
      <c r="M11" s="8">
        <f t="shared" si="5"/>
        <v>0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T11" s="8">
        <f t="shared" si="12"/>
        <v>0</v>
      </c>
      <c r="U11" s="8">
        <f t="shared" si="13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B11" si="27">INT(16.5/150*AA30)</f>
        <v>0</v>
      </c>
      <c r="AB11" s="315">
        <f t="shared" si="27"/>
        <v>0</v>
      </c>
      <c r="AC11" s="315">
        <f t="shared" ref="AC11" si="28">INT(16.5/150*AC30)</f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6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3"/>
        <v>0</v>
      </c>
      <c r="L12" s="8">
        <f t="shared" si="4"/>
        <v>0</v>
      </c>
      <c r="M12" s="8">
        <f t="shared" si="5"/>
        <v>0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T12" s="8">
        <f t="shared" si="12"/>
        <v>0</v>
      </c>
      <c r="U12" s="8">
        <f t="shared" si="13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B12" si="29">INT(21/150*AA30)</f>
        <v>0</v>
      </c>
      <c r="AB12" s="315">
        <f t="shared" si="29"/>
        <v>0</v>
      </c>
      <c r="AC12" s="315">
        <f t="shared" ref="AC12" si="30">INT(21/150*AC30)</f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6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3"/>
        <v>0</v>
      </c>
      <c r="L13" s="8">
        <f t="shared" si="4"/>
        <v>0</v>
      </c>
      <c r="M13" s="8">
        <f t="shared" si="5"/>
        <v>0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T13" s="8">
        <f t="shared" si="12"/>
        <v>0</v>
      </c>
      <c r="U13" s="8">
        <f t="shared" si="13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B13" si="31">INT(27/150*AA30)</f>
        <v>0</v>
      </c>
      <c r="AB13" s="315">
        <f t="shared" si="31"/>
        <v>0</v>
      </c>
      <c r="AC13" s="315">
        <f t="shared" ref="AC13" si="32">INT(27/150*AC30)</f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6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3"/>
        <v>0</v>
      </c>
      <c r="L14" s="8">
        <f t="shared" si="4"/>
        <v>0</v>
      </c>
      <c r="M14" s="8">
        <f t="shared" si="5"/>
        <v>0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T14" s="8">
        <f t="shared" si="12"/>
        <v>0</v>
      </c>
      <c r="U14" s="8">
        <f t="shared" si="13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B14" si="33">INT(33/150*AA30)</f>
        <v>0</v>
      </c>
      <c r="AB14" s="315">
        <f t="shared" si="33"/>
        <v>0</v>
      </c>
      <c r="AC14" s="315">
        <f t="shared" ref="AC14" si="34">INT(33/150*AC30)</f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6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3"/>
        <v>0</v>
      </c>
      <c r="L15" s="8">
        <f t="shared" si="4"/>
        <v>0</v>
      </c>
      <c r="M15" s="8">
        <f t="shared" si="5"/>
        <v>0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  <c r="T15" s="8">
        <f t="shared" si="12"/>
        <v>0</v>
      </c>
      <c r="U15" s="8">
        <f t="shared" si="13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B15" si="35">INT(38.25/150*AA30)</f>
        <v>0</v>
      </c>
      <c r="AB15" s="315">
        <f t="shared" si="35"/>
        <v>0</v>
      </c>
      <c r="AC15" s="315">
        <f t="shared" ref="AC15" si="36">INT(38.25/150*AC30)</f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6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3"/>
        <v>0</v>
      </c>
      <c r="L16" s="8">
        <f t="shared" si="4"/>
        <v>0</v>
      </c>
      <c r="M16" s="8">
        <f t="shared" si="5"/>
        <v>0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  <c r="T16" s="8">
        <f t="shared" si="12"/>
        <v>0</v>
      </c>
      <c r="U16" s="8">
        <f t="shared" si="13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B16" si="37">INT(43.5/150*AA30)</f>
        <v>0</v>
      </c>
      <c r="AB16" s="315">
        <f t="shared" si="37"/>
        <v>0</v>
      </c>
      <c r="AC16" s="315">
        <f t="shared" ref="AC16" si="38">INT(43.5/150*AC30)</f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6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3"/>
        <v>0</v>
      </c>
      <c r="L17" s="8">
        <f t="shared" si="4"/>
        <v>0</v>
      </c>
      <c r="M17" s="8">
        <f t="shared" si="5"/>
        <v>0</v>
      </c>
      <c r="N17" s="8">
        <f t="shared" si="6"/>
        <v>0</v>
      </c>
      <c r="O17" s="8">
        <f t="shared" si="7"/>
        <v>0</v>
      </c>
      <c r="P17" s="8">
        <f t="shared" si="8"/>
        <v>0</v>
      </c>
      <c r="Q17" s="8">
        <f t="shared" si="9"/>
        <v>0</v>
      </c>
      <c r="R17" s="8">
        <f t="shared" si="10"/>
        <v>0</v>
      </c>
      <c r="S17" s="8">
        <f t="shared" si="11"/>
        <v>0</v>
      </c>
      <c r="T17" s="8">
        <f t="shared" si="12"/>
        <v>0</v>
      </c>
      <c r="U17" s="8">
        <f t="shared" si="13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B17" si="39">INT(48/150*AA30)</f>
        <v>0</v>
      </c>
      <c r="AB17" s="315">
        <f t="shared" si="39"/>
        <v>0</v>
      </c>
      <c r="AC17" s="315">
        <f t="shared" ref="AC17" si="40">INT(48/150*AC30)</f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6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3"/>
        <v>0</v>
      </c>
      <c r="L18" s="8">
        <f t="shared" si="4"/>
        <v>0</v>
      </c>
      <c r="M18" s="8">
        <f t="shared" si="5"/>
        <v>0</v>
      </c>
      <c r="N18" s="8">
        <f t="shared" si="6"/>
        <v>0</v>
      </c>
      <c r="O18" s="8">
        <f t="shared" si="7"/>
        <v>0</v>
      </c>
      <c r="P18" s="8">
        <f t="shared" si="8"/>
        <v>0</v>
      </c>
      <c r="Q18" s="8">
        <f t="shared" si="9"/>
        <v>0</v>
      </c>
      <c r="R18" s="8">
        <f t="shared" si="10"/>
        <v>0</v>
      </c>
      <c r="S18" s="8">
        <f t="shared" si="11"/>
        <v>0</v>
      </c>
      <c r="T18" s="8">
        <f t="shared" si="12"/>
        <v>0</v>
      </c>
      <c r="U18" s="8">
        <f t="shared" si="13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B18" si="41">INT(52.5/150*AA30)</f>
        <v>0</v>
      </c>
      <c r="AB18" s="315">
        <f t="shared" si="41"/>
        <v>0</v>
      </c>
      <c r="AC18" s="315">
        <f t="shared" ref="AC18" si="42">INT(52.5/150*AC30)</f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6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3"/>
        <v>0</v>
      </c>
      <c r="L19" s="8">
        <f t="shared" si="4"/>
        <v>0</v>
      </c>
      <c r="M19" s="8">
        <f t="shared" si="5"/>
        <v>0</v>
      </c>
      <c r="N19" s="8">
        <f t="shared" si="6"/>
        <v>0</v>
      </c>
      <c r="O19" s="8">
        <f t="shared" si="7"/>
        <v>0</v>
      </c>
      <c r="P19" s="8">
        <f t="shared" si="8"/>
        <v>0</v>
      </c>
      <c r="Q19" s="8">
        <f t="shared" si="9"/>
        <v>0</v>
      </c>
      <c r="R19" s="8">
        <f t="shared" si="10"/>
        <v>0</v>
      </c>
      <c r="S19" s="8">
        <f t="shared" si="11"/>
        <v>0</v>
      </c>
      <c r="T19" s="8">
        <f t="shared" si="12"/>
        <v>0</v>
      </c>
      <c r="U19" s="8">
        <f t="shared" si="13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B19" si="43">INT(56.25/150*AA30)</f>
        <v>0</v>
      </c>
      <c r="AB19" s="315">
        <f t="shared" si="43"/>
        <v>0</v>
      </c>
      <c r="AC19" s="315">
        <f t="shared" ref="AC19" si="44">INT(56.25/150*AC30)</f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6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3"/>
        <v>0</v>
      </c>
      <c r="L20" s="8">
        <f t="shared" si="4"/>
        <v>0</v>
      </c>
      <c r="M20" s="8">
        <f t="shared" si="5"/>
        <v>0</v>
      </c>
      <c r="N20" s="8">
        <f t="shared" si="6"/>
        <v>0</v>
      </c>
      <c r="O20" s="8">
        <f t="shared" si="7"/>
        <v>0</v>
      </c>
      <c r="P20" s="8">
        <f t="shared" si="8"/>
        <v>0</v>
      </c>
      <c r="Q20" s="8">
        <f t="shared" si="9"/>
        <v>0</v>
      </c>
      <c r="R20" s="8">
        <f t="shared" si="10"/>
        <v>0</v>
      </c>
      <c r="S20" s="8">
        <f t="shared" si="11"/>
        <v>0</v>
      </c>
      <c r="T20" s="8">
        <f t="shared" si="12"/>
        <v>0</v>
      </c>
      <c r="U20" s="8">
        <f t="shared" si="13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B20" si="45">INT(60/150*AA30)</f>
        <v>0</v>
      </c>
      <c r="AB20" s="315">
        <f t="shared" si="45"/>
        <v>0</v>
      </c>
      <c r="AC20" s="315">
        <f t="shared" ref="AC20" si="46">INT(60/150*AC30)</f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6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3"/>
        <v>0</v>
      </c>
      <c r="L21" s="8">
        <f t="shared" si="4"/>
        <v>0</v>
      </c>
      <c r="M21" s="8">
        <f t="shared" si="5"/>
        <v>0</v>
      </c>
      <c r="N21" s="8">
        <f t="shared" si="6"/>
        <v>0</v>
      </c>
      <c r="O21" s="8">
        <f t="shared" si="7"/>
        <v>0</v>
      </c>
      <c r="P21" s="8">
        <f t="shared" si="8"/>
        <v>0</v>
      </c>
      <c r="Q21" s="8">
        <f t="shared" si="9"/>
        <v>0</v>
      </c>
      <c r="R21" s="8">
        <f t="shared" si="10"/>
        <v>0</v>
      </c>
      <c r="S21" s="8">
        <f t="shared" si="11"/>
        <v>0</v>
      </c>
      <c r="T21" s="8">
        <f t="shared" si="12"/>
        <v>0</v>
      </c>
      <c r="U21" s="8">
        <f t="shared" si="13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B21" si="47">INT(66/150*AA30)</f>
        <v>0</v>
      </c>
      <c r="AB21" s="315">
        <f t="shared" si="47"/>
        <v>0</v>
      </c>
      <c r="AC21" s="315">
        <f t="shared" ref="AC21" si="48">INT(66/150*AC30)</f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6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3"/>
        <v>0</v>
      </c>
      <c r="L22" s="8">
        <f t="shared" si="4"/>
        <v>0</v>
      </c>
      <c r="M22" s="8">
        <f t="shared" si="5"/>
        <v>0</v>
      </c>
      <c r="N22" s="8">
        <f t="shared" si="6"/>
        <v>0</v>
      </c>
      <c r="O22" s="8">
        <f t="shared" si="7"/>
        <v>0</v>
      </c>
      <c r="P22" s="8">
        <f t="shared" si="8"/>
        <v>0</v>
      </c>
      <c r="Q22" s="8">
        <f t="shared" si="9"/>
        <v>0</v>
      </c>
      <c r="R22" s="8">
        <f t="shared" si="10"/>
        <v>0</v>
      </c>
      <c r="S22" s="8">
        <f t="shared" si="11"/>
        <v>0</v>
      </c>
      <c r="T22" s="8">
        <f t="shared" si="12"/>
        <v>0</v>
      </c>
      <c r="U22" s="8">
        <f t="shared" si="13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B22" si="49">INT(72/150*AA30)</f>
        <v>0</v>
      </c>
      <c r="AB22" s="315">
        <f t="shared" si="49"/>
        <v>0</v>
      </c>
      <c r="AC22" s="315">
        <f t="shared" ref="AC22" si="50">INT(72/150*AC30)</f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6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3"/>
        <v>0</v>
      </c>
      <c r="L23" s="8">
        <f t="shared" si="4"/>
        <v>0</v>
      </c>
      <c r="M23" s="8">
        <f t="shared" si="5"/>
        <v>0</v>
      </c>
      <c r="N23" s="8">
        <f t="shared" si="6"/>
        <v>0</v>
      </c>
      <c r="O23" s="8">
        <f t="shared" si="7"/>
        <v>0</v>
      </c>
      <c r="P23" s="8">
        <f t="shared" si="8"/>
        <v>0</v>
      </c>
      <c r="Q23" s="8">
        <f t="shared" si="9"/>
        <v>0</v>
      </c>
      <c r="R23" s="8">
        <f t="shared" si="10"/>
        <v>0</v>
      </c>
      <c r="S23" s="8">
        <f t="shared" si="11"/>
        <v>0</v>
      </c>
      <c r="T23" s="8">
        <f t="shared" si="12"/>
        <v>0</v>
      </c>
      <c r="U23" s="8">
        <f t="shared" si="13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51">INT(79.5/150*AA30)</f>
        <v>0</v>
      </c>
      <c r="AB23" s="315">
        <f t="shared" si="5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6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3"/>
        <v>0</v>
      </c>
      <c r="L24" s="8">
        <f t="shared" si="4"/>
        <v>0</v>
      </c>
      <c r="M24" s="8">
        <f t="shared" si="5"/>
        <v>0</v>
      </c>
      <c r="N24" s="8">
        <f t="shared" si="6"/>
        <v>0</v>
      </c>
      <c r="O24" s="8">
        <f t="shared" si="7"/>
        <v>0</v>
      </c>
      <c r="P24" s="8">
        <f t="shared" si="8"/>
        <v>0</v>
      </c>
      <c r="Q24" s="8">
        <f t="shared" si="9"/>
        <v>0</v>
      </c>
      <c r="R24" s="8">
        <f t="shared" si="10"/>
        <v>0</v>
      </c>
      <c r="S24" s="8">
        <f t="shared" si="11"/>
        <v>0</v>
      </c>
      <c r="T24" s="8">
        <f t="shared" si="12"/>
        <v>0</v>
      </c>
      <c r="U24" s="8">
        <f t="shared" si="13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B24" si="52">INT(87/150*AA30)</f>
        <v>0</v>
      </c>
      <c r="AB24" s="315">
        <f t="shared" si="52"/>
        <v>0</v>
      </c>
      <c r="AC24" s="315">
        <f t="shared" ref="AC24" si="53">INT(87/150*AC30)</f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6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3"/>
        <v>0</v>
      </c>
      <c r="L25" s="8">
        <f t="shared" si="4"/>
        <v>0</v>
      </c>
      <c r="M25" s="8">
        <f t="shared" si="5"/>
        <v>0</v>
      </c>
      <c r="N25" s="8">
        <f t="shared" si="6"/>
        <v>0</v>
      </c>
      <c r="O25" s="8">
        <f t="shared" si="7"/>
        <v>0</v>
      </c>
      <c r="P25" s="8">
        <f t="shared" si="8"/>
        <v>0</v>
      </c>
      <c r="Q25" s="8">
        <f t="shared" si="9"/>
        <v>0</v>
      </c>
      <c r="R25" s="8">
        <f t="shared" si="10"/>
        <v>0</v>
      </c>
      <c r="S25" s="8">
        <f t="shared" si="11"/>
        <v>0</v>
      </c>
      <c r="T25" s="8">
        <f t="shared" si="12"/>
        <v>0</v>
      </c>
      <c r="U25" s="8">
        <f t="shared" si="13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B25" si="54">INT(96/150*AA30)</f>
        <v>0</v>
      </c>
      <c r="AB25" s="315">
        <f t="shared" si="54"/>
        <v>0</v>
      </c>
      <c r="AC25" s="315">
        <f t="shared" ref="AC25" si="55">INT(96/150*AC30)</f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6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3"/>
        <v>0</v>
      </c>
      <c r="L26" s="8">
        <f t="shared" si="4"/>
        <v>0</v>
      </c>
      <c r="M26" s="8">
        <f t="shared" si="5"/>
        <v>0</v>
      </c>
      <c r="N26" s="8">
        <f t="shared" si="6"/>
        <v>0</v>
      </c>
      <c r="O26" s="8">
        <f t="shared" si="7"/>
        <v>0</v>
      </c>
      <c r="P26" s="8">
        <f t="shared" si="8"/>
        <v>0</v>
      </c>
      <c r="Q26" s="8">
        <f t="shared" si="9"/>
        <v>0</v>
      </c>
      <c r="R26" s="8">
        <f t="shared" si="10"/>
        <v>0</v>
      </c>
      <c r="S26" s="8">
        <f t="shared" si="11"/>
        <v>0</v>
      </c>
      <c r="T26" s="8">
        <f t="shared" si="12"/>
        <v>0</v>
      </c>
      <c r="U26" s="8">
        <f t="shared" si="13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B26" si="56">INT(105/150*AA30)</f>
        <v>0</v>
      </c>
      <c r="AB26" s="315">
        <f t="shared" si="56"/>
        <v>0</v>
      </c>
      <c r="AC26" s="315">
        <f t="shared" ref="AC26" si="57">INT(105/150*AC30)</f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6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3"/>
        <v>0</v>
      </c>
      <c r="L27" s="8">
        <f t="shared" si="4"/>
        <v>0</v>
      </c>
      <c r="M27" s="8">
        <f t="shared" si="5"/>
        <v>0</v>
      </c>
      <c r="N27" s="8">
        <f t="shared" si="6"/>
        <v>0</v>
      </c>
      <c r="O27" s="8">
        <f t="shared" si="7"/>
        <v>0</v>
      </c>
      <c r="P27" s="8">
        <f t="shared" si="8"/>
        <v>0</v>
      </c>
      <c r="Q27" s="8">
        <f t="shared" si="9"/>
        <v>0</v>
      </c>
      <c r="R27" s="8">
        <f t="shared" si="10"/>
        <v>0</v>
      </c>
      <c r="S27" s="8">
        <f t="shared" si="11"/>
        <v>0</v>
      </c>
      <c r="T27" s="8">
        <f t="shared" si="12"/>
        <v>0</v>
      </c>
      <c r="U27" s="8">
        <f t="shared" si="13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B27" si="58">INT(112.5/150*AA30)</f>
        <v>0</v>
      </c>
      <c r="AB27" s="315">
        <f t="shared" si="58"/>
        <v>0</v>
      </c>
      <c r="AC27" s="315">
        <f t="shared" ref="AC27" si="59">INT(112.5/150*AC30)</f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6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3"/>
        <v>0</v>
      </c>
      <c r="L28" s="8">
        <f t="shared" si="4"/>
        <v>0</v>
      </c>
      <c r="M28" s="8">
        <f t="shared" si="5"/>
        <v>0</v>
      </c>
      <c r="N28" s="8">
        <f t="shared" si="6"/>
        <v>0</v>
      </c>
      <c r="O28" s="8">
        <f t="shared" si="7"/>
        <v>0</v>
      </c>
      <c r="P28" s="8">
        <f t="shared" si="8"/>
        <v>0</v>
      </c>
      <c r="Q28" s="8">
        <f t="shared" si="9"/>
        <v>0</v>
      </c>
      <c r="R28" s="8">
        <f t="shared" si="10"/>
        <v>0</v>
      </c>
      <c r="S28" s="8">
        <f t="shared" si="11"/>
        <v>0</v>
      </c>
      <c r="T28" s="8">
        <f t="shared" si="12"/>
        <v>0</v>
      </c>
      <c r="U28" s="8">
        <f t="shared" si="13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B28" si="60">INT(120/150*AA30)</f>
        <v>0</v>
      </c>
      <c r="AB28" s="315">
        <f t="shared" si="60"/>
        <v>0</v>
      </c>
      <c r="AC28" s="315">
        <f t="shared" ref="AC28" si="61">INT(120/150*AC30)</f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6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3"/>
        <v>0</v>
      </c>
      <c r="L29" s="8">
        <f t="shared" si="4"/>
        <v>0</v>
      </c>
      <c r="M29" s="8">
        <f t="shared" si="5"/>
        <v>0</v>
      </c>
      <c r="N29" s="8">
        <f t="shared" si="6"/>
        <v>0</v>
      </c>
      <c r="O29" s="8">
        <f t="shared" si="7"/>
        <v>0</v>
      </c>
      <c r="P29" s="8">
        <f t="shared" si="8"/>
        <v>0</v>
      </c>
      <c r="Q29" s="8">
        <f t="shared" si="9"/>
        <v>0</v>
      </c>
      <c r="R29" s="8">
        <f t="shared" si="10"/>
        <v>0</v>
      </c>
      <c r="S29" s="8">
        <f t="shared" si="11"/>
        <v>0</v>
      </c>
      <c r="T29" s="8">
        <f t="shared" si="12"/>
        <v>0</v>
      </c>
      <c r="U29" s="8">
        <f t="shared" si="13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62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6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 t="shared" si="2"/>
        <v>0</v>
      </c>
      <c r="K30" s="8">
        <f t="shared" si="3"/>
        <v>0</v>
      </c>
      <c r="L30" s="8">
        <f t="shared" si="4"/>
        <v>0</v>
      </c>
      <c r="M30" s="8">
        <f t="shared" si="5"/>
        <v>0</v>
      </c>
      <c r="N30" s="8">
        <f t="shared" si="6"/>
        <v>0</v>
      </c>
      <c r="O30" s="8">
        <f t="shared" si="7"/>
        <v>0</v>
      </c>
      <c r="P30" s="8">
        <f t="shared" si="8"/>
        <v>0</v>
      </c>
      <c r="Q30" s="8">
        <f t="shared" si="9"/>
        <v>0</v>
      </c>
      <c r="R30" s="8">
        <f t="shared" si="10"/>
        <v>0</v>
      </c>
      <c r="S30" s="8">
        <f t="shared" si="11"/>
        <v>0</v>
      </c>
      <c r="T30" s="8">
        <f t="shared" si="12"/>
        <v>0</v>
      </c>
      <c r="U30" s="8">
        <f t="shared" si="13"/>
        <v>0</v>
      </c>
      <c r="V30" s="8"/>
      <c r="W30" s="8"/>
      <c r="X30" s="8">
        <v>27</v>
      </c>
      <c r="Y30" s="8">
        <f>材料产出!C30</f>
        <v>7</v>
      </c>
      <c r="Z30" s="8">
        <f>养成属性分配!BC31</f>
        <v>0</v>
      </c>
      <c r="AA30" s="8">
        <f>养成属性分配!BD31</f>
        <v>0</v>
      </c>
      <c r="AB30" s="8">
        <f>养成属性分配!BE31</f>
        <v>0</v>
      </c>
      <c r="AC30" s="8">
        <f>养成属性分配!BF31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6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F30"/>
  <sheetViews>
    <sheetView topLeftCell="W4" workbookViewId="0">
      <selection activeCell="U21" sqref="U21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养成属性分配!BG31</f>
        <v>0</v>
      </c>
      <c r="AA30" s="8">
        <f>养成属性分配!BH31</f>
        <v>0</v>
      </c>
      <c r="AB30" s="8">
        <f>养成属性分配!BI31</f>
        <v>0</v>
      </c>
      <c r="AC30" s="8">
        <f>养成属性分配!BJ31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F30"/>
  <sheetViews>
    <sheetView topLeftCell="AH1" workbookViewId="0">
      <selection activeCell="U26" sqref="U26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养成属性分配!BK31</f>
        <v>0</v>
      </c>
      <c r="AA30" s="8">
        <f>养成属性分配!BL31</f>
        <v>0</v>
      </c>
      <c r="AB30" s="8">
        <f>养成属性分配!BM31</f>
        <v>0</v>
      </c>
      <c r="AC30" s="8">
        <f>养成属性分配!BN31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F30"/>
  <sheetViews>
    <sheetView topLeftCell="Z7" workbookViewId="0">
      <selection activeCell="Y27" sqref="Y27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养成属性分配!BO31</f>
        <v>0</v>
      </c>
      <c r="AA30" s="8">
        <f>养成属性分配!BP31</f>
        <v>0</v>
      </c>
      <c r="AB30" s="8">
        <f>养成属性分配!BQ31</f>
        <v>0</v>
      </c>
      <c r="AC30" s="8">
        <f>养成属性分配!BR31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F30"/>
  <sheetViews>
    <sheetView topLeftCell="AF4" workbookViewId="0">
      <selection activeCell="AE25" sqref="A1:BF30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养成属性分配!BS31</f>
        <v>0</v>
      </c>
      <c r="AA30" s="8">
        <f>养成属性分配!BT31</f>
        <v>0</v>
      </c>
      <c r="AB30" s="8">
        <f>养成属性分配!BU31</f>
        <v>0</v>
      </c>
      <c r="AC30" s="8">
        <f>养成属性分配!BV31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F30"/>
  <sheetViews>
    <sheetView topLeftCell="AH4" workbookViewId="0">
      <selection activeCell="AH34" sqref="AH34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养成属性分配!BW31</f>
        <v>0</v>
      </c>
      <c r="AA30" s="8">
        <f>养成属性分配!BX31</f>
        <v>0</v>
      </c>
      <c r="AB30" s="8">
        <f>养成属性分配!BY31</f>
        <v>0</v>
      </c>
      <c r="AC30" s="8">
        <f>养成属性分配!BZ31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F30"/>
  <sheetViews>
    <sheetView topLeftCell="AG4" workbookViewId="0">
      <selection activeCell="AE40" sqref="A1:XFD1048576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养成属性分配!CA31</f>
        <v>0</v>
      </c>
      <c r="AA30" s="8">
        <f>养成属性分配!CB31</f>
        <v>0</v>
      </c>
      <c r="AB30" s="8">
        <f>养成属性分配!CC31</f>
        <v>0</v>
      </c>
      <c r="AC30" s="8">
        <f>养成属性分配!CD31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F30"/>
  <sheetViews>
    <sheetView topLeftCell="AA1" workbookViewId="0">
      <selection activeCell="AH38" sqref="AH38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养成属性分配!CE31</f>
        <v>0</v>
      </c>
      <c r="AA30" s="8">
        <f>养成属性分配!CF31</f>
        <v>0</v>
      </c>
      <c r="AB30" s="8">
        <f>养成属性分配!CG31</f>
        <v>0</v>
      </c>
      <c r="AC30" s="8">
        <f>养成属性分配!CH31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F30"/>
  <sheetViews>
    <sheetView topLeftCell="AD7" workbookViewId="0">
      <selection activeCell="AC30" sqref="A1:BF30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养成属性分配!CI31</f>
        <v>0</v>
      </c>
      <c r="AA30" s="8">
        <f>养成属性分配!CJ31</f>
        <v>0</v>
      </c>
      <c r="AB30" s="8">
        <f>养成属性分配!CK31</f>
        <v>0</v>
      </c>
      <c r="AC30" s="8">
        <f>养成属性分配!CL31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F30"/>
  <sheetViews>
    <sheetView topLeftCell="AF7" workbookViewId="0">
      <selection activeCell="AF33" sqref="AF33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养成属性分配!CM31</f>
        <v>0</v>
      </c>
      <c r="AA30" s="8">
        <f>养成属性分配!CN31</f>
        <v>0</v>
      </c>
      <c r="AB30" s="8">
        <f>养成属性分配!CO31</f>
        <v>0</v>
      </c>
      <c r="AC30" s="8">
        <f>养成属性分配!CP31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F30"/>
  <sheetViews>
    <sheetView topLeftCell="AE7" workbookViewId="0">
      <selection activeCell="AG23" sqref="AG23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养成属性分配!CQ31</f>
        <v>0</v>
      </c>
      <c r="AA30" s="8">
        <f>养成属性分配!CR31</f>
        <v>0</v>
      </c>
      <c r="AB30" s="8">
        <f>养成属性分配!CS31</f>
        <v>0</v>
      </c>
      <c r="AC30" s="8">
        <f>养成属性分配!CT31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F30"/>
  <sheetViews>
    <sheetView topLeftCell="AH1" workbookViewId="0">
      <selection activeCell="AE34" sqref="AE34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养成属性分配!CU31</f>
        <v>0</v>
      </c>
      <c r="AA30" s="8">
        <f>养成属性分配!CV31</f>
        <v>0</v>
      </c>
      <c r="AB30" s="8">
        <f>养成属性分配!CW31</f>
        <v>0</v>
      </c>
      <c r="AC30" s="8">
        <f>养成属性分配!CX31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F30"/>
  <sheetViews>
    <sheetView topLeftCell="Z1" workbookViewId="0">
      <selection activeCell="AJ32" sqref="AJ32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0" t="s">
        <v>4054</v>
      </c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2"/>
      <c r="V2" s="21" t="s">
        <v>3635</v>
      </c>
      <c r="W2" s="95" t="s">
        <v>4055</v>
      </c>
      <c r="X2" s="316" t="s">
        <v>3496</v>
      </c>
      <c r="Y2" s="316"/>
      <c r="Z2" s="316"/>
      <c r="AA2" s="316"/>
      <c r="AB2" s="316"/>
      <c r="AC2" s="316"/>
      <c r="AD2" s="316" t="s">
        <v>3773</v>
      </c>
      <c r="AE2" s="316"/>
      <c r="AF2" s="317" t="s">
        <v>3782</v>
      </c>
      <c r="AG2" s="317"/>
      <c r="AH2" s="317"/>
      <c r="AI2" s="317"/>
      <c r="AJ2" s="320" t="s">
        <v>3635</v>
      </c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318" t="s">
        <v>3777</v>
      </c>
      <c r="AG3" s="318" t="s">
        <v>3777</v>
      </c>
      <c r="AH3" s="318" t="s">
        <v>3777</v>
      </c>
      <c r="AI3" s="318" t="s">
        <v>3777</v>
      </c>
      <c r="AJ3" s="321" t="s">
        <v>55</v>
      </c>
      <c r="AK3" s="321" t="s">
        <v>2853</v>
      </c>
      <c r="AL3" s="321" t="s">
        <v>3165</v>
      </c>
      <c r="AM3" s="321" t="s">
        <v>2389</v>
      </c>
      <c r="AN3" s="321" t="s">
        <v>1930</v>
      </c>
      <c r="AO3" s="321" t="s">
        <v>3643</v>
      </c>
      <c r="AP3" s="321" t="s">
        <v>1931</v>
      </c>
      <c r="AQ3" s="321" t="s">
        <v>1932</v>
      </c>
      <c r="AR3" s="321" t="s">
        <v>1934</v>
      </c>
      <c r="AS3" s="321" t="s">
        <v>1935</v>
      </c>
      <c r="AT3" s="321" t="s">
        <v>3644</v>
      </c>
      <c r="AU3" s="321" t="s">
        <v>3645</v>
      </c>
      <c r="AV3" s="321" t="s">
        <v>3646</v>
      </c>
      <c r="AW3" s="321" t="s">
        <v>3647</v>
      </c>
      <c r="AX3" s="321" t="s">
        <v>3641</v>
      </c>
      <c r="AY3" s="321" t="s">
        <v>2385</v>
      </c>
      <c r="AZ3" s="321" t="s">
        <v>3648</v>
      </c>
      <c r="BA3" s="321" t="s">
        <v>2386</v>
      </c>
      <c r="BB3" s="321" t="s">
        <v>2387</v>
      </c>
      <c r="BC3" s="321" t="s">
        <v>3649</v>
      </c>
      <c r="BD3" s="321" t="s">
        <v>3650</v>
      </c>
      <c r="BE3" s="321" t="s">
        <v>3637</v>
      </c>
      <c r="BF3" s="321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315">
        <f>INT(3/150*Z30)</f>
        <v>0</v>
      </c>
      <c r="AA4" s="315">
        <f t="shared" ref="AA4:AC4" si="0">INT(3/150*AA30)</f>
        <v>0</v>
      </c>
      <c r="AB4" s="315">
        <f t="shared" si="0"/>
        <v>0</v>
      </c>
      <c r="AC4" s="315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319">
        <f>(AD4+AE4)/材料产出!$J$1</f>
        <v>0</v>
      </c>
      <c r="AG4" s="319">
        <f>(AD4+AE4)/材料产出!$J$1</f>
        <v>0</v>
      </c>
      <c r="AH4" s="319">
        <f>(AD4+AE4)/材料产出!$J$1</f>
        <v>0</v>
      </c>
      <c r="AI4" s="319">
        <f>(AD4+AE4)/材料产出!$J$1</f>
        <v>0</v>
      </c>
      <c r="AJ4" s="321">
        <f>X4</f>
        <v>1</v>
      </c>
      <c r="AK4" s="321">
        <v>0</v>
      </c>
      <c r="AL4" s="321">
        <v>0</v>
      </c>
      <c r="AM4" s="321">
        <v>0</v>
      </c>
      <c r="AN4" s="321">
        <v>0</v>
      </c>
      <c r="AO4" s="321">
        <v>0</v>
      </c>
      <c r="AP4" s="321">
        <v>0</v>
      </c>
      <c r="AQ4" s="321">
        <v>0</v>
      </c>
      <c r="AR4" s="321">
        <v>0</v>
      </c>
      <c r="AS4" s="321">
        <v>0</v>
      </c>
      <c r="AT4" s="321">
        <v>0</v>
      </c>
      <c r="AU4" s="321">
        <v>0</v>
      </c>
      <c r="AV4" s="321">
        <v>0</v>
      </c>
      <c r="AW4" s="321">
        <v>0</v>
      </c>
      <c r="AX4" s="321">
        <v>0</v>
      </c>
      <c r="AY4" s="321">
        <v>0</v>
      </c>
      <c r="AZ4" s="321">
        <v>0</v>
      </c>
      <c r="BA4" s="321">
        <v>0</v>
      </c>
      <c r="BB4" s="321">
        <v>0</v>
      </c>
      <c r="BC4" s="321">
        <v>0</v>
      </c>
      <c r="BD4" s="321">
        <v>0</v>
      </c>
      <c r="BE4" s="321">
        <v>0</v>
      </c>
      <c r="BF4" s="321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315">
        <f>INT(4.5/150*Z30)</f>
        <v>0</v>
      </c>
      <c r="AA5" s="315">
        <f t="shared" ref="AA5:AC5" si="12">INT(4.5/150*AA30)</f>
        <v>0</v>
      </c>
      <c r="AB5" s="315">
        <f t="shared" si="12"/>
        <v>0</v>
      </c>
      <c r="AC5" s="315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319">
        <f>(AD5+AE5)/材料产出!$J$1</f>
        <v>0</v>
      </c>
      <c r="AG5" s="319">
        <f>(AD5+AE5)/材料产出!$J$1</f>
        <v>0</v>
      </c>
      <c r="AH5" s="319">
        <f>(AD5+AE5)/材料产出!$J$1</f>
        <v>0</v>
      </c>
      <c r="AI5" s="319">
        <f>(AD5+AE5)/材料产出!$J$1</f>
        <v>0</v>
      </c>
      <c r="AJ5" s="321">
        <f t="shared" ref="AJ5:AJ30" si="13">X5</f>
        <v>2</v>
      </c>
      <c r="AK5" s="321">
        <v>0</v>
      </c>
      <c r="AL5" s="321">
        <v>0</v>
      </c>
      <c r="AM5" s="321">
        <v>0</v>
      </c>
      <c r="AN5" s="321">
        <v>0</v>
      </c>
      <c r="AO5" s="321">
        <v>0</v>
      </c>
      <c r="AP5" s="321">
        <v>0</v>
      </c>
      <c r="AQ5" s="321">
        <v>0</v>
      </c>
      <c r="AR5" s="321">
        <v>0</v>
      </c>
      <c r="AS5" s="321">
        <v>0</v>
      </c>
      <c r="AT5" s="321">
        <v>0</v>
      </c>
      <c r="AU5" s="321">
        <v>0</v>
      </c>
      <c r="AV5" s="321">
        <v>0</v>
      </c>
      <c r="AW5" s="321">
        <v>0</v>
      </c>
      <c r="AX5" s="321">
        <v>0</v>
      </c>
      <c r="AY5" s="321">
        <v>0</v>
      </c>
      <c r="AZ5" s="321">
        <v>0</v>
      </c>
      <c r="BA5" s="321">
        <v>0</v>
      </c>
      <c r="BB5" s="321">
        <v>0</v>
      </c>
      <c r="BC5" s="321">
        <v>0</v>
      </c>
      <c r="BD5" s="321">
        <v>0</v>
      </c>
      <c r="BE5" s="321">
        <v>0</v>
      </c>
      <c r="BF5" s="321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315">
        <f>INT(6/150*Z30)</f>
        <v>0</v>
      </c>
      <c r="AA6" s="315">
        <f t="shared" ref="AA6:AC6" si="14">INT(6/150*AA30)</f>
        <v>0</v>
      </c>
      <c r="AB6" s="315">
        <f t="shared" si="14"/>
        <v>0</v>
      </c>
      <c r="AC6" s="315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319">
        <f>(AD6+AE6)/材料产出!$J$1</f>
        <v>0</v>
      </c>
      <c r="AG6" s="319">
        <f>(AD6+AE6)/材料产出!$J$1</f>
        <v>0</v>
      </c>
      <c r="AH6" s="319">
        <f>(AD6+AE6)/材料产出!$J$1</f>
        <v>0</v>
      </c>
      <c r="AI6" s="319">
        <f>(AD6+AE6)/材料产出!$J$1</f>
        <v>0</v>
      </c>
      <c r="AJ6" s="321">
        <f t="shared" si="13"/>
        <v>3</v>
      </c>
      <c r="AK6" s="321">
        <v>0</v>
      </c>
      <c r="AL6" s="321">
        <v>0</v>
      </c>
      <c r="AM6" s="321">
        <v>0</v>
      </c>
      <c r="AN6" s="321">
        <v>0</v>
      </c>
      <c r="AO6" s="321">
        <v>0</v>
      </c>
      <c r="AP6" s="321">
        <v>0</v>
      </c>
      <c r="AQ6" s="321">
        <v>0</v>
      </c>
      <c r="AR6" s="321">
        <v>0</v>
      </c>
      <c r="AS6" s="321">
        <v>0</v>
      </c>
      <c r="AT6" s="321">
        <v>0</v>
      </c>
      <c r="AU6" s="321">
        <v>0</v>
      </c>
      <c r="AV6" s="321">
        <v>0</v>
      </c>
      <c r="AW6" s="321">
        <v>0</v>
      </c>
      <c r="AX6" s="321">
        <v>0</v>
      </c>
      <c r="AY6" s="321">
        <v>0</v>
      </c>
      <c r="AZ6" s="321">
        <v>0</v>
      </c>
      <c r="BA6" s="321">
        <v>0</v>
      </c>
      <c r="BB6" s="321">
        <v>0</v>
      </c>
      <c r="BC6" s="321">
        <v>0</v>
      </c>
      <c r="BD6" s="321">
        <v>0</v>
      </c>
      <c r="BE6" s="321">
        <v>0</v>
      </c>
      <c r="BF6" s="321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315">
        <f>INT(7.5/150*Z30)</f>
        <v>0</v>
      </c>
      <c r="AA7" s="315">
        <f t="shared" ref="AA7:AC7" si="15">INT(7.5/150*AA30)</f>
        <v>0</v>
      </c>
      <c r="AB7" s="315">
        <f t="shared" si="15"/>
        <v>0</v>
      </c>
      <c r="AC7" s="315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319">
        <f>(AD7+AE7)/材料产出!$J$1</f>
        <v>0</v>
      </c>
      <c r="AG7" s="319">
        <f>(AD7+AE7)/材料产出!$J$1</f>
        <v>0</v>
      </c>
      <c r="AH7" s="319">
        <f>(AD7+AE7)/材料产出!$J$1</f>
        <v>0</v>
      </c>
      <c r="AI7" s="319">
        <f>(AD7+AE7)/材料产出!$J$1</f>
        <v>0</v>
      </c>
      <c r="AJ7" s="321">
        <f t="shared" si="13"/>
        <v>4</v>
      </c>
      <c r="AK7" s="321">
        <v>0</v>
      </c>
      <c r="AL7" s="321">
        <v>0</v>
      </c>
      <c r="AM7" s="321">
        <v>0</v>
      </c>
      <c r="AN7" s="321">
        <v>0</v>
      </c>
      <c r="AO7" s="321">
        <v>0</v>
      </c>
      <c r="AP7" s="321">
        <v>0</v>
      </c>
      <c r="AQ7" s="321">
        <v>0</v>
      </c>
      <c r="AR7" s="321">
        <v>0</v>
      </c>
      <c r="AS7" s="321">
        <v>0</v>
      </c>
      <c r="AT7" s="321">
        <v>0</v>
      </c>
      <c r="AU7" s="321">
        <v>0</v>
      </c>
      <c r="AV7" s="321">
        <v>0</v>
      </c>
      <c r="AW7" s="321">
        <v>0</v>
      </c>
      <c r="AX7" s="321">
        <v>0</v>
      </c>
      <c r="AY7" s="321">
        <v>0</v>
      </c>
      <c r="AZ7" s="321">
        <v>0</v>
      </c>
      <c r="BA7" s="321">
        <v>0</v>
      </c>
      <c r="BB7" s="321">
        <v>0</v>
      </c>
      <c r="BC7" s="321">
        <v>0</v>
      </c>
      <c r="BD7" s="321">
        <v>0</v>
      </c>
      <c r="BE7" s="321">
        <v>0</v>
      </c>
      <c r="BF7" s="321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315">
        <f>INT(9.75/150*Z30)</f>
        <v>0</v>
      </c>
      <c r="AA8" s="315">
        <f t="shared" ref="AA8:AC8" si="16">INT(9.75/150*AA30)</f>
        <v>0</v>
      </c>
      <c r="AB8" s="315">
        <f t="shared" si="16"/>
        <v>0</v>
      </c>
      <c r="AC8" s="315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319">
        <f>(AD8+AE8)/材料产出!$J$1</f>
        <v>0</v>
      </c>
      <c r="AG8" s="319">
        <f>(AD8+AE8)/材料产出!$J$1</f>
        <v>0</v>
      </c>
      <c r="AH8" s="319">
        <f>(AD8+AE8)/材料产出!$J$1</f>
        <v>0</v>
      </c>
      <c r="AI8" s="319">
        <f>(AD8+AE8)/材料产出!$J$1</f>
        <v>0</v>
      </c>
      <c r="AJ8" s="321">
        <f t="shared" si="13"/>
        <v>5</v>
      </c>
      <c r="AK8" s="321">
        <v>0</v>
      </c>
      <c r="AL8" s="321">
        <v>0</v>
      </c>
      <c r="AM8" s="321">
        <v>0</v>
      </c>
      <c r="AN8" s="321">
        <v>0</v>
      </c>
      <c r="AO8" s="321">
        <v>0</v>
      </c>
      <c r="AP8" s="321">
        <v>0</v>
      </c>
      <c r="AQ8" s="321">
        <v>0</v>
      </c>
      <c r="AR8" s="321">
        <v>0</v>
      </c>
      <c r="AS8" s="321">
        <v>0</v>
      </c>
      <c r="AT8" s="321">
        <v>0</v>
      </c>
      <c r="AU8" s="321">
        <v>0</v>
      </c>
      <c r="AV8" s="321">
        <v>0</v>
      </c>
      <c r="AW8" s="321">
        <v>0</v>
      </c>
      <c r="AX8" s="321">
        <v>0</v>
      </c>
      <c r="AY8" s="321">
        <v>0</v>
      </c>
      <c r="AZ8" s="321">
        <v>0</v>
      </c>
      <c r="BA8" s="321">
        <v>0</v>
      </c>
      <c r="BB8" s="321">
        <v>0</v>
      </c>
      <c r="BC8" s="321">
        <v>0</v>
      </c>
      <c r="BD8" s="321">
        <v>0</v>
      </c>
      <c r="BE8" s="321">
        <v>0</v>
      </c>
      <c r="BF8" s="321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315">
        <f>INT(12/150*Z30)</f>
        <v>0</v>
      </c>
      <c r="AA9" s="315">
        <f t="shared" ref="AA9:AC9" si="17">INT(12/150*AA30)</f>
        <v>0</v>
      </c>
      <c r="AB9" s="315">
        <f t="shared" si="17"/>
        <v>0</v>
      </c>
      <c r="AC9" s="315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319">
        <f>(AD9+AE9)/材料产出!$J$1</f>
        <v>0</v>
      </c>
      <c r="AG9" s="319">
        <f>(AD9+AE9)/材料产出!$J$1</f>
        <v>0</v>
      </c>
      <c r="AH9" s="319">
        <f>(AD9+AE9)/材料产出!$J$1</f>
        <v>0</v>
      </c>
      <c r="AI9" s="319">
        <f>(AD9+AE9)/材料产出!$J$1</f>
        <v>0</v>
      </c>
      <c r="AJ9" s="321">
        <f t="shared" si="13"/>
        <v>6</v>
      </c>
      <c r="AK9" s="321">
        <v>0</v>
      </c>
      <c r="AL9" s="321">
        <v>0</v>
      </c>
      <c r="AM9" s="321">
        <v>0</v>
      </c>
      <c r="AN9" s="321">
        <v>0</v>
      </c>
      <c r="AO9" s="321">
        <v>0</v>
      </c>
      <c r="AP9" s="321">
        <v>0</v>
      </c>
      <c r="AQ9" s="321">
        <v>0</v>
      </c>
      <c r="AR9" s="321">
        <v>0</v>
      </c>
      <c r="AS9" s="321">
        <v>0</v>
      </c>
      <c r="AT9" s="321">
        <v>0</v>
      </c>
      <c r="AU9" s="321">
        <v>0</v>
      </c>
      <c r="AV9" s="321">
        <v>0</v>
      </c>
      <c r="AW9" s="321">
        <v>0</v>
      </c>
      <c r="AX9" s="321">
        <v>0</v>
      </c>
      <c r="AY9" s="321">
        <v>0</v>
      </c>
      <c r="AZ9" s="321">
        <v>0</v>
      </c>
      <c r="BA9" s="321">
        <v>0</v>
      </c>
      <c r="BB9" s="321">
        <v>0</v>
      </c>
      <c r="BC9" s="321">
        <v>0</v>
      </c>
      <c r="BD9" s="321">
        <v>0</v>
      </c>
      <c r="BE9" s="321">
        <v>0</v>
      </c>
      <c r="BF9" s="321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315">
        <f>INT(14.25/150*Z30)</f>
        <v>0</v>
      </c>
      <c r="AA10" s="315">
        <f t="shared" ref="AA10:AC10" si="18">INT(14.25/150*AA30)</f>
        <v>0</v>
      </c>
      <c r="AB10" s="315">
        <f t="shared" si="18"/>
        <v>0</v>
      </c>
      <c r="AC10" s="315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319">
        <f>(AD10+AE10)/材料产出!$J$1</f>
        <v>0</v>
      </c>
      <c r="AG10" s="319">
        <f>(AD10+AE10)/材料产出!$J$1</f>
        <v>0</v>
      </c>
      <c r="AH10" s="319">
        <f>(AD10+AE10)/材料产出!$J$1</f>
        <v>0</v>
      </c>
      <c r="AI10" s="319">
        <f>(AD10+AE10)/材料产出!$J$1</f>
        <v>0</v>
      </c>
      <c r="AJ10" s="321">
        <f t="shared" si="13"/>
        <v>7</v>
      </c>
      <c r="AK10" s="321">
        <v>0</v>
      </c>
      <c r="AL10" s="321">
        <v>0</v>
      </c>
      <c r="AM10" s="321">
        <v>0</v>
      </c>
      <c r="AN10" s="321">
        <v>0</v>
      </c>
      <c r="AO10" s="321">
        <v>0</v>
      </c>
      <c r="AP10" s="321">
        <v>0</v>
      </c>
      <c r="AQ10" s="321">
        <v>0</v>
      </c>
      <c r="AR10" s="321">
        <v>0</v>
      </c>
      <c r="AS10" s="321">
        <v>0</v>
      </c>
      <c r="AT10" s="321">
        <v>0</v>
      </c>
      <c r="AU10" s="321">
        <v>0</v>
      </c>
      <c r="AV10" s="321">
        <v>0</v>
      </c>
      <c r="AW10" s="321">
        <v>0</v>
      </c>
      <c r="AX10" s="321">
        <v>0</v>
      </c>
      <c r="AY10" s="321">
        <v>0</v>
      </c>
      <c r="AZ10" s="321">
        <v>0</v>
      </c>
      <c r="BA10" s="321">
        <v>0</v>
      </c>
      <c r="BB10" s="321">
        <v>0</v>
      </c>
      <c r="BC10" s="321">
        <v>0</v>
      </c>
      <c r="BD10" s="321">
        <v>0</v>
      </c>
      <c r="BE10" s="321">
        <v>0</v>
      </c>
      <c r="BF10" s="321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315">
        <f>INT(16.5/150*Z30)</f>
        <v>0</v>
      </c>
      <c r="AA11" s="315">
        <f t="shared" ref="AA11:AC11" si="19">INT(16.5/150*AA30)</f>
        <v>0</v>
      </c>
      <c r="AB11" s="315">
        <f t="shared" si="19"/>
        <v>0</v>
      </c>
      <c r="AC11" s="315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319">
        <f>(AD11+AE11)/材料产出!$J$1</f>
        <v>0</v>
      </c>
      <c r="AG11" s="319">
        <f>(AD11+AE11)/材料产出!$J$1</f>
        <v>0</v>
      </c>
      <c r="AH11" s="319">
        <f>(AD11+AE11)/材料产出!$J$1</f>
        <v>0</v>
      </c>
      <c r="AI11" s="319">
        <f>(AD11+AE11)/材料产出!$J$1</f>
        <v>0</v>
      </c>
      <c r="AJ11" s="321">
        <f t="shared" si="13"/>
        <v>8</v>
      </c>
      <c r="AK11" s="321">
        <v>0</v>
      </c>
      <c r="AL11" s="321">
        <v>0</v>
      </c>
      <c r="AM11" s="321">
        <v>0</v>
      </c>
      <c r="AN11" s="321">
        <v>0</v>
      </c>
      <c r="AO11" s="321">
        <v>0</v>
      </c>
      <c r="AP11" s="321">
        <v>0</v>
      </c>
      <c r="AQ11" s="321">
        <v>0</v>
      </c>
      <c r="AR11" s="321">
        <v>0</v>
      </c>
      <c r="AS11" s="321">
        <v>0</v>
      </c>
      <c r="AT11" s="321">
        <v>0</v>
      </c>
      <c r="AU11" s="321">
        <v>0</v>
      </c>
      <c r="AV11" s="321">
        <v>0</v>
      </c>
      <c r="AW11" s="321">
        <v>0</v>
      </c>
      <c r="AX11" s="321">
        <v>0</v>
      </c>
      <c r="AY11" s="321">
        <v>0</v>
      </c>
      <c r="AZ11" s="321">
        <v>0</v>
      </c>
      <c r="BA11" s="321">
        <v>0</v>
      </c>
      <c r="BB11" s="321">
        <v>0</v>
      </c>
      <c r="BC11" s="321">
        <v>0</v>
      </c>
      <c r="BD11" s="321">
        <v>0</v>
      </c>
      <c r="BE11" s="321">
        <v>0</v>
      </c>
      <c r="BF11" s="321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315">
        <f>INT(21/150*Z30)</f>
        <v>0</v>
      </c>
      <c r="AA12" s="315">
        <f t="shared" ref="AA12:AC12" si="20">INT(21/150*AA30)</f>
        <v>0</v>
      </c>
      <c r="AB12" s="315">
        <f t="shared" si="20"/>
        <v>0</v>
      </c>
      <c r="AC12" s="315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319">
        <f>(AD12+AE12)/材料产出!$J$1</f>
        <v>0</v>
      </c>
      <c r="AG12" s="319">
        <f>(AD12+AE12)/材料产出!$J$1</f>
        <v>0</v>
      </c>
      <c r="AH12" s="319">
        <f>(AD12+AE12)/材料产出!$J$1</f>
        <v>0</v>
      </c>
      <c r="AI12" s="319">
        <f>(AD12+AE12)/材料产出!$J$1</f>
        <v>0</v>
      </c>
      <c r="AJ12" s="321">
        <f t="shared" si="13"/>
        <v>9</v>
      </c>
      <c r="AK12" s="321">
        <v>0</v>
      </c>
      <c r="AL12" s="321">
        <v>0</v>
      </c>
      <c r="AM12" s="321">
        <v>0</v>
      </c>
      <c r="AN12" s="321">
        <v>0</v>
      </c>
      <c r="AO12" s="321">
        <v>0</v>
      </c>
      <c r="AP12" s="321">
        <v>0</v>
      </c>
      <c r="AQ12" s="321">
        <v>0</v>
      </c>
      <c r="AR12" s="321">
        <v>0</v>
      </c>
      <c r="AS12" s="321">
        <v>0</v>
      </c>
      <c r="AT12" s="321">
        <v>0</v>
      </c>
      <c r="AU12" s="321">
        <v>0</v>
      </c>
      <c r="AV12" s="321">
        <v>0</v>
      </c>
      <c r="AW12" s="321">
        <v>0</v>
      </c>
      <c r="AX12" s="321">
        <v>0</v>
      </c>
      <c r="AY12" s="321">
        <v>0</v>
      </c>
      <c r="AZ12" s="321">
        <v>0</v>
      </c>
      <c r="BA12" s="321">
        <v>0</v>
      </c>
      <c r="BB12" s="321">
        <v>0</v>
      </c>
      <c r="BC12" s="321">
        <v>0</v>
      </c>
      <c r="BD12" s="321">
        <v>0</v>
      </c>
      <c r="BE12" s="321">
        <v>0</v>
      </c>
      <c r="BF12" s="321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315">
        <f>INT(27/150*Z30)</f>
        <v>0</v>
      </c>
      <c r="AA13" s="315">
        <f t="shared" ref="AA13:AC13" si="21">INT(27/150*AA30)</f>
        <v>0</v>
      </c>
      <c r="AB13" s="315">
        <f t="shared" si="21"/>
        <v>0</v>
      </c>
      <c r="AC13" s="315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319">
        <f>(AD13+AE13)/材料产出!$J$1</f>
        <v>0</v>
      </c>
      <c r="AG13" s="319">
        <f>(AD13+AE13)/材料产出!$J$1</f>
        <v>0</v>
      </c>
      <c r="AH13" s="319">
        <f>(AD13+AE13)/材料产出!$J$1</f>
        <v>0</v>
      </c>
      <c r="AI13" s="319">
        <f>(AD13+AE13)/材料产出!$J$1</f>
        <v>0</v>
      </c>
      <c r="AJ13" s="321">
        <f t="shared" si="13"/>
        <v>10</v>
      </c>
      <c r="AK13" s="321">
        <v>0</v>
      </c>
      <c r="AL13" s="321">
        <v>0</v>
      </c>
      <c r="AM13" s="321">
        <v>0</v>
      </c>
      <c r="AN13" s="321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321">
        <v>0</v>
      </c>
      <c r="AY13" s="321">
        <v>0</v>
      </c>
      <c r="AZ13" s="321">
        <v>0</v>
      </c>
      <c r="BA13" s="321">
        <v>0</v>
      </c>
      <c r="BB13" s="321">
        <v>0</v>
      </c>
      <c r="BC13" s="321">
        <v>0</v>
      </c>
      <c r="BD13" s="321">
        <v>0</v>
      </c>
      <c r="BE13" s="321">
        <v>0</v>
      </c>
      <c r="BF13" s="321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315">
        <f>INT(33/150*Z30)</f>
        <v>0</v>
      </c>
      <c r="AA14" s="315">
        <f t="shared" ref="AA14:AC14" si="22">INT(33/150*AA30)</f>
        <v>0</v>
      </c>
      <c r="AB14" s="315">
        <f t="shared" si="22"/>
        <v>0</v>
      </c>
      <c r="AC14" s="315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319">
        <f>(AD14+AE14)/材料产出!$J$1</f>
        <v>0</v>
      </c>
      <c r="AG14" s="319">
        <f>(AD14+AE14)/材料产出!$J$1</f>
        <v>0</v>
      </c>
      <c r="AH14" s="319">
        <f>(AD14+AE14)/材料产出!$J$1</f>
        <v>0</v>
      </c>
      <c r="AI14" s="319">
        <f>(AD14+AE14)/材料产出!$J$1</f>
        <v>0</v>
      </c>
      <c r="AJ14" s="321">
        <f t="shared" si="13"/>
        <v>11</v>
      </c>
      <c r="AK14" s="321">
        <v>0</v>
      </c>
      <c r="AL14" s="321">
        <v>0</v>
      </c>
      <c r="AM14" s="321">
        <v>0</v>
      </c>
      <c r="AN14" s="321">
        <v>0</v>
      </c>
      <c r="AO14" s="321">
        <v>0</v>
      </c>
      <c r="AP14" s="321">
        <v>0</v>
      </c>
      <c r="AQ14" s="321">
        <v>0</v>
      </c>
      <c r="AR14" s="321">
        <v>0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321">
        <v>0</v>
      </c>
      <c r="AY14" s="321">
        <v>0</v>
      </c>
      <c r="AZ14" s="321">
        <v>0</v>
      </c>
      <c r="BA14" s="321">
        <v>0</v>
      </c>
      <c r="BB14" s="321">
        <v>0</v>
      </c>
      <c r="BC14" s="321">
        <v>0</v>
      </c>
      <c r="BD14" s="321">
        <v>0</v>
      </c>
      <c r="BE14" s="321">
        <v>0</v>
      </c>
      <c r="BF14" s="321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315">
        <f>INT(38.25/150*Z30)</f>
        <v>0</v>
      </c>
      <c r="AA15" s="315">
        <f t="shared" ref="AA15:AC15" si="23">INT(38.25/150*AA30)</f>
        <v>0</v>
      </c>
      <c r="AB15" s="315">
        <f t="shared" si="23"/>
        <v>0</v>
      </c>
      <c r="AC15" s="315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319">
        <f>(AD15+AE15)/材料产出!$J$1</f>
        <v>0</v>
      </c>
      <c r="AG15" s="319">
        <f>(AD15+AE15)/材料产出!$J$1</f>
        <v>0</v>
      </c>
      <c r="AH15" s="319">
        <f>(AD15+AE15)/材料产出!$J$1</f>
        <v>0</v>
      </c>
      <c r="AI15" s="319">
        <f>(AD15+AE15)/材料产出!$J$1</f>
        <v>0</v>
      </c>
      <c r="AJ15" s="321">
        <f t="shared" si="13"/>
        <v>12</v>
      </c>
      <c r="AK15" s="321">
        <v>0</v>
      </c>
      <c r="AL15" s="321">
        <v>0</v>
      </c>
      <c r="AM15" s="321">
        <v>0</v>
      </c>
      <c r="AN15" s="321">
        <v>0</v>
      </c>
      <c r="AO15" s="321">
        <v>0</v>
      </c>
      <c r="AP15" s="321">
        <v>0</v>
      </c>
      <c r="AQ15" s="321">
        <v>0</v>
      </c>
      <c r="AR15" s="321">
        <v>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321">
        <v>0</v>
      </c>
      <c r="AY15" s="321">
        <v>0</v>
      </c>
      <c r="AZ15" s="321">
        <v>0</v>
      </c>
      <c r="BA15" s="321">
        <v>0</v>
      </c>
      <c r="BB15" s="321">
        <v>0</v>
      </c>
      <c r="BC15" s="321">
        <v>0</v>
      </c>
      <c r="BD15" s="321">
        <v>0</v>
      </c>
      <c r="BE15" s="321">
        <v>0</v>
      </c>
      <c r="BF15" s="321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315">
        <f>INT(43.5/150*Z30)</f>
        <v>0</v>
      </c>
      <c r="AA16" s="315">
        <f t="shared" ref="AA16:AC16" si="24">INT(43.5/150*AA30)</f>
        <v>0</v>
      </c>
      <c r="AB16" s="315">
        <f t="shared" si="24"/>
        <v>0</v>
      </c>
      <c r="AC16" s="315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319">
        <f>(AD16+AE16)/材料产出!$J$1</f>
        <v>0</v>
      </c>
      <c r="AG16" s="319">
        <f>(AD16+AE16)/材料产出!$J$1</f>
        <v>0</v>
      </c>
      <c r="AH16" s="319">
        <f>(AD16+AE16)/材料产出!$J$1</f>
        <v>0</v>
      </c>
      <c r="AI16" s="319">
        <f>(AD16+AE16)/材料产出!$J$1</f>
        <v>0</v>
      </c>
      <c r="AJ16" s="321">
        <f t="shared" si="13"/>
        <v>13</v>
      </c>
      <c r="AK16" s="321">
        <v>0</v>
      </c>
      <c r="AL16" s="321">
        <v>0</v>
      </c>
      <c r="AM16" s="321">
        <v>0</v>
      </c>
      <c r="AN16" s="321">
        <v>0</v>
      </c>
      <c r="AO16" s="321">
        <v>0</v>
      </c>
      <c r="AP16" s="321">
        <v>0</v>
      </c>
      <c r="AQ16" s="321">
        <v>0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321">
        <v>0</v>
      </c>
      <c r="AY16" s="321">
        <v>0</v>
      </c>
      <c r="AZ16" s="321">
        <v>0</v>
      </c>
      <c r="BA16" s="321">
        <v>0</v>
      </c>
      <c r="BB16" s="321">
        <v>0</v>
      </c>
      <c r="BC16" s="321">
        <v>0</v>
      </c>
      <c r="BD16" s="321">
        <v>0</v>
      </c>
      <c r="BE16" s="321">
        <v>0</v>
      </c>
      <c r="BF16" s="321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315">
        <f>INT(48/150*Z30)</f>
        <v>0</v>
      </c>
      <c r="AA17" s="315">
        <f t="shared" ref="AA17:AC17" si="25">INT(48/150*AA30)</f>
        <v>0</v>
      </c>
      <c r="AB17" s="315">
        <f t="shared" si="25"/>
        <v>0</v>
      </c>
      <c r="AC17" s="315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319">
        <f>(AD17+AE17)/材料产出!$J$1</f>
        <v>0</v>
      </c>
      <c r="AG17" s="319">
        <f>(AD17+AE17)/材料产出!$J$1</f>
        <v>0</v>
      </c>
      <c r="AH17" s="319">
        <f>(AD17+AE17)/材料产出!$J$1</f>
        <v>0</v>
      </c>
      <c r="AI17" s="319">
        <f>(AD17+AE17)/材料产出!$J$1</f>
        <v>0</v>
      </c>
      <c r="AJ17" s="321">
        <f t="shared" si="13"/>
        <v>14</v>
      </c>
      <c r="AK17" s="321">
        <v>0</v>
      </c>
      <c r="AL17" s="321">
        <v>0</v>
      </c>
      <c r="AM17" s="321">
        <v>0</v>
      </c>
      <c r="AN17" s="321">
        <v>0</v>
      </c>
      <c r="AO17" s="321">
        <v>0</v>
      </c>
      <c r="AP17" s="321">
        <v>0</v>
      </c>
      <c r="AQ17" s="321">
        <v>0</v>
      </c>
      <c r="AR17" s="321">
        <v>0</v>
      </c>
      <c r="AS17" s="321">
        <v>0</v>
      </c>
      <c r="AT17" s="321">
        <v>0</v>
      </c>
      <c r="AU17" s="321">
        <v>0</v>
      </c>
      <c r="AV17" s="321">
        <v>0</v>
      </c>
      <c r="AW17" s="321">
        <v>0</v>
      </c>
      <c r="AX17" s="321">
        <v>0</v>
      </c>
      <c r="AY17" s="321">
        <v>0</v>
      </c>
      <c r="AZ17" s="321">
        <v>0</v>
      </c>
      <c r="BA17" s="321">
        <v>0</v>
      </c>
      <c r="BB17" s="321">
        <v>0</v>
      </c>
      <c r="BC17" s="321">
        <v>0</v>
      </c>
      <c r="BD17" s="321">
        <v>0</v>
      </c>
      <c r="BE17" s="321">
        <v>0</v>
      </c>
      <c r="BF17" s="321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315">
        <f>INT(52.5/150*Z30)</f>
        <v>0</v>
      </c>
      <c r="AA18" s="315">
        <f t="shared" ref="AA18:AC18" si="26">INT(52.5/150*AA30)</f>
        <v>0</v>
      </c>
      <c r="AB18" s="315">
        <f t="shared" si="26"/>
        <v>0</v>
      </c>
      <c r="AC18" s="315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319">
        <f>(AD18+AE18)/材料产出!$J$1</f>
        <v>0</v>
      </c>
      <c r="AG18" s="319">
        <f>(AD18+AE18)/材料产出!$J$1</f>
        <v>0</v>
      </c>
      <c r="AH18" s="319">
        <f>(AD18+AE18)/材料产出!$J$1</f>
        <v>0</v>
      </c>
      <c r="AI18" s="319">
        <f>(AD18+AE18)/材料产出!$J$1</f>
        <v>0</v>
      </c>
      <c r="AJ18" s="321">
        <f t="shared" si="13"/>
        <v>15</v>
      </c>
      <c r="AK18" s="321">
        <v>0</v>
      </c>
      <c r="AL18" s="321">
        <v>0</v>
      </c>
      <c r="AM18" s="321">
        <v>0</v>
      </c>
      <c r="AN18" s="321">
        <v>0</v>
      </c>
      <c r="AO18" s="321">
        <v>0</v>
      </c>
      <c r="AP18" s="321">
        <v>0</v>
      </c>
      <c r="AQ18" s="321">
        <v>0</v>
      </c>
      <c r="AR18" s="321">
        <v>0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321">
        <v>0</v>
      </c>
      <c r="AY18" s="321">
        <v>0</v>
      </c>
      <c r="AZ18" s="321">
        <v>0</v>
      </c>
      <c r="BA18" s="321">
        <v>0</v>
      </c>
      <c r="BB18" s="321">
        <v>0</v>
      </c>
      <c r="BC18" s="321">
        <v>0</v>
      </c>
      <c r="BD18" s="321">
        <v>0</v>
      </c>
      <c r="BE18" s="321">
        <v>0</v>
      </c>
      <c r="BF18" s="321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315">
        <f>INT(56.25/150*Z30)</f>
        <v>0</v>
      </c>
      <c r="AA19" s="315">
        <f t="shared" ref="AA19:AC19" si="27">INT(56.25/150*AA30)</f>
        <v>0</v>
      </c>
      <c r="AB19" s="315">
        <f t="shared" si="27"/>
        <v>0</v>
      </c>
      <c r="AC19" s="315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319">
        <f>(AD19+AE19)/材料产出!$J$1</f>
        <v>0</v>
      </c>
      <c r="AG19" s="319">
        <f>(AD19+AE19)/材料产出!$J$1</f>
        <v>0</v>
      </c>
      <c r="AH19" s="319">
        <f>(AD19+AE19)/材料产出!$J$1</f>
        <v>0</v>
      </c>
      <c r="AI19" s="319">
        <f>(AD19+AE19)/材料产出!$J$1</f>
        <v>0</v>
      </c>
      <c r="AJ19" s="321">
        <f t="shared" si="13"/>
        <v>16</v>
      </c>
      <c r="AK19" s="321">
        <v>0</v>
      </c>
      <c r="AL19" s="321">
        <v>0</v>
      </c>
      <c r="AM19" s="321">
        <v>0</v>
      </c>
      <c r="AN19" s="321">
        <v>0</v>
      </c>
      <c r="AO19" s="321">
        <v>0</v>
      </c>
      <c r="AP19" s="321">
        <v>0</v>
      </c>
      <c r="AQ19" s="321">
        <v>0</v>
      </c>
      <c r="AR19" s="321">
        <v>0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321">
        <v>0</v>
      </c>
      <c r="AY19" s="321">
        <v>0</v>
      </c>
      <c r="AZ19" s="321">
        <v>0</v>
      </c>
      <c r="BA19" s="321">
        <v>0</v>
      </c>
      <c r="BB19" s="321">
        <v>0</v>
      </c>
      <c r="BC19" s="321">
        <v>0</v>
      </c>
      <c r="BD19" s="321">
        <v>0</v>
      </c>
      <c r="BE19" s="321">
        <v>0</v>
      </c>
      <c r="BF19" s="321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315">
        <f>INT(60/150*Z30)</f>
        <v>0</v>
      </c>
      <c r="AA20" s="315">
        <f t="shared" ref="AA20:AC20" si="28">INT(60/150*AA30)</f>
        <v>0</v>
      </c>
      <c r="AB20" s="315">
        <f t="shared" si="28"/>
        <v>0</v>
      </c>
      <c r="AC20" s="315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319">
        <f>(AD20+AE20)/材料产出!$J$1</f>
        <v>0</v>
      </c>
      <c r="AG20" s="319">
        <f>(AD20+AE20)/材料产出!$J$1</f>
        <v>0</v>
      </c>
      <c r="AH20" s="319">
        <f>(AD20+AE20)/材料产出!$J$1</f>
        <v>0</v>
      </c>
      <c r="AI20" s="319">
        <f>(AD20+AE20)/材料产出!$J$1</f>
        <v>0</v>
      </c>
      <c r="AJ20" s="321">
        <f t="shared" si="13"/>
        <v>17</v>
      </c>
      <c r="AK20" s="321">
        <v>0</v>
      </c>
      <c r="AL20" s="321">
        <v>0</v>
      </c>
      <c r="AM20" s="321">
        <v>0</v>
      </c>
      <c r="AN20" s="321">
        <v>0</v>
      </c>
      <c r="AO20" s="321">
        <v>0</v>
      </c>
      <c r="AP20" s="321">
        <v>0</v>
      </c>
      <c r="AQ20" s="321">
        <v>0</v>
      </c>
      <c r="AR20" s="321">
        <v>0</v>
      </c>
      <c r="AS20" s="321">
        <v>0</v>
      </c>
      <c r="AT20" s="321">
        <v>0</v>
      </c>
      <c r="AU20" s="321">
        <v>0</v>
      </c>
      <c r="AV20" s="321">
        <v>0</v>
      </c>
      <c r="AW20" s="321">
        <v>0</v>
      </c>
      <c r="AX20" s="321">
        <v>0</v>
      </c>
      <c r="AY20" s="321">
        <v>0</v>
      </c>
      <c r="AZ20" s="321">
        <v>0</v>
      </c>
      <c r="BA20" s="321">
        <v>0</v>
      </c>
      <c r="BB20" s="321">
        <v>0</v>
      </c>
      <c r="BC20" s="321">
        <v>0</v>
      </c>
      <c r="BD20" s="321">
        <v>0</v>
      </c>
      <c r="BE20" s="321">
        <v>0</v>
      </c>
      <c r="BF20" s="321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315">
        <f>INT(66/150*Z30)</f>
        <v>0</v>
      </c>
      <c r="AA21" s="315">
        <f t="shared" ref="AA21:AC21" si="29">INT(66/150*AA30)</f>
        <v>0</v>
      </c>
      <c r="AB21" s="315">
        <f t="shared" si="29"/>
        <v>0</v>
      </c>
      <c r="AC21" s="315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319">
        <f>(AD21+AE21)/材料产出!$J$1</f>
        <v>0</v>
      </c>
      <c r="AG21" s="319">
        <f>(AD21+AE21)/材料产出!$J$1</f>
        <v>0</v>
      </c>
      <c r="AH21" s="319">
        <f>(AD21+AE21)/材料产出!$J$1</f>
        <v>0</v>
      </c>
      <c r="AI21" s="319">
        <f>(AD21+AE21)/材料产出!$J$1</f>
        <v>0</v>
      </c>
      <c r="AJ21" s="321">
        <f t="shared" si="13"/>
        <v>18</v>
      </c>
      <c r="AK21" s="321">
        <v>0</v>
      </c>
      <c r="AL21" s="321">
        <v>0</v>
      </c>
      <c r="AM21" s="321">
        <v>0</v>
      </c>
      <c r="AN21" s="321">
        <v>0</v>
      </c>
      <c r="AO21" s="321">
        <v>0</v>
      </c>
      <c r="AP21" s="321">
        <v>0</v>
      </c>
      <c r="AQ21" s="321">
        <v>0</v>
      </c>
      <c r="AR21" s="321">
        <v>0</v>
      </c>
      <c r="AS21" s="321">
        <v>0</v>
      </c>
      <c r="AT21" s="321">
        <v>0</v>
      </c>
      <c r="AU21" s="321">
        <v>0</v>
      </c>
      <c r="AV21" s="321">
        <v>0</v>
      </c>
      <c r="AW21" s="321">
        <v>0</v>
      </c>
      <c r="AX21" s="321">
        <v>0</v>
      </c>
      <c r="AY21" s="321">
        <v>0</v>
      </c>
      <c r="AZ21" s="321">
        <v>0</v>
      </c>
      <c r="BA21" s="321">
        <v>0</v>
      </c>
      <c r="BB21" s="321">
        <v>0</v>
      </c>
      <c r="BC21" s="321">
        <v>0</v>
      </c>
      <c r="BD21" s="321">
        <v>0</v>
      </c>
      <c r="BE21" s="321">
        <v>0</v>
      </c>
      <c r="BF21" s="321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315">
        <f>INT(72/150*Z30)</f>
        <v>0</v>
      </c>
      <c r="AA22" s="315">
        <f t="shared" ref="AA22:AC22" si="30">INT(72/150*AA30)</f>
        <v>0</v>
      </c>
      <c r="AB22" s="315">
        <f t="shared" si="30"/>
        <v>0</v>
      </c>
      <c r="AC22" s="315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319">
        <f>(AD22+AE22)/材料产出!$J$1</f>
        <v>0</v>
      </c>
      <c r="AG22" s="319">
        <f>(AD22+AE22)/材料产出!$J$1</f>
        <v>0</v>
      </c>
      <c r="AH22" s="319">
        <f>(AD22+AE22)/材料产出!$J$1</f>
        <v>0</v>
      </c>
      <c r="AI22" s="319">
        <f>(AD22+AE22)/材料产出!$J$1</f>
        <v>0</v>
      </c>
      <c r="AJ22" s="321">
        <f t="shared" si="13"/>
        <v>19</v>
      </c>
      <c r="AK22" s="321">
        <v>0</v>
      </c>
      <c r="AL22" s="321">
        <v>0</v>
      </c>
      <c r="AM22" s="321">
        <v>0</v>
      </c>
      <c r="AN22" s="321">
        <v>0</v>
      </c>
      <c r="AO22" s="321">
        <v>0</v>
      </c>
      <c r="AP22" s="321">
        <v>0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321">
        <v>0</v>
      </c>
      <c r="AY22" s="321">
        <v>0</v>
      </c>
      <c r="AZ22" s="321">
        <v>0</v>
      </c>
      <c r="BA22" s="321">
        <v>0</v>
      </c>
      <c r="BB22" s="321">
        <v>0</v>
      </c>
      <c r="BC22" s="321">
        <v>0</v>
      </c>
      <c r="BD22" s="321">
        <v>0</v>
      </c>
      <c r="BE22" s="321">
        <v>0</v>
      </c>
      <c r="BF22" s="321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315">
        <f>INT(79.5/150*Z30)</f>
        <v>0</v>
      </c>
      <c r="AA23" s="315">
        <f t="shared" ref="AA23:AB23" si="31">INT(79.5/150*AA30)</f>
        <v>0</v>
      </c>
      <c r="AB23" s="315">
        <f t="shared" si="31"/>
        <v>0</v>
      </c>
      <c r="AC23" s="315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319">
        <f>(AD23+AE23)/材料产出!$J$1</f>
        <v>0</v>
      </c>
      <c r="AG23" s="319">
        <f>(AD23+AE23)/材料产出!$J$1</f>
        <v>0</v>
      </c>
      <c r="AH23" s="319">
        <f>(AD23+AE23)/材料产出!$J$1</f>
        <v>0</v>
      </c>
      <c r="AI23" s="319">
        <f>(AD23+AE23)/材料产出!$J$1</f>
        <v>0</v>
      </c>
      <c r="AJ23" s="321">
        <f t="shared" si="13"/>
        <v>20</v>
      </c>
      <c r="AK23" s="321">
        <v>0</v>
      </c>
      <c r="AL23" s="321">
        <v>0</v>
      </c>
      <c r="AM23" s="321">
        <v>0</v>
      </c>
      <c r="AN23" s="321">
        <v>0</v>
      </c>
      <c r="AO23" s="321">
        <v>0</v>
      </c>
      <c r="AP23" s="321">
        <v>0</v>
      </c>
      <c r="AQ23" s="321">
        <v>0</v>
      </c>
      <c r="AR23" s="321">
        <v>0</v>
      </c>
      <c r="AS23" s="321">
        <v>0</v>
      </c>
      <c r="AT23" s="321">
        <v>0</v>
      </c>
      <c r="AU23" s="321">
        <v>0</v>
      </c>
      <c r="AV23" s="321">
        <v>0</v>
      </c>
      <c r="AW23" s="321">
        <v>0</v>
      </c>
      <c r="AX23" s="321">
        <v>0</v>
      </c>
      <c r="AY23" s="321">
        <v>0</v>
      </c>
      <c r="AZ23" s="321">
        <v>0</v>
      </c>
      <c r="BA23" s="321">
        <v>0</v>
      </c>
      <c r="BB23" s="321">
        <v>0</v>
      </c>
      <c r="BC23" s="321">
        <v>0</v>
      </c>
      <c r="BD23" s="321">
        <v>0</v>
      </c>
      <c r="BE23" s="321">
        <v>0</v>
      </c>
      <c r="BF23" s="321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315">
        <f>INT(87/150*Z30)</f>
        <v>0</v>
      </c>
      <c r="AA24" s="315">
        <f t="shared" ref="AA24:AC24" si="32">INT(87/150*AA30)</f>
        <v>0</v>
      </c>
      <c r="AB24" s="315">
        <f t="shared" si="32"/>
        <v>0</v>
      </c>
      <c r="AC24" s="315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319">
        <f>(AD24+AE24)/材料产出!$J$1</f>
        <v>0</v>
      </c>
      <c r="AG24" s="319">
        <f>(AD24+AE24)/材料产出!$J$1</f>
        <v>0</v>
      </c>
      <c r="AH24" s="319">
        <f>(AD24+AE24)/材料产出!$J$1</f>
        <v>0</v>
      </c>
      <c r="AI24" s="319">
        <f>(AD24+AE24)/材料产出!$J$1</f>
        <v>0</v>
      </c>
      <c r="AJ24" s="321">
        <f t="shared" si="13"/>
        <v>21</v>
      </c>
      <c r="AK24" s="321">
        <v>0</v>
      </c>
      <c r="AL24" s="321">
        <v>0</v>
      </c>
      <c r="AM24" s="321">
        <v>0</v>
      </c>
      <c r="AN24" s="321">
        <v>0</v>
      </c>
      <c r="AO24" s="321">
        <v>0</v>
      </c>
      <c r="AP24" s="321">
        <v>0</v>
      </c>
      <c r="AQ24" s="321">
        <v>0</v>
      </c>
      <c r="AR24" s="321">
        <v>0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321">
        <v>0</v>
      </c>
      <c r="AY24" s="321">
        <v>0</v>
      </c>
      <c r="AZ24" s="321">
        <v>0</v>
      </c>
      <c r="BA24" s="321">
        <v>0</v>
      </c>
      <c r="BB24" s="321">
        <v>0</v>
      </c>
      <c r="BC24" s="321">
        <v>0</v>
      </c>
      <c r="BD24" s="321">
        <v>0</v>
      </c>
      <c r="BE24" s="321">
        <v>0</v>
      </c>
      <c r="BF24" s="321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315">
        <f>INT(96/150*Z30)</f>
        <v>0</v>
      </c>
      <c r="AA25" s="315">
        <f t="shared" ref="AA25:AC25" si="33">INT(96/150*AA30)</f>
        <v>0</v>
      </c>
      <c r="AB25" s="315">
        <f t="shared" si="33"/>
        <v>0</v>
      </c>
      <c r="AC25" s="315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319">
        <f>(AD25+AE25)/材料产出!$J$1</f>
        <v>0</v>
      </c>
      <c r="AG25" s="319">
        <f>(AD25+AE25)/材料产出!$J$1</f>
        <v>0</v>
      </c>
      <c r="AH25" s="319">
        <f>(AD25+AE25)/材料产出!$J$1</f>
        <v>0</v>
      </c>
      <c r="AI25" s="319">
        <f>(AD25+AE25)/材料产出!$J$1</f>
        <v>0</v>
      </c>
      <c r="AJ25" s="321">
        <f t="shared" si="13"/>
        <v>22</v>
      </c>
      <c r="AK25" s="321">
        <v>0</v>
      </c>
      <c r="AL25" s="321">
        <v>0</v>
      </c>
      <c r="AM25" s="321">
        <v>0</v>
      </c>
      <c r="AN25" s="321">
        <v>0</v>
      </c>
      <c r="AO25" s="321">
        <v>0</v>
      </c>
      <c r="AP25" s="321">
        <v>0</v>
      </c>
      <c r="AQ25" s="321">
        <v>0</v>
      </c>
      <c r="AR25" s="321">
        <v>0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321">
        <v>0</v>
      </c>
      <c r="AY25" s="321">
        <v>0</v>
      </c>
      <c r="AZ25" s="321">
        <v>0</v>
      </c>
      <c r="BA25" s="321">
        <v>0</v>
      </c>
      <c r="BB25" s="321">
        <v>0</v>
      </c>
      <c r="BC25" s="321">
        <v>0</v>
      </c>
      <c r="BD25" s="321">
        <v>0</v>
      </c>
      <c r="BE25" s="321">
        <v>0</v>
      </c>
      <c r="BF25" s="321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315">
        <f>INT(105/150*Z30)</f>
        <v>0</v>
      </c>
      <c r="AA26" s="315">
        <f t="shared" ref="AA26:AC26" si="34">INT(105/150*AA30)</f>
        <v>0</v>
      </c>
      <c r="AB26" s="315">
        <f t="shared" si="34"/>
        <v>0</v>
      </c>
      <c r="AC26" s="315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319">
        <f>(AD26+AE26)/材料产出!$J$1</f>
        <v>0</v>
      </c>
      <c r="AG26" s="319">
        <f>(AD26+AE26)/材料产出!$J$1</f>
        <v>0</v>
      </c>
      <c r="AH26" s="319">
        <f>(AD26+AE26)/材料产出!$J$1</f>
        <v>0</v>
      </c>
      <c r="AI26" s="319">
        <f>(AD26+AE26)/材料产出!$J$1</f>
        <v>0</v>
      </c>
      <c r="AJ26" s="321">
        <f t="shared" si="13"/>
        <v>23</v>
      </c>
      <c r="AK26" s="321">
        <v>0</v>
      </c>
      <c r="AL26" s="321">
        <v>0</v>
      </c>
      <c r="AM26" s="321">
        <v>0</v>
      </c>
      <c r="AN26" s="321">
        <v>0</v>
      </c>
      <c r="AO26" s="321">
        <v>0</v>
      </c>
      <c r="AP26" s="321">
        <v>0</v>
      </c>
      <c r="AQ26" s="321">
        <v>0</v>
      </c>
      <c r="AR26" s="321">
        <v>0</v>
      </c>
      <c r="AS26" s="321">
        <v>0</v>
      </c>
      <c r="AT26" s="321">
        <v>0</v>
      </c>
      <c r="AU26" s="321">
        <v>0</v>
      </c>
      <c r="AV26" s="321">
        <v>0</v>
      </c>
      <c r="AW26" s="321">
        <v>0</v>
      </c>
      <c r="AX26" s="321">
        <v>0</v>
      </c>
      <c r="AY26" s="321">
        <v>0</v>
      </c>
      <c r="AZ26" s="321">
        <v>0</v>
      </c>
      <c r="BA26" s="321">
        <v>0</v>
      </c>
      <c r="BB26" s="321">
        <v>0</v>
      </c>
      <c r="BC26" s="321">
        <v>0</v>
      </c>
      <c r="BD26" s="321">
        <v>0</v>
      </c>
      <c r="BE26" s="321">
        <v>0</v>
      </c>
      <c r="BF26" s="321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315">
        <f>INT(112.5/150*Z30)</f>
        <v>0</v>
      </c>
      <c r="AA27" s="315">
        <f t="shared" ref="AA27:AC27" si="35">INT(112.5/150*AA30)</f>
        <v>0</v>
      </c>
      <c r="AB27" s="315">
        <f t="shared" si="35"/>
        <v>0</v>
      </c>
      <c r="AC27" s="315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319">
        <f>(AD27+AE27)/材料产出!$J$1</f>
        <v>0</v>
      </c>
      <c r="AG27" s="319">
        <f>(AD27+AE27)/材料产出!$J$1</f>
        <v>0</v>
      </c>
      <c r="AH27" s="319">
        <f>(AD27+AE27)/材料产出!$J$1</f>
        <v>0</v>
      </c>
      <c r="AI27" s="319">
        <f>(AD27+AE27)/材料产出!$J$1</f>
        <v>0</v>
      </c>
      <c r="AJ27" s="321">
        <f t="shared" si="13"/>
        <v>24</v>
      </c>
      <c r="AK27" s="321">
        <v>0</v>
      </c>
      <c r="AL27" s="321">
        <v>0</v>
      </c>
      <c r="AM27" s="321">
        <v>0</v>
      </c>
      <c r="AN27" s="321">
        <v>0</v>
      </c>
      <c r="AO27" s="321">
        <v>0</v>
      </c>
      <c r="AP27" s="321">
        <v>0</v>
      </c>
      <c r="AQ27" s="321">
        <v>0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321">
        <v>0</v>
      </c>
      <c r="AY27" s="321">
        <v>0</v>
      </c>
      <c r="AZ27" s="321">
        <v>0</v>
      </c>
      <c r="BA27" s="321">
        <v>0</v>
      </c>
      <c r="BB27" s="321">
        <v>0</v>
      </c>
      <c r="BC27" s="321">
        <v>0</v>
      </c>
      <c r="BD27" s="321">
        <v>0</v>
      </c>
      <c r="BE27" s="321">
        <v>0</v>
      </c>
      <c r="BF27" s="321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315">
        <f>INT(120/150*Z30)</f>
        <v>0</v>
      </c>
      <c r="AA28" s="315">
        <f t="shared" ref="AA28:AC28" si="36">INT(120/150*AA30)</f>
        <v>0</v>
      </c>
      <c r="AB28" s="315">
        <f t="shared" si="36"/>
        <v>0</v>
      </c>
      <c r="AC28" s="315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319">
        <f>(AD28+AE28)/材料产出!$J$1</f>
        <v>0</v>
      </c>
      <c r="AG28" s="319">
        <f>(AD28+AE28)/材料产出!$J$1</f>
        <v>0</v>
      </c>
      <c r="AH28" s="319">
        <f>(AD28+AE28)/材料产出!$J$1</f>
        <v>0</v>
      </c>
      <c r="AI28" s="319">
        <f>(AD28+AE28)/材料产出!$J$1</f>
        <v>0</v>
      </c>
      <c r="AJ28" s="321">
        <f t="shared" si="13"/>
        <v>25</v>
      </c>
      <c r="AK28" s="321">
        <v>0</v>
      </c>
      <c r="AL28" s="321">
        <v>0</v>
      </c>
      <c r="AM28" s="321">
        <v>0</v>
      </c>
      <c r="AN28" s="321">
        <v>0</v>
      </c>
      <c r="AO28" s="321">
        <v>0</v>
      </c>
      <c r="AP28" s="321">
        <v>0</v>
      </c>
      <c r="AQ28" s="321">
        <v>0</v>
      </c>
      <c r="AR28" s="321">
        <v>0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321">
        <v>0</v>
      </c>
      <c r="AY28" s="321">
        <v>0</v>
      </c>
      <c r="AZ28" s="321">
        <v>0</v>
      </c>
      <c r="BA28" s="321">
        <v>0</v>
      </c>
      <c r="BB28" s="321">
        <v>0</v>
      </c>
      <c r="BC28" s="321">
        <v>0</v>
      </c>
      <c r="BD28" s="321">
        <v>0</v>
      </c>
      <c r="BE28" s="321">
        <v>0</v>
      </c>
      <c r="BF28" s="321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315">
        <f>INT(135/150*Z30)</f>
        <v>0</v>
      </c>
      <c r="AA29" s="315">
        <f t="shared" ref="AA29:AC29" si="37">INT(135/150*AA30)</f>
        <v>0</v>
      </c>
      <c r="AB29" s="315">
        <f>INT(135/150*AB30)</f>
        <v>0</v>
      </c>
      <c r="AC29" s="315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319">
        <f>(AD29+AE29)/材料产出!$J$1</f>
        <v>0</v>
      </c>
      <c r="AG29" s="319">
        <f>(AD29+AE29)/材料产出!$J$1</f>
        <v>0</v>
      </c>
      <c r="AH29" s="319">
        <f>(AD29+AE29)/材料产出!$J$1</f>
        <v>0</v>
      </c>
      <c r="AI29" s="319">
        <f>(AD29+AE29)/材料产出!$J$1</f>
        <v>0</v>
      </c>
      <c r="AJ29" s="321">
        <f t="shared" si="13"/>
        <v>26</v>
      </c>
      <c r="AK29" s="321">
        <v>0</v>
      </c>
      <c r="AL29" s="321">
        <v>0</v>
      </c>
      <c r="AM29" s="321">
        <v>0</v>
      </c>
      <c r="AN29" s="321">
        <v>0</v>
      </c>
      <c r="AO29" s="321">
        <v>0</v>
      </c>
      <c r="AP29" s="321">
        <v>0</v>
      </c>
      <c r="AQ29" s="321">
        <v>0</v>
      </c>
      <c r="AR29" s="321">
        <v>0</v>
      </c>
      <c r="AS29" s="321">
        <v>0</v>
      </c>
      <c r="AT29" s="321">
        <v>0</v>
      </c>
      <c r="AU29" s="321">
        <v>0</v>
      </c>
      <c r="AV29" s="321">
        <v>0</v>
      </c>
      <c r="AW29" s="321">
        <v>0</v>
      </c>
      <c r="AX29" s="321">
        <v>0</v>
      </c>
      <c r="AY29" s="321">
        <v>0</v>
      </c>
      <c r="AZ29" s="321">
        <v>0</v>
      </c>
      <c r="BA29" s="321">
        <v>0</v>
      </c>
      <c r="BB29" s="321">
        <v>0</v>
      </c>
      <c r="BC29" s="321">
        <v>0</v>
      </c>
      <c r="BD29" s="321">
        <v>0</v>
      </c>
      <c r="BE29" s="321">
        <v>0</v>
      </c>
      <c r="BF29" s="321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养成属性分配!CY31</f>
        <v>0</v>
      </c>
      <c r="AA30" s="8">
        <f>养成属性分配!CZ31</f>
        <v>0</v>
      </c>
      <c r="AB30" s="8">
        <f>养成属性分配!DA31</f>
        <v>0</v>
      </c>
      <c r="AC30" s="8">
        <f>养成属性分配!DB31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319">
        <f>(AD30+AE30)/材料产出!$J$1</f>
        <v>0</v>
      </c>
      <c r="AG30" s="319">
        <f>(AD30+AE30)/材料产出!$J$1</f>
        <v>0</v>
      </c>
      <c r="AH30" s="319">
        <f>(AD30+AE30)/材料产出!$J$1</f>
        <v>0</v>
      </c>
      <c r="AI30" s="319">
        <f>(AD30+AE30)/材料产出!$J$1</f>
        <v>0</v>
      </c>
      <c r="AJ30" s="321">
        <f t="shared" si="13"/>
        <v>27</v>
      </c>
      <c r="AK30" s="321">
        <v>0</v>
      </c>
      <c r="AL30" s="321">
        <v>0</v>
      </c>
      <c r="AM30" s="321">
        <v>0</v>
      </c>
      <c r="AN30" s="321">
        <v>0</v>
      </c>
      <c r="AO30" s="321">
        <v>0</v>
      </c>
      <c r="AP30" s="321">
        <v>0</v>
      </c>
      <c r="AQ30" s="321">
        <v>0</v>
      </c>
      <c r="AR30" s="321">
        <v>0</v>
      </c>
      <c r="AS30" s="321">
        <v>0</v>
      </c>
      <c r="AT30" s="321">
        <v>0</v>
      </c>
      <c r="AU30" s="321">
        <v>0</v>
      </c>
      <c r="AV30" s="321">
        <v>0</v>
      </c>
      <c r="AW30" s="321">
        <v>0</v>
      </c>
      <c r="AX30" s="321">
        <v>0</v>
      </c>
      <c r="AY30" s="321">
        <v>0</v>
      </c>
      <c r="AZ30" s="321">
        <v>0</v>
      </c>
      <c r="BA30" s="321">
        <v>0</v>
      </c>
      <c r="BB30" s="321">
        <v>0</v>
      </c>
      <c r="BC30" s="321">
        <v>0</v>
      </c>
      <c r="BD30" s="321">
        <v>0</v>
      </c>
      <c r="BE30" s="321">
        <v>0</v>
      </c>
      <c r="BF30" s="321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升级</vt:lpstr>
      <vt:lpstr>官印</vt:lpstr>
      <vt:lpstr>官职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材料价格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2023-09-11T06:51:26Z</dcterms:modified>
</cp:coreProperties>
</file>