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ao 1 - Emissor Comum" sheetId="1" r:id="rId4"/>
    <sheet state="visible" name="Questao 2 - Fonte Comum" sheetId="2" r:id="rId5"/>
    <sheet state="visible" name="Questao 3 - Base Comum" sheetId="3" r:id="rId6"/>
    <sheet state="visible" name="Questao 4 - " sheetId="4" r:id="rId7"/>
    <sheet state="visible" name="Questao 5 - Dois Estagios" sheetId="5" r:id="rId8"/>
    <sheet state="visible" name="Questao 6 - " sheetId="6" r:id="rId9"/>
    <sheet state="visible" name="Questao 7 - Dois estagios MOSFE" sheetId="7" r:id="rId10"/>
    <sheet state="visible" name="Questao 8 - Realimentação Parci" sheetId="8" r:id="rId11"/>
    <sheet state="visible" name="Questao 9 - " sheetId="9" r:id="rId12"/>
    <sheet state="visible" name="Questao 18 - Realimentação 2 Es" sheetId="10" r:id="rId13"/>
    <sheet state="visible" name="Questão 19 - Realimentação Parc" sheetId="11" r:id="rId14"/>
  </sheets>
  <definedNames/>
  <calcPr/>
</workbook>
</file>

<file path=xl/sharedStrings.xml><?xml version="1.0" encoding="utf-8"?>
<sst xmlns="http://schemas.openxmlformats.org/spreadsheetml/2006/main" count="200" uniqueCount="120">
  <si>
    <t>Parametros</t>
  </si>
  <si>
    <t>Valor</t>
  </si>
  <si>
    <t>Calculados</t>
  </si>
  <si>
    <t>Para o Capacitor</t>
  </si>
  <si>
    <t>Hie</t>
  </si>
  <si>
    <t>Av</t>
  </si>
  <si>
    <t>Hre</t>
  </si>
  <si>
    <t>Ai</t>
  </si>
  <si>
    <t>Reqi</t>
  </si>
  <si>
    <t>Hoe</t>
  </si>
  <si>
    <t>ZentBase</t>
  </si>
  <si>
    <t>fi</t>
  </si>
  <si>
    <t>Hfe</t>
  </si>
  <si>
    <t>Rb</t>
  </si>
  <si>
    <t>Reqo</t>
  </si>
  <si>
    <t>Ic</t>
  </si>
  <si>
    <t>Zent</t>
  </si>
  <si>
    <t>Co</t>
  </si>
  <si>
    <t>RS</t>
  </si>
  <si>
    <t>ZsaidaColetor</t>
  </si>
  <si>
    <t>entao eh infinito</t>
  </si>
  <si>
    <t>Reqe</t>
  </si>
  <si>
    <t>R1</t>
  </si>
  <si>
    <t>Zsaida</t>
  </si>
  <si>
    <t>Frequencia de corte</t>
  </si>
  <si>
    <t>?</t>
  </si>
  <si>
    <t>R2</t>
  </si>
  <si>
    <t>rl</t>
  </si>
  <si>
    <t>RC</t>
  </si>
  <si>
    <t>rs</t>
  </si>
  <si>
    <t>RL</t>
  </si>
  <si>
    <t>AiTotal</t>
  </si>
  <si>
    <t>Ci</t>
  </si>
  <si>
    <t>Avs</t>
  </si>
  <si>
    <t>Ais</t>
  </si>
  <si>
    <t>Re</t>
  </si>
  <si>
    <t>Rg</t>
  </si>
  <si>
    <t>Rd</t>
  </si>
  <si>
    <t>Rs</t>
  </si>
  <si>
    <t>Rl</t>
  </si>
  <si>
    <t xml:space="preserve">Zent </t>
  </si>
  <si>
    <t>Rss</t>
  </si>
  <si>
    <t>gm</t>
  </si>
  <si>
    <t>rd</t>
  </si>
  <si>
    <t>GM</t>
  </si>
  <si>
    <t>RM</t>
  </si>
  <si>
    <t>Re1</t>
  </si>
  <si>
    <t>D</t>
  </si>
  <si>
    <t>Re2</t>
  </si>
  <si>
    <t>hib</t>
  </si>
  <si>
    <t>hrb</t>
  </si>
  <si>
    <t>hfb</t>
  </si>
  <si>
    <t>hre</t>
  </si>
  <si>
    <t>hob</t>
  </si>
  <si>
    <t>hoe</t>
  </si>
  <si>
    <t>hfe</t>
  </si>
  <si>
    <t>Zentemissor</t>
  </si>
  <si>
    <t>hie</t>
  </si>
  <si>
    <t>Zsaidacoletor</t>
  </si>
  <si>
    <t>R1 - 1 estagio</t>
  </si>
  <si>
    <t>Ic - 1 estagio</t>
  </si>
  <si>
    <t>Ic - 2 estagio</t>
  </si>
  <si>
    <t>R2 - 1 estagio</t>
  </si>
  <si>
    <t>hfe - 1 estagio</t>
  </si>
  <si>
    <t>olhando no datasheet</t>
  </si>
  <si>
    <t>hfe - 2 estagio</t>
  </si>
  <si>
    <t>Rs - 1 estagio</t>
  </si>
  <si>
    <t>hie - 1 estagio</t>
  </si>
  <si>
    <t>hie - 2 estagio</t>
  </si>
  <si>
    <t>Rc - 1 estagio</t>
  </si>
  <si>
    <t>hoe - 1 estagio</t>
  </si>
  <si>
    <t>hoe - 2 estagio</t>
  </si>
  <si>
    <t>Re - 1 estagio</t>
  </si>
  <si>
    <t>hre - 1 estagio</t>
  </si>
  <si>
    <t>hre - 2 estagio</t>
  </si>
  <si>
    <t>R1 - 2 estagio</t>
  </si>
  <si>
    <t>D - 1 estagio</t>
  </si>
  <si>
    <t>D - 2 estagio</t>
  </si>
  <si>
    <t>R2 - 2 estagio</t>
  </si>
  <si>
    <t>hib - 1 estagio</t>
  </si>
  <si>
    <t>hic - 2 estagio</t>
  </si>
  <si>
    <t>Re - 2 estagio</t>
  </si>
  <si>
    <t>hob - 1 estagio</t>
  </si>
  <si>
    <t>hfc - 2 estagio</t>
  </si>
  <si>
    <t>Rl - 2 estagio</t>
  </si>
  <si>
    <t>hrb - 1 estagio</t>
  </si>
  <si>
    <t>hoc - 2 estagio</t>
  </si>
  <si>
    <t>Vcc</t>
  </si>
  <si>
    <t>hfb - 1 estagio</t>
  </si>
  <si>
    <t>hrc - 2 estagio</t>
  </si>
  <si>
    <t>rl - 1 estagio</t>
  </si>
  <si>
    <t>rl - 2 estagio</t>
  </si>
  <si>
    <t>Zentemissor - 1 estagio</t>
  </si>
  <si>
    <t>zentbase - 2 estagio</t>
  </si>
  <si>
    <t>Zent - 1 estagio</t>
  </si>
  <si>
    <t>zent - 2 estagio</t>
  </si>
  <si>
    <t>gm - 1 estagio</t>
  </si>
  <si>
    <t>Rg - 1 estagio</t>
  </si>
  <si>
    <t>Rg - 2 estagio</t>
  </si>
  <si>
    <t>Av - total</t>
  </si>
  <si>
    <t>Rd - 1 estagio</t>
  </si>
  <si>
    <t>Av - 1 estagio</t>
  </si>
  <si>
    <t>Av - 2 estagio</t>
  </si>
  <si>
    <t>Zsaida - 1 estagio</t>
  </si>
  <si>
    <t>Rd - 2 estagio</t>
  </si>
  <si>
    <t>Rs - 2 estagio</t>
  </si>
  <si>
    <t>gm - 2 estagio</t>
  </si>
  <si>
    <t>rd (arbitrando um n muito elevado</t>
  </si>
  <si>
    <t>ic</t>
  </si>
  <si>
    <t>Rc</t>
  </si>
  <si>
    <t>R'e</t>
  </si>
  <si>
    <t>Zentbase</t>
  </si>
  <si>
    <t xml:space="preserve">Ai </t>
  </si>
  <si>
    <t xml:space="preserve">Rs </t>
  </si>
  <si>
    <t>R11</t>
  </si>
  <si>
    <t>R21</t>
  </si>
  <si>
    <t>RC1</t>
  </si>
  <si>
    <t>RE1</t>
  </si>
  <si>
    <t>Rx</t>
  </si>
  <si>
    <t>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</si>
</sst>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&quot;Times New Roman&quot;"/>
    </font>
    <font>
      <sz val="11.0"/>
      <color rgb="FF000000"/>
      <name val="&quot;Times New Roman&quot;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19.png"/><Relationship Id="rId5" Type="http://schemas.openxmlformats.org/officeDocument/2006/relationships/image" Target="../media/image2.png"/><Relationship Id="rId6" Type="http://schemas.openxmlformats.org/officeDocument/2006/relationships/image" Target="../media/image16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8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4.png"/><Relationship Id="rId3" Type="http://schemas.openxmlformats.org/officeDocument/2006/relationships/image" Target="../media/image2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2.png"/><Relationship Id="rId3" Type="http://schemas.openxmlformats.org/officeDocument/2006/relationships/image" Target="../media/image2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14.png"/><Relationship Id="rId4" Type="http://schemas.openxmlformats.org/officeDocument/2006/relationships/image" Target="../media/image6.png"/><Relationship Id="rId5" Type="http://schemas.openxmlformats.org/officeDocument/2006/relationships/image" Target="../media/image20.png"/><Relationship Id="rId6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24</xdr:row>
      <xdr:rowOff>85725</xdr:rowOff>
    </xdr:from>
    <xdr:ext cx="5372100" cy="18002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896100" cy="1962150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33</xdr:row>
      <xdr:rowOff>180975</xdr:rowOff>
    </xdr:from>
    <xdr:ext cx="5991225" cy="376237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-114300</xdr:rowOff>
    </xdr:from>
    <xdr:ext cx="6600825" cy="7477125"/>
    <xdr:pic>
      <xdr:nvPicPr>
        <xdr:cNvPr id="0" name="image19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66675</xdr:rowOff>
    </xdr:from>
    <xdr:ext cx="5819775" cy="4381500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-104775</xdr:rowOff>
    </xdr:from>
    <xdr:ext cx="5991225" cy="7048500"/>
    <xdr:pic>
      <xdr:nvPicPr>
        <xdr:cNvPr id="0" name="image16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629275" cy="3886200"/>
    <xdr:pic>
      <xdr:nvPicPr>
        <xdr:cNvPr id="0" name="image1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57150</xdr:rowOff>
    </xdr:from>
    <xdr:ext cx="5629275" cy="3886200"/>
    <xdr:pic>
      <xdr:nvPicPr>
        <xdr:cNvPr id="0" name="image1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57150</xdr:colOff>
      <xdr:row>24</xdr:row>
      <xdr:rowOff>57150</xdr:rowOff>
    </xdr:from>
    <xdr:ext cx="3390900" cy="3886200"/>
    <xdr:pic>
      <xdr:nvPicPr>
        <xdr:cNvPr id="0" name="image1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886825" cy="2228850"/>
    <xdr:pic>
      <xdr:nvPicPr>
        <xdr:cNvPr id="0" name="image1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143750" cy="2076450"/>
    <xdr:pic>
      <xdr:nvPicPr>
        <xdr:cNvPr id="0" name="image1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180975</xdr:rowOff>
    </xdr:from>
    <xdr:ext cx="5962650" cy="733425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31</xdr:row>
      <xdr:rowOff>133350</xdr:rowOff>
    </xdr:from>
    <xdr:ext cx="4743450" cy="6115050"/>
    <xdr:pic>
      <xdr:nvPicPr>
        <xdr:cNvPr id="0" name="image2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39175" cy="190500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33</xdr:row>
      <xdr:rowOff>85725</xdr:rowOff>
    </xdr:from>
    <xdr:ext cx="4743450" cy="6115050"/>
    <xdr:pic>
      <xdr:nvPicPr>
        <xdr:cNvPr id="0" name="image2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33</xdr:row>
      <xdr:rowOff>85725</xdr:rowOff>
    </xdr:from>
    <xdr:ext cx="4533900" cy="6115050"/>
    <xdr:pic>
      <xdr:nvPicPr>
        <xdr:cNvPr id="0" name="image2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801100" cy="2038350"/>
    <xdr:pic>
      <xdr:nvPicPr>
        <xdr:cNvPr id="0" name="image1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47625</xdr:rowOff>
    </xdr:from>
    <xdr:ext cx="5048250" cy="3305175"/>
    <xdr:pic>
      <xdr:nvPicPr>
        <xdr:cNvPr id="0" name="image1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420100" cy="2324100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27</xdr:row>
      <xdr:rowOff>133350</xdr:rowOff>
    </xdr:from>
    <xdr:ext cx="3324225" cy="20955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133350</xdr:rowOff>
    </xdr:from>
    <xdr:ext cx="3781425" cy="4657725"/>
    <xdr:pic>
      <xdr:nvPicPr>
        <xdr:cNvPr id="0" name="image1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0</xdr:row>
      <xdr:rowOff>5819775</xdr:rowOff>
    </xdr:from>
    <xdr:ext cx="7734300" cy="3048000"/>
    <xdr:pic>
      <xdr:nvPicPr>
        <xdr:cNvPr id="0" name="image6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885825</xdr:colOff>
      <xdr:row>45</xdr:row>
      <xdr:rowOff>19050</xdr:rowOff>
    </xdr:from>
    <xdr:ext cx="4400550" cy="3886200"/>
    <xdr:pic>
      <xdr:nvPicPr>
        <xdr:cNvPr id="0" name="image20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95250</xdr:rowOff>
    </xdr:from>
    <xdr:ext cx="5991225" cy="7048500"/>
    <xdr:pic>
      <xdr:nvPicPr>
        <xdr:cNvPr id="0" name="image16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71"/>
  </cols>
  <sheetData>
    <row r="11">
      <c r="A11" s="1" t="s">
        <v>0</v>
      </c>
      <c r="B11" s="1" t="s">
        <v>1</v>
      </c>
      <c r="D11" s="1" t="s">
        <v>2</v>
      </c>
      <c r="E11" s="1" t="s">
        <v>1</v>
      </c>
      <c r="H11" s="1" t="s">
        <v>3</v>
      </c>
    </row>
    <row r="12">
      <c r="A12" s="1" t="s">
        <v>4</v>
      </c>
      <c r="B12" s="1">
        <v>4000.0</v>
      </c>
      <c r="D12" s="1" t="s">
        <v>5</v>
      </c>
      <c r="E12" s="2">
        <f>(-B15*E19)/(B12+(B12*B14-B13*B15)*E19)</f>
        <v>-221.4285714</v>
      </c>
      <c r="F12" s="2">
        <f>E21*E19/E16</f>
        <v>-221.4285714</v>
      </c>
      <c r="H12" s="1" t="s">
        <v>2</v>
      </c>
      <c r="I12" s="1" t="s">
        <v>1</v>
      </c>
    </row>
    <row r="13">
      <c r="A13" s="1" t="s">
        <v>6</v>
      </c>
      <c r="B13" s="1">
        <v>0.0</v>
      </c>
      <c r="D13" s="1" t="s">
        <v>7</v>
      </c>
      <c r="E13" s="2">
        <f>B15/(1+B14*E19)</f>
        <v>310</v>
      </c>
      <c r="H13" s="1" t="s">
        <v>8</v>
      </c>
      <c r="I13" s="2">
        <f>B17+E16</f>
        <v>4095.145631</v>
      </c>
    </row>
    <row r="14">
      <c r="A14" s="1" t="s">
        <v>9</v>
      </c>
      <c r="B14" s="1">
        <v>0.0</v>
      </c>
      <c r="D14" s="1" t="s">
        <v>10</v>
      </c>
      <c r="E14" s="2">
        <f>B12-(B13*B15*E19)/(1+B14*E19)</f>
        <v>4000</v>
      </c>
      <c r="H14" s="1" t="s">
        <v>11</v>
      </c>
      <c r="I14" s="2">
        <f>1/(2*PI()*I13*B22)</f>
        <v>77.72858766</v>
      </c>
    </row>
    <row r="15">
      <c r="A15" s="1" t="s">
        <v>12</v>
      </c>
      <c r="B15" s="1">
        <v>310.0</v>
      </c>
      <c r="D15" s="1" t="s">
        <v>13</v>
      </c>
      <c r="E15" s="2">
        <f>(B18*B19)/(B18+B19)</f>
        <v>27692.30769</v>
      </c>
      <c r="H15" s="1" t="s">
        <v>14</v>
      </c>
      <c r="I15" s="2">
        <f>14000</f>
        <v>14000</v>
      </c>
    </row>
    <row r="16">
      <c r="A16" s="1" t="s">
        <v>15</v>
      </c>
      <c r="B16" s="2">
        <f>2*10^-3</f>
        <v>0.002</v>
      </c>
      <c r="D16" s="1" t="s">
        <v>16</v>
      </c>
      <c r="E16" s="2">
        <f>(E14*E15)/(E14+E15)</f>
        <v>3495.145631</v>
      </c>
      <c r="H16" s="1" t="s">
        <v>17</v>
      </c>
      <c r="I16" s="2">
        <f>1/(2*PI()*I15*B23)</f>
        <v>11.36821022</v>
      </c>
    </row>
    <row r="17">
      <c r="A17" s="1" t="s">
        <v>18</v>
      </c>
      <c r="B17" s="1">
        <v>600.0</v>
      </c>
      <c r="D17" s="1" t="s">
        <v>19</v>
      </c>
      <c r="E17" s="2" t="str">
        <f>(E20+B12)/((E20+B12)*B14-B13*B15)</f>
        <v>#DIV/0!</v>
      </c>
      <c r="F17" s="1" t="s">
        <v>20</v>
      </c>
      <c r="H17" s="1" t="s">
        <v>21</v>
      </c>
      <c r="I17" s="2">
        <f>B24</f>
        <v>2000</v>
      </c>
    </row>
    <row r="18">
      <c r="A18" s="1" t="s">
        <v>22</v>
      </c>
      <c r="B18" s="1">
        <v>120000.0</v>
      </c>
      <c r="D18" s="1" t="s">
        <v>23</v>
      </c>
      <c r="E18" s="2" t="str">
        <f>(E17*B20)/(E17+B20)</f>
        <v>#DIV/0!</v>
      </c>
      <c r="F18" s="1" t="s">
        <v>20</v>
      </c>
      <c r="H18" s="1" t="s">
        <v>24</v>
      </c>
      <c r="I18" s="1" t="s">
        <v>25</v>
      </c>
    </row>
    <row r="19">
      <c r="A19" s="1" t="s">
        <v>26</v>
      </c>
      <c r="B19" s="1">
        <v>36000.0</v>
      </c>
      <c r="D19" s="1" t="s">
        <v>27</v>
      </c>
      <c r="E19" s="2">
        <f>(B20*B21)/(B20+B21)</f>
        <v>2857.142857</v>
      </c>
    </row>
    <row r="20">
      <c r="A20" s="1" t="s">
        <v>28</v>
      </c>
      <c r="B20" s="1">
        <v>4000.0</v>
      </c>
      <c r="D20" s="1" t="s">
        <v>29</v>
      </c>
      <c r="E20" s="2">
        <f>(B17*E15)/(B17+E15)</f>
        <v>587.2756933</v>
      </c>
    </row>
    <row r="21">
      <c r="A21" s="1" t="s">
        <v>30</v>
      </c>
      <c r="B21" s="1">
        <v>10000.0</v>
      </c>
      <c r="D21" s="1" t="s">
        <v>31</v>
      </c>
      <c r="E21" s="2">
        <f>(E12*E16)/E19</f>
        <v>-270.8737864</v>
      </c>
    </row>
    <row r="22">
      <c r="A22" s="1" t="s">
        <v>32</v>
      </c>
      <c r="B22" s="2">
        <f>500*10^-9</f>
        <v>0.0000005</v>
      </c>
      <c r="D22" s="1" t="s">
        <v>33</v>
      </c>
      <c r="E22" s="2">
        <f>(E12*E16)/(E16+E20)</f>
        <v>-189.57502</v>
      </c>
    </row>
    <row r="23">
      <c r="A23" s="1" t="s">
        <v>17</v>
      </c>
      <c r="B23" s="2">
        <f>1*10^-6</f>
        <v>0.000001</v>
      </c>
      <c r="D23" s="1" t="s">
        <v>34</v>
      </c>
      <c r="E23" s="2">
        <f>(E13*E20)/(E16+E20)</f>
        <v>44.59497207</v>
      </c>
    </row>
    <row r="24">
      <c r="A24" s="1" t="s">
        <v>35</v>
      </c>
      <c r="B24" s="1">
        <v>2000.0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2">
      <c r="A22" s="1" t="s">
        <v>0</v>
      </c>
      <c r="B22" s="1" t="s">
        <v>1</v>
      </c>
      <c r="D22" s="1" t="s">
        <v>2</v>
      </c>
      <c r="E22" s="1" t="s">
        <v>1</v>
      </c>
    </row>
    <row r="23">
      <c r="A23" s="1" t="s">
        <v>113</v>
      </c>
      <c r="B23" s="1">
        <v>0.0</v>
      </c>
    </row>
    <row r="24">
      <c r="A24" s="1" t="s">
        <v>55</v>
      </c>
      <c r="B24" s="1">
        <v>200.0</v>
      </c>
    </row>
    <row r="25">
      <c r="A25" s="1" t="s">
        <v>57</v>
      </c>
      <c r="B25" s="1">
        <v>3000.0</v>
      </c>
    </row>
    <row r="26">
      <c r="A26" s="1" t="s">
        <v>52</v>
      </c>
      <c r="B26" s="1">
        <v>0.0</v>
      </c>
    </row>
    <row r="27">
      <c r="A27" s="1" t="s">
        <v>54</v>
      </c>
      <c r="B27" s="1">
        <v>0.0</v>
      </c>
    </row>
    <row r="28">
      <c r="A28" s="5" t="s">
        <v>114</v>
      </c>
      <c r="B28" s="1">
        <v>220000.0</v>
      </c>
    </row>
    <row r="29">
      <c r="A29" s="5" t="s">
        <v>115</v>
      </c>
      <c r="B29" s="1">
        <v>86000.0</v>
      </c>
    </row>
    <row r="30">
      <c r="A30" s="5" t="s">
        <v>116</v>
      </c>
      <c r="B30" s="1">
        <v>3900.0</v>
      </c>
    </row>
    <row r="31">
      <c r="A31" s="5" t="s">
        <v>117</v>
      </c>
      <c r="B31" s="1">
        <v>1700.0</v>
      </c>
    </row>
    <row r="32">
      <c r="A32" s="1" t="s">
        <v>118</v>
      </c>
      <c r="B32" s="1">
        <v>56.0</v>
      </c>
    </row>
    <row r="33">
      <c r="A33" s="1" t="s">
        <v>119</v>
      </c>
      <c r="B33" s="1">
        <v>3000.0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3">
      <c r="A13" s="1" t="s">
        <v>0</v>
      </c>
      <c r="B13" s="1" t="s">
        <v>1</v>
      </c>
      <c r="D13" s="1" t="s">
        <v>2</v>
      </c>
      <c r="E13" s="1" t="s">
        <v>1</v>
      </c>
    </row>
    <row r="14">
      <c r="A14" s="1" t="s">
        <v>22</v>
      </c>
      <c r="B14" s="1">
        <v>440000.0</v>
      </c>
      <c r="D14" s="1" t="s">
        <v>27</v>
      </c>
      <c r="E14" s="2">
        <f>(B16*B18)/(B16+B18)</f>
        <v>5356.521739</v>
      </c>
    </row>
    <row r="15">
      <c r="A15" s="1" t="s">
        <v>26</v>
      </c>
      <c r="B15" s="1">
        <v>100000.0</v>
      </c>
      <c r="D15" s="1" t="s">
        <v>36</v>
      </c>
      <c r="E15" s="2">
        <f>(B14*B15)/(B14+B15)</f>
        <v>81481.48148</v>
      </c>
    </row>
    <row r="16">
      <c r="A16" s="1" t="s">
        <v>37</v>
      </c>
      <c r="B16" s="1">
        <v>7700.0</v>
      </c>
      <c r="D16" s="1" t="s">
        <v>5</v>
      </c>
      <c r="E16" s="2">
        <f>-B20*(B21*E14)/(B21+E14)</f>
        <v>-6.33744856</v>
      </c>
    </row>
    <row r="17">
      <c r="A17" s="1" t="s">
        <v>38</v>
      </c>
      <c r="B17" s="1">
        <v>1700.0</v>
      </c>
      <c r="D17" s="1" t="s">
        <v>33</v>
      </c>
      <c r="E17" s="2">
        <f>E16*E18/(B19+E18)</f>
        <v>-6.185619712</v>
      </c>
    </row>
    <row r="18">
      <c r="A18" s="1" t="s">
        <v>39</v>
      </c>
      <c r="B18" s="1">
        <v>17600.0</v>
      </c>
      <c r="D18" s="1" t="s">
        <v>40</v>
      </c>
      <c r="E18" s="2">
        <f>E15</f>
        <v>81481.48148</v>
      </c>
    </row>
    <row r="19">
      <c r="A19" s="1" t="s">
        <v>41</v>
      </c>
      <c r="B19" s="1">
        <v>2000.0</v>
      </c>
      <c r="D19" s="1" t="s">
        <v>23</v>
      </c>
      <c r="E19" s="2">
        <f>(B16*B21)/(B16+B21)</f>
        <v>5559.566787</v>
      </c>
    </row>
    <row r="20">
      <c r="A20" s="1" t="s">
        <v>42</v>
      </c>
      <c r="B20" s="2">
        <f>1.5*10^-3</f>
        <v>0.0015</v>
      </c>
      <c r="D20" s="1" t="s">
        <v>7</v>
      </c>
      <c r="E20" s="2">
        <f>E16*E18/E14</f>
        <v>-96.40298735</v>
      </c>
    </row>
    <row r="21">
      <c r="A21" s="1" t="s">
        <v>43</v>
      </c>
      <c r="B21" s="1">
        <v>20000.0</v>
      </c>
      <c r="D21" s="1" t="s">
        <v>34</v>
      </c>
      <c r="E21" s="2">
        <f>E20*B17/(E18+B17)</f>
        <v>-1.970211104</v>
      </c>
    </row>
    <row r="22">
      <c r="D22" s="1" t="s">
        <v>44</v>
      </c>
      <c r="E22" s="2">
        <f>E16/E14</f>
        <v>-0.001183127572</v>
      </c>
    </row>
    <row r="23">
      <c r="D23" s="1" t="s">
        <v>45</v>
      </c>
      <c r="E23" s="1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2">
      <c r="A12" s="1" t="s">
        <v>0</v>
      </c>
      <c r="B12" s="1" t="s">
        <v>1</v>
      </c>
      <c r="D12" s="1" t="s">
        <v>2</v>
      </c>
      <c r="E12" s="1" t="s">
        <v>1</v>
      </c>
    </row>
    <row r="13">
      <c r="A13" s="1" t="s">
        <v>22</v>
      </c>
      <c r="B13" s="1">
        <v>200000.0</v>
      </c>
      <c r="D13" s="1" t="s">
        <v>29</v>
      </c>
      <c r="E13" s="2">
        <f>(B17*B15)/(B17+B15)</f>
        <v>42.85714286</v>
      </c>
    </row>
    <row r="14">
      <c r="A14" s="1" t="s">
        <v>28</v>
      </c>
      <c r="B14" s="1">
        <v>10000.0</v>
      </c>
      <c r="D14" s="1" t="s">
        <v>27</v>
      </c>
      <c r="E14" s="2">
        <f>(B14*B18)/(B14+B18)</f>
        <v>3333.333333</v>
      </c>
    </row>
    <row r="15">
      <c r="A15" s="1" t="s">
        <v>46</v>
      </c>
      <c r="B15" s="1">
        <v>100.0</v>
      </c>
      <c r="D15" s="1" t="s">
        <v>47</v>
      </c>
      <c r="E15" s="2">
        <f>(1+B21)*(1-B19)+B22*B20</f>
        <v>131.00843</v>
      </c>
    </row>
    <row r="16">
      <c r="A16" s="1" t="s">
        <v>48</v>
      </c>
      <c r="B16" s="1">
        <v>5000.0</v>
      </c>
      <c r="D16" s="1" t="s">
        <v>49</v>
      </c>
      <c r="E16" s="2">
        <f>B22/E15</f>
        <v>27.47914772</v>
      </c>
    </row>
    <row r="17">
      <c r="A17" s="1" t="s">
        <v>38</v>
      </c>
      <c r="B17" s="1">
        <v>75.0</v>
      </c>
      <c r="D17" s="1" t="s">
        <v>50</v>
      </c>
      <c r="E17" s="2">
        <f>(B22*B20-B19*(1+B21))/E15</f>
        <v>0.00006434700423</v>
      </c>
    </row>
    <row r="18">
      <c r="A18" s="1" t="s">
        <v>39</v>
      </c>
      <c r="B18" s="1">
        <v>5000.0</v>
      </c>
      <c r="D18" s="1" t="s">
        <v>51</v>
      </c>
      <c r="E18" s="2">
        <f>(-B21*(1-B19)-B22*B20)/E15</f>
        <v>-0.9923680484</v>
      </c>
    </row>
    <row r="19">
      <c r="A19" s="1" t="s">
        <v>52</v>
      </c>
      <c r="B19" s="2">
        <f>1.5*10^-4</f>
        <v>0.00015</v>
      </c>
      <c r="D19" s="1" t="s">
        <v>53</v>
      </c>
      <c r="E19" s="2">
        <f>B20/E15</f>
        <v>0.00000005953815338</v>
      </c>
    </row>
    <row r="20">
      <c r="A20" s="1" t="s">
        <v>54</v>
      </c>
      <c r="B20" s="2">
        <f>7.8*10^-6</f>
        <v>0.0000078</v>
      </c>
      <c r="D20" s="1" t="s">
        <v>5</v>
      </c>
      <c r="E20" s="2">
        <f>-E18*E14/(E16+(E16*E19-E17*E18)*E14)</f>
        <v>119.4295137</v>
      </c>
    </row>
    <row r="21">
      <c r="A21" s="1" t="s">
        <v>55</v>
      </c>
      <c r="B21" s="1">
        <v>130.0</v>
      </c>
      <c r="D21" s="1" t="s">
        <v>56</v>
      </c>
      <c r="E21" s="2">
        <f>E16-(E17*E18*E14)/(1+E19*E14)</f>
        <v>27.69195852</v>
      </c>
    </row>
    <row r="22">
      <c r="A22" s="1" t="s">
        <v>57</v>
      </c>
      <c r="B22" s="1">
        <v>3600.0</v>
      </c>
      <c r="D22" s="1" t="s">
        <v>16</v>
      </c>
      <c r="E22" s="2">
        <f>(E21*B15)/(E21+B15)</f>
        <v>21.68653284</v>
      </c>
    </row>
    <row r="23">
      <c r="D23" s="1" t="s">
        <v>58</v>
      </c>
      <c r="E23" s="2">
        <f>(E13+E16)/((E13+E16)*E19-E17*E18)</f>
        <v>1033694.375</v>
      </c>
    </row>
    <row r="24">
      <c r="D24" s="1" t="s">
        <v>23</v>
      </c>
      <c r="E24" s="2">
        <f>(E23*B14)/(E23+B14)</f>
        <v>9904.186511</v>
      </c>
    </row>
    <row r="25">
      <c r="D25" s="1" t="s">
        <v>33</v>
      </c>
      <c r="E25" s="2">
        <f>E20*E22/(E22+E13)</f>
        <v>40.12805348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57"/>
    <col customWidth="1" min="6" max="6" width="19.0"/>
    <col customWidth="1" min="7" max="7" width="17.86"/>
  </cols>
  <sheetData>
    <row r="12">
      <c r="A12" s="1" t="s">
        <v>0</v>
      </c>
      <c r="B12" s="1" t="s">
        <v>1</v>
      </c>
      <c r="D12" s="1" t="s">
        <v>2</v>
      </c>
      <c r="E12" s="1" t="s">
        <v>1</v>
      </c>
      <c r="G12" s="1" t="s">
        <v>2</v>
      </c>
      <c r="H12" s="1" t="s">
        <v>1</v>
      </c>
    </row>
    <row r="13">
      <c r="A13" s="1" t="s">
        <v>59</v>
      </c>
      <c r="B13" s="1">
        <v>10000.0</v>
      </c>
      <c r="D13" s="1" t="s">
        <v>60</v>
      </c>
      <c r="E13" s="1">
        <f>(15-(B22*B13/(B13+B14)+0.7))/B17</f>
        <v>0.001836021505</v>
      </c>
      <c r="G13" s="1" t="s">
        <v>61</v>
      </c>
      <c r="H13" s="2">
        <f>(15-(15*B18/(B18+B19)+0.7))/B20</f>
        <v>0.0008292682927</v>
      </c>
    </row>
    <row r="14">
      <c r="A14" s="1" t="s">
        <v>62</v>
      </c>
      <c r="B14" s="1">
        <v>2400.0</v>
      </c>
      <c r="D14" s="1" t="s">
        <v>63</v>
      </c>
      <c r="E14" s="1">
        <v>140.0</v>
      </c>
      <c r="F14" s="1" t="s">
        <v>64</v>
      </c>
      <c r="G14" s="1" t="s">
        <v>65</v>
      </c>
      <c r="H14" s="1">
        <v>120.0</v>
      </c>
    </row>
    <row r="15">
      <c r="A15" s="1" t="s">
        <v>66</v>
      </c>
      <c r="B15" s="1">
        <v>75.0</v>
      </c>
      <c r="D15" s="1" t="s">
        <v>67</v>
      </c>
      <c r="E15" s="2">
        <f>3840/5</f>
        <v>768</v>
      </c>
      <c r="F15" s="1" t="s">
        <v>64</v>
      </c>
      <c r="G15" s="1" t="s">
        <v>68</v>
      </c>
      <c r="H15" s="1">
        <v>4300.0</v>
      </c>
      <c r="J15" s="3"/>
    </row>
    <row r="16">
      <c r="A16" s="1" t="s">
        <v>69</v>
      </c>
      <c r="B16" s="1">
        <v>3300.0</v>
      </c>
      <c r="D16" s="1" t="s">
        <v>70</v>
      </c>
      <c r="E16" s="2">
        <f>5.58*10^-6*2</f>
        <v>0.00001116</v>
      </c>
      <c r="F16" s="1" t="s">
        <v>64</v>
      </c>
      <c r="G16" s="1" t="s">
        <v>71</v>
      </c>
      <c r="H16" s="2">
        <f>7.3*10^-6</f>
        <v>0.0000073</v>
      </c>
    </row>
    <row r="17">
      <c r="A17" s="1" t="s">
        <v>72</v>
      </c>
      <c r="B17" s="1">
        <v>1200.0</v>
      </c>
      <c r="D17" s="1" t="s">
        <v>73</v>
      </c>
      <c r="E17" s="2">
        <f>5.03*10^-5*2</f>
        <v>0.0001006</v>
      </c>
      <c r="F17" s="1" t="s">
        <v>64</v>
      </c>
      <c r="G17" s="1" t="s">
        <v>74</v>
      </c>
      <c r="H17" s="2">
        <f>1.5*10^-4</f>
        <v>0.00015</v>
      </c>
    </row>
    <row r="18">
      <c r="A18" s="1" t="s">
        <v>75</v>
      </c>
      <c r="B18" s="1">
        <v>20000.0</v>
      </c>
      <c r="D18" s="1" t="s">
        <v>76</v>
      </c>
      <c r="E18" s="2">
        <f>(1+E14)*(1-E17)+E15*E16</f>
        <v>140.9943863</v>
      </c>
      <c r="G18" s="1" t="s">
        <v>77</v>
      </c>
    </row>
    <row r="19">
      <c r="A19" s="1" t="s">
        <v>78</v>
      </c>
      <c r="B19" s="1">
        <v>20000.0</v>
      </c>
      <c r="D19" s="1" t="s">
        <v>79</v>
      </c>
      <c r="E19" s="2">
        <f>E15/E18</f>
        <v>5.447025376</v>
      </c>
      <c r="F19" s="1">
        <v>16.79</v>
      </c>
      <c r="G19" s="1" t="s">
        <v>80</v>
      </c>
      <c r="H19" s="2">
        <f>H15</f>
        <v>4300</v>
      </c>
    </row>
    <row r="20" ht="16.5" customHeight="1">
      <c r="A20" s="1" t="s">
        <v>81</v>
      </c>
      <c r="B20" s="1">
        <v>8200.0</v>
      </c>
      <c r="D20" s="1" t="s">
        <v>82</v>
      </c>
      <c r="E20" s="2">
        <f>E16/E18</f>
        <v>0.0000000791520875</v>
      </c>
      <c r="F20" s="1">
        <f>0.099*10^-6</f>
        <v>0.000000099</v>
      </c>
      <c r="G20" s="1" t="s">
        <v>83</v>
      </c>
      <c r="H20" s="4">
        <f>-(1+H14)</f>
        <v>-121</v>
      </c>
    </row>
    <row r="21">
      <c r="A21" s="1" t="s">
        <v>84</v>
      </c>
      <c r="B21" s="1">
        <v>1500.0</v>
      </c>
      <c r="D21" s="1" t="s">
        <v>85</v>
      </c>
      <c r="E21" s="2">
        <f>(E15*E16-E17*(1+E14))/E18</f>
        <v>-0.00003981520221</v>
      </c>
      <c r="F21" s="2">
        <f>0.98*10^-4</f>
        <v>0.000098</v>
      </c>
      <c r="G21" s="1" t="s">
        <v>86</v>
      </c>
      <c r="H21" s="2">
        <f>H16</f>
        <v>0.0000073</v>
      </c>
    </row>
    <row r="22">
      <c r="A22" s="1" t="s">
        <v>87</v>
      </c>
      <c r="B22" s="1">
        <v>15.0</v>
      </c>
      <c r="D22" s="1" t="s">
        <v>88</v>
      </c>
      <c r="E22" s="2">
        <f>(-E14*(1-E17)-E15*E16)/E18</f>
        <v>-0.9929082325</v>
      </c>
      <c r="F22" s="1">
        <v>-0.992</v>
      </c>
      <c r="G22" s="1" t="s">
        <v>89</v>
      </c>
      <c r="H22" s="1">
        <f>1-H17</f>
        <v>0.99985</v>
      </c>
    </row>
    <row r="23">
      <c r="D23" s="1" t="s">
        <v>90</v>
      </c>
      <c r="E23" s="2">
        <f>(H25*B16)/(H25+B16)</f>
        <v>2442.431071</v>
      </c>
      <c r="G23" s="1" t="s">
        <v>91</v>
      </c>
      <c r="H23" s="2">
        <f>(B20*B21)/(B20+B21)</f>
        <v>1268.041237</v>
      </c>
    </row>
    <row r="24">
      <c r="D24" s="1" t="s">
        <v>92</v>
      </c>
      <c r="E24" s="2">
        <f>F19-(F21*F22*E23)/(1+F20*E23)</f>
        <v>17.02738598</v>
      </c>
      <c r="G24" s="1" t="s">
        <v>93</v>
      </c>
      <c r="H24" s="2">
        <f>H19-(H22*H20*H23)/(1+H21*H23)</f>
        <v>156302.9291</v>
      </c>
    </row>
    <row r="25">
      <c r="D25" s="1" t="s">
        <v>94</v>
      </c>
      <c r="E25" s="2">
        <f>(E24*B17)/(E24+B17)</f>
        <v>16.78915644</v>
      </c>
      <c r="G25" s="1" t="s">
        <v>95</v>
      </c>
      <c r="H25" s="2">
        <f>((B18*B19)/(B18+B19)*H24)/((B18*B19)/(B18+B19)+H24)</f>
        <v>9398.687681</v>
      </c>
    </row>
    <row r="26">
      <c r="D26" s="1" t="s">
        <v>5</v>
      </c>
      <c r="E26" s="2">
        <f>-F22*E23/(F19+(F19*F20-F21*F22)*E23)</f>
        <v>142.2594114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15.86"/>
  </cols>
  <sheetData>
    <row r="13">
      <c r="A13" s="1" t="s">
        <v>0</v>
      </c>
      <c r="B13" s="1" t="s">
        <v>1</v>
      </c>
      <c r="D13" s="1" t="s">
        <v>2</v>
      </c>
      <c r="E13" s="1" t="s">
        <v>1</v>
      </c>
      <c r="G13" s="1" t="s">
        <v>2</v>
      </c>
      <c r="H13" s="1" t="s">
        <v>1</v>
      </c>
      <c r="J13" s="1" t="s">
        <v>2</v>
      </c>
    </row>
    <row r="14">
      <c r="A14" s="1" t="s">
        <v>96</v>
      </c>
      <c r="B14" s="2">
        <f>2850*10^-6</f>
        <v>0.00285</v>
      </c>
      <c r="D14" s="1" t="s">
        <v>97</v>
      </c>
      <c r="E14" s="2">
        <f>B16</f>
        <v>10000000</v>
      </c>
      <c r="G14" s="1" t="s">
        <v>98</v>
      </c>
      <c r="H14" s="2">
        <f>B19</f>
        <v>10000000</v>
      </c>
      <c r="J14" s="1" t="s">
        <v>99</v>
      </c>
      <c r="K14" s="2">
        <f>H16*E16</f>
        <v>817.5681579</v>
      </c>
    </row>
    <row r="15">
      <c r="A15" s="1" t="s">
        <v>100</v>
      </c>
      <c r="B15" s="1">
        <v>8200.0</v>
      </c>
      <c r="D15" s="1" t="s">
        <v>90</v>
      </c>
      <c r="E15" s="2">
        <f>(B15*H14)/(B15+H14)</f>
        <v>8193.281509</v>
      </c>
      <c r="G15" s="1" t="s">
        <v>91</v>
      </c>
      <c r="H15" s="2">
        <f>(E17*B19)/(E17+B19)</f>
        <v>8193.281509</v>
      </c>
    </row>
    <row r="16">
      <c r="A16" s="1" t="s">
        <v>62</v>
      </c>
      <c r="B16" s="1">
        <v>1.0E7</v>
      </c>
      <c r="D16" s="1" t="s">
        <v>101</v>
      </c>
      <c r="E16" s="2">
        <f>-B14*(B22*E15)/(B22+E15)</f>
        <v>-23.34893926</v>
      </c>
      <c r="G16" s="1" t="s">
        <v>102</v>
      </c>
      <c r="H16" s="2">
        <f>-B21*(B22*H15)/(B22+H15)</f>
        <v>-35.01521627</v>
      </c>
    </row>
    <row r="17">
      <c r="A17" s="1" t="s">
        <v>66</v>
      </c>
      <c r="B17" s="1">
        <v>680.0</v>
      </c>
      <c r="D17" s="1" t="s">
        <v>103</v>
      </c>
      <c r="E17" s="2">
        <f>B15</f>
        <v>8200</v>
      </c>
    </row>
    <row r="18">
      <c r="A18" s="1" t="s">
        <v>104</v>
      </c>
      <c r="B18" s="1">
        <v>2000.0</v>
      </c>
    </row>
    <row r="19">
      <c r="A19" s="1" t="s">
        <v>78</v>
      </c>
      <c r="B19" s="1">
        <v>1.0E7</v>
      </c>
    </row>
    <row r="20">
      <c r="A20" s="1" t="s">
        <v>105</v>
      </c>
      <c r="B20" s="1">
        <v>220.0</v>
      </c>
    </row>
    <row r="21">
      <c r="A21" s="1" t="s">
        <v>106</v>
      </c>
      <c r="B21" s="2">
        <f>4274*10^-6</f>
        <v>0.004274</v>
      </c>
    </row>
    <row r="22">
      <c r="A22" s="1" t="s">
        <v>107</v>
      </c>
      <c r="B22" s="1">
        <v>1.0E8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</cols>
  <sheetData>
    <row r="14">
      <c r="A14" s="1" t="s">
        <v>0</v>
      </c>
      <c r="B14" s="1" t="s">
        <v>1</v>
      </c>
      <c r="D14" s="1" t="s">
        <v>2</v>
      </c>
      <c r="E14" s="1" t="s">
        <v>1</v>
      </c>
    </row>
    <row r="15">
      <c r="A15" s="1" t="s">
        <v>22</v>
      </c>
      <c r="B15" s="1">
        <v>10000.0</v>
      </c>
      <c r="D15" s="1" t="s">
        <v>108</v>
      </c>
      <c r="E15" s="2">
        <f>(B22*B16/(B16+B15)+0.7)/(B19+B20)</f>
        <v>0.002503278689</v>
      </c>
    </row>
    <row r="16">
      <c r="A16" s="1" t="s">
        <v>26</v>
      </c>
      <c r="B16" s="1">
        <v>2200.0</v>
      </c>
      <c r="D16" s="1" t="s">
        <v>57</v>
      </c>
      <c r="E16" s="1">
        <f>0.4*3840</f>
        <v>1536</v>
      </c>
    </row>
    <row r="17">
      <c r="A17" s="1" t="s">
        <v>38</v>
      </c>
      <c r="B17" s="1">
        <v>1000.0</v>
      </c>
      <c r="D17" s="1" t="s">
        <v>55</v>
      </c>
      <c r="E17" s="1">
        <v>145.0</v>
      </c>
    </row>
    <row r="18">
      <c r="A18" s="1" t="s">
        <v>109</v>
      </c>
      <c r="B18" s="1">
        <v>3600.0</v>
      </c>
      <c r="D18" s="1" t="s">
        <v>52</v>
      </c>
      <c r="E18" s="2">
        <f>2.3*5.03*10^-5</f>
        <v>0.00011569</v>
      </c>
    </row>
    <row r="19">
      <c r="A19" s="1" t="s">
        <v>110</v>
      </c>
      <c r="B19" s="1">
        <v>820.0</v>
      </c>
      <c r="D19" s="1" t="s">
        <v>54</v>
      </c>
      <c r="E19" s="2">
        <f>3*5.58*10^-6</f>
        <v>0.00001674</v>
      </c>
    </row>
    <row r="20">
      <c r="A20" s="1" t="s">
        <v>35</v>
      </c>
      <c r="B20" s="1">
        <v>180.0</v>
      </c>
      <c r="D20" s="1" t="s">
        <v>27</v>
      </c>
      <c r="E20" s="2">
        <f>(B18*B21)/(B18+B21)</f>
        <v>3362.637363</v>
      </c>
    </row>
    <row r="21">
      <c r="A21" s="1" t="s">
        <v>39</v>
      </c>
      <c r="B21" s="1">
        <v>51000.0</v>
      </c>
      <c r="D21" s="1" t="s">
        <v>5</v>
      </c>
      <c r="E21" s="2">
        <f>-E17*E20/(E16+(1+E17)*B20)</f>
        <v>-17.52884734</v>
      </c>
    </row>
    <row r="22">
      <c r="A22" s="1" t="s">
        <v>87</v>
      </c>
      <c r="B22" s="1">
        <v>10.0</v>
      </c>
      <c r="D22" s="1" t="s">
        <v>111</v>
      </c>
      <c r="E22" s="2">
        <f>E16+(1+E17)*B20</f>
        <v>27816</v>
      </c>
    </row>
    <row r="23">
      <c r="D23" s="1" t="s">
        <v>13</v>
      </c>
      <c r="E23" s="2">
        <f>(B15*B16)/(B15+B16)</f>
        <v>1803.278689</v>
      </c>
    </row>
    <row r="24">
      <c r="D24" s="1" t="s">
        <v>16</v>
      </c>
      <c r="E24" s="2">
        <f>E22*E23/(E22+E23)</f>
        <v>1693.491612</v>
      </c>
    </row>
    <row r="25">
      <c r="D25" s="1" t="s">
        <v>112</v>
      </c>
      <c r="E25" s="2">
        <f>E21*E20/E24</f>
        <v>-34.80569764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